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tif" ContentType="image/tiff"/>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3.xml" ContentType="application/vnd.openxmlformats-officedocument.spreadsheetml.comments+xml"/>
  <Override PartName="/xl/drawings/drawing8.xml" ContentType="application/vnd.openxmlformats-officedocument.drawing+xml"/>
  <Override PartName="/xl/media/image42.tif" ContentType="image/jpeg"/>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omments4.xml" ContentType="application/vnd.openxmlformats-officedocument.spreadsheetml.comments+xml"/>
  <Override PartName="/xl/charts/chart3.xml" ContentType="application/vnd.openxmlformats-officedocument.drawingml.chart+xml"/>
  <Override PartName="/xl/drawings/drawing13.xml" ContentType="application/vnd.openxmlformats-officedocument.drawing+xml"/>
  <Override PartName="/xl/comments5.xml" ContentType="application/vnd.openxmlformats-officedocument.spreadsheetml.comments+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14.xml" ContentType="application/vnd.openxmlformats-officedocument.drawing+xml"/>
  <Override PartName="/xl/comments6.xml" ContentType="application/vnd.openxmlformats-officedocument.spreadsheetml.comments+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328"/>
  <workbookPr defaultThemeVersion="124226"/>
  <mc:AlternateContent xmlns:mc="http://schemas.openxmlformats.org/markup-compatibility/2006">
    <mc:Choice Requires="x15">
      <x15ac:absPath xmlns:x15ac="http://schemas.microsoft.com/office/spreadsheetml/2010/11/ac" url="C:\Users\sleys\A-Sally portege files\Ongoing projects\2020 Farrea measurements\"/>
    </mc:Choice>
  </mc:AlternateContent>
  <xr:revisionPtr revIDLastSave="0" documentId="8_{C7B4E561-8A05-4F2F-9B82-AAC1AA3A59A9}" xr6:coauthVersionLast="45" xr6:coauthVersionMax="45" xr10:uidLastSave="{00000000-0000-0000-0000-000000000000}"/>
  <bookViews>
    <workbookView xWindow="-110" yWindow="-110" windowWidth="25820" windowHeight="14020" tabRatio="846" firstSheet="5" activeTab="12" xr2:uid="{00000000-000D-0000-FFFF-FFFF00000000}"/>
  </bookViews>
  <sheets>
    <sheet name="Lauren Oscula Diameters" sheetId="14" r:id="rId1"/>
    <sheet name="Wall Thickness" sheetId="9" r:id="rId2"/>
    <sheet name="Subdermal Space" sheetId="10" r:id="rId3"/>
    <sheet name="Ostia" sheetId="1" r:id="rId4"/>
    <sheet name="Incurrent Canal" sheetId="4" r:id="rId5"/>
    <sheet name="Chamber" sheetId="6" r:id="rId6"/>
    <sheet name="Prosopyles" sheetId="2" r:id="rId7"/>
    <sheet name="Collar Bodies" sheetId="7" r:id="rId8"/>
    <sheet name="Apopyles" sheetId="3" r:id="rId9"/>
    <sheet name="Excurrent Canal" sheetId="5" r:id="rId10"/>
    <sheet name="Trumpet shape" sheetId="11" r:id="rId11"/>
    <sheet name="Leys 2011 Head Loss" sheetId="8" state="hidden" r:id="rId12"/>
    <sheet name=" Head Loss (Low Ambient Flows)" sheetId="13" r:id="rId13"/>
    <sheet name="Head Loss (High Ambient Flows)" sheetId="15" r:id="rId14"/>
  </sheets>
  <externalReferences>
    <externalReference r:id="rId15"/>
    <externalReference r:id="rId16"/>
    <externalReference r:id="rId17"/>
    <externalReference r:id="rId18"/>
  </externalReferences>
  <definedNames>
    <definedName name="alfa">'Leys 2011 Head Loss'!$H$6</definedName>
    <definedName name="AtriumArea">'Leys 2011 Head Loss'!$A$6</definedName>
    <definedName name="Density">'Leys 2011 Head Loss'!$E$6</definedName>
    <definedName name="ExCurrentFlowRate">'Leys 2011 Head Loss'!$C$6</definedName>
    <definedName name="ExcurrentSpeed">'Leys 2011 Head Loss'!$B$6</definedName>
    <definedName name="gamma">'Leys 2011 Head Loss'!$F$6</definedName>
    <definedName name="OscDiam">'[1]Sup. Table 2. Sponge sizes'!$E$17</definedName>
    <definedName name="SpVol">'[1]Sup. Table 2. Sponge sizes'!$F$17</definedName>
    <definedName name="Viscosity">'Leys 2011 Head Loss'!$G$6</definedName>
  </definedNames>
  <calcPr calcId="191029"/>
</workbook>
</file>

<file path=xl/calcChain.xml><?xml version="1.0" encoding="utf-8"?>
<calcChain xmlns="http://schemas.openxmlformats.org/spreadsheetml/2006/main">
  <c r="J4" i="13" l="1"/>
  <c r="J3" i="13"/>
  <c r="J4" i="15"/>
  <c r="I4" i="15"/>
  <c r="J3" i="15"/>
  <c r="I3" i="15"/>
  <c r="D37" i="15"/>
  <c r="C37" i="15"/>
  <c r="I30" i="15"/>
  <c r="X29" i="15"/>
  <c r="X28" i="15"/>
  <c r="I28" i="15"/>
  <c r="X27" i="15"/>
  <c r="I27" i="15"/>
  <c r="J16" i="15"/>
  <c r="G16" i="15"/>
  <c r="D16" i="15"/>
  <c r="J5" i="15"/>
  <c r="C43" i="15" s="1"/>
  <c r="C44" i="15" s="1"/>
  <c r="I5" i="15"/>
  <c r="B16" i="15" s="1"/>
  <c r="G63" i="14"/>
  <c r="E63" i="14" s="1"/>
  <c r="F63" i="14"/>
  <c r="G61" i="14"/>
  <c r="F61" i="14"/>
  <c r="K59" i="14"/>
  <c r="J59" i="14"/>
  <c r="B14" i="15" s="1"/>
  <c r="I59" i="14"/>
  <c r="D8" i="11" s="1"/>
  <c r="G59" i="14"/>
  <c r="H56" i="14"/>
  <c r="H55" i="14"/>
  <c r="H54" i="14"/>
  <c r="H45" i="14"/>
  <c r="H41" i="14"/>
  <c r="H40" i="14"/>
  <c r="H31" i="14"/>
  <c r="H24" i="14"/>
  <c r="H22" i="14"/>
  <c r="E61" i="14" l="1"/>
  <c r="X32" i="15"/>
  <c r="X31" i="15" s="1"/>
  <c r="X30" i="15" s="1"/>
  <c r="D14" i="13"/>
  <c r="J28" i="15"/>
  <c r="J30" i="15"/>
  <c r="X33" i="15"/>
  <c r="B14" i="13"/>
  <c r="H61" i="14"/>
  <c r="J27" i="15"/>
  <c r="D14" i="15"/>
  <c r="C38" i="15" s="1"/>
  <c r="H38" i="15" s="1"/>
  <c r="I38" i="15" s="1"/>
  <c r="J38" i="15" s="1"/>
  <c r="K37" i="15"/>
  <c r="K38" i="15"/>
  <c r="C38" i="13"/>
  <c r="H59" i="14"/>
  <c r="J5" i="13"/>
  <c r="C43" i="13" s="1"/>
  <c r="C16" i="15" l="1"/>
  <c r="C45" i="15" s="1"/>
  <c r="C46" i="15" s="1"/>
  <c r="L38" i="15"/>
  <c r="M38" i="15" s="1"/>
  <c r="N38" i="15" s="1"/>
  <c r="K30" i="15"/>
  <c r="Q39" i="15"/>
  <c r="K28" i="15"/>
  <c r="K27" i="15"/>
  <c r="Q38" i="15"/>
  <c r="R38" i="15" s="1"/>
  <c r="S38" i="15" s="1"/>
  <c r="L37" i="15"/>
  <c r="M37" i="15" s="1"/>
  <c r="N37" i="15" s="1"/>
  <c r="Q37" i="15"/>
  <c r="R37" i="15" s="1"/>
  <c r="S37" i="15" s="1"/>
  <c r="C17" i="15"/>
  <c r="K16" i="15"/>
  <c r="L16" i="15" s="1"/>
  <c r="Q27" i="15" l="1"/>
  <c r="L27" i="15"/>
  <c r="Q28" i="15"/>
  <c r="R28" i="15" s="1"/>
  <c r="S28" i="15" s="1"/>
  <c r="L28" i="15"/>
  <c r="M28" i="15" s="1"/>
  <c r="N28" i="15" s="1"/>
  <c r="L30" i="15"/>
  <c r="M30" i="15" s="1"/>
  <c r="N30" i="15" s="1"/>
  <c r="Q30" i="15"/>
  <c r="R30" i="15" s="1"/>
  <c r="S30" i="15" s="1"/>
  <c r="C136" i="7" l="1"/>
  <c r="C32" i="13" s="1"/>
  <c r="D126" i="7"/>
  <c r="D127" i="7"/>
  <c r="D128" i="7"/>
  <c r="D129" i="7"/>
  <c r="D130" i="7"/>
  <c r="D131" i="7"/>
  <c r="D132" i="7"/>
  <c r="D133" i="7"/>
  <c r="D134" i="7"/>
  <c r="D135" i="7"/>
  <c r="D125" i="7"/>
  <c r="D136" i="7" l="1"/>
  <c r="C44" i="13"/>
  <c r="D16" i="13" l="1"/>
  <c r="I4" i="13"/>
  <c r="I3" i="13"/>
  <c r="I5" i="13" s="1"/>
  <c r="B16" i="13" l="1"/>
  <c r="D37" i="13"/>
  <c r="H38" i="13"/>
  <c r="C37" i="13"/>
  <c r="C16" i="13" l="1"/>
  <c r="C17" i="13" s="1"/>
  <c r="J16" i="13"/>
  <c r="K37" i="13"/>
  <c r="K38" i="13"/>
  <c r="C45" i="13" l="1"/>
  <c r="I38" i="13"/>
  <c r="I27" i="13"/>
  <c r="I28" i="13"/>
  <c r="I30" i="13"/>
  <c r="E27" i="8"/>
  <c r="C28" i="8"/>
  <c r="C27" i="8"/>
  <c r="J38" i="13" l="1"/>
  <c r="L38" i="13"/>
  <c r="M38" i="13" s="1"/>
  <c r="Q38" i="13"/>
  <c r="Q39" i="13"/>
  <c r="Q37" i="13"/>
  <c r="J30" i="13"/>
  <c r="X29" i="13"/>
  <c r="X28" i="13"/>
  <c r="X27" i="13"/>
  <c r="J27" i="13"/>
  <c r="G16" i="13"/>
  <c r="R38" i="13" l="1"/>
  <c r="S38" i="13" s="1"/>
  <c r="R37" i="13"/>
  <c r="S37" i="13" s="1"/>
  <c r="N38" i="13"/>
  <c r="K27" i="13"/>
  <c r="Q27" i="13" s="1"/>
  <c r="K30" i="13"/>
  <c r="L30" i="13" s="1"/>
  <c r="K16" i="13"/>
  <c r="L16" i="13" s="1"/>
  <c r="J28" i="13"/>
  <c r="K28" i="13" s="1"/>
  <c r="C46" i="13"/>
  <c r="X33" i="13"/>
  <c r="X32" i="13"/>
  <c r="X31" i="13" s="1"/>
  <c r="X30" i="13" s="1"/>
  <c r="L37" i="13"/>
  <c r="M37" i="13" l="1"/>
  <c r="N37" i="13" s="1"/>
  <c r="M30" i="13"/>
  <c r="N30" i="13" s="1"/>
  <c r="L27" i="13"/>
  <c r="Q30" i="13"/>
  <c r="R30" i="13" s="1"/>
  <c r="L28" i="13"/>
  <c r="Q28" i="13"/>
  <c r="E8" i="11"/>
  <c r="E7" i="11"/>
  <c r="D9" i="11"/>
  <c r="D13" i="11" l="1"/>
  <c r="A16" i="13" s="1"/>
  <c r="A16" i="15"/>
  <c r="R28" i="13"/>
  <c r="S28" i="13" s="1"/>
  <c r="M28" i="13"/>
  <c r="N28" i="13" s="1"/>
  <c r="A6" i="8"/>
  <c r="F246" i="7" l="1"/>
  <c r="F247" i="7" s="1"/>
  <c r="F243" i="7"/>
  <c r="F241" i="7"/>
  <c r="D3" i="8"/>
  <c r="C6" i="8" s="1"/>
  <c r="F248" i="7" l="1"/>
  <c r="K6" i="8"/>
  <c r="J6" i="8"/>
  <c r="C54" i="10"/>
  <c r="C14" i="8" s="1"/>
  <c r="C327" i="7"/>
  <c r="C98" i="1"/>
  <c r="E13" i="8" s="1"/>
  <c r="D32" i="15" l="1"/>
  <c r="D32" i="13"/>
  <c r="E22" i="8"/>
  <c r="D23" i="15"/>
  <c r="E24" i="15" s="1"/>
  <c r="D23" i="13"/>
  <c r="E24" i="13" s="1"/>
  <c r="C36" i="15"/>
  <c r="C24" i="15"/>
  <c r="C36" i="13"/>
  <c r="C24" i="13"/>
  <c r="C26" i="8"/>
  <c r="C43" i="3"/>
  <c r="C62" i="5"/>
  <c r="C49" i="2"/>
  <c r="D26" i="15" l="1"/>
  <c r="D26" i="13"/>
  <c r="D34" i="15"/>
  <c r="D34" i="13"/>
  <c r="D35" i="15"/>
  <c r="D35" i="13"/>
  <c r="E25" i="8"/>
  <c r="E24" i="8"/>
  <c r="E16" i="8"/>
  <c r="C61" i="4"/>
  <c r="C23" i="10"/>
  <c r="C22" i="10"/>
  <c r="E14" i="8" s="1"/>
  <c r="C175" i="7"/>
  <c r="B305" i="7" s="1"/>
  <c r="D260" i="7"/>
  <c r="D261" i="7"/>
  <c r="D262" i="7"/>
  <c r="D263" i="7"/>
  <c r="D264" i="7"/>
  <c r="D265" i="7"/>
  <c r="D266" i="7"/>
  <c r="D267" i="7"/>
  <c r="D268" i="7"/>
  <c r="D269" i="7"/>
  <c r="D270" i="7"/>
  <c r="D271" i="7"/>
  <c r="D272" i="7"/>
  <c r="D273" i="7"/>
  <c r="D274" i="7"/>
  <c r="D275" i="7"/>
  <c r="D276" i="7"/>
  <c r="D277" i="7"/>
  <c r="D278" i="7"/>
  <c r="D279" i="7"/>
  <c r="D280" i="7"/>
  <c r="D281" i="7"/>
  <c r="D282" i="7"/>
  <c r="D283" i="7"/>
  <c r="D284" i="7"/>
  <c r="D285" i="7"/>
  <c r="D286" i="7"/>
  <c r="D259" i="7"/>
  <c r="C287" i="7"/>
  <c r="D25" i="15" l="1"/>
  <c r="D25" i="13"/>
  <c r="E15" i="8"/>
  <c r="D24" i="15"/>
  <c r="E25" i="15" s="1"/>
  <c r="D24" i="13"/>
  <c r="E25" i="13" s="1"/>
  <c r="E26" i="13" s="1"/>
  <c r="E27" i="13" s="1"/>
  <c r="D287" i="7"/>
  <c r="B295" i="7" s="1"/>
  <c r="E26" i="15" l="1"/>
  <c r="D6" i="8"/>
  <c r="J28" i="8" s="1"/>
  <c r="E27" i="15" l="1"/>
  <c r="C39" i="10"/>
  <c r="C38" i="10"/>
  <c r="B4" i="10"/>
  <c r="J6" i="1"/>
  <c r="C23" i="9"/>
  <c r="C121" i="7"/>
  <c r="B142" i="7"/>
  <c r="B84" i="7"/>
  <c r="B81" i="7"/>
  <c r="C232" i="7"/>
  <c r="C231" i="7"/>
  <c r="D145" i="7"/>
  <c r="D146" i="7"/>
  <c r="D147" i="7"/>
  <c r="D148" i="7"/>
  <c r="D149" i="7"/>
  <c r="D150" i="7"/>
  <c r="D151" i="7"/>
  <c r="D152" i="7"/>
  <c r="D153" i="7"/>
  <c r="D154" i="7"/>
  <c r="D155" i="7"/>
  <c r="D156" i="7"/>
  <c r="D157" i="7"/>
  <c r="D158" i="7"/>
  <c r="D159" i="7"/>
  <c r="D160" i="7"/>
  <c r="D161" i="7"/>
  <c r="D162" i="7"/>
  <c r="D163" i="7"/>
  <c r="D164" i="7"/>
  <c r="D165" i="7"/>
  <c r="D166" i="7"/>
  <c r="D167" i="7"/>
  <c r="D168" i="7"/>
  <c r="D169" i="7"/>
  <c r="D170" i="7"/>
  <c r="D171" i="7"/>
  <c r="D172" i="7"/>
  <c r="D173" i="7"/>
  <c r="D174" i="7"/>
  <c r="D144" i="7"/>
  <c r="C120" i="7"/>
  <c r="C32" i="15" s="1"/>
  <c r="Q57" i="8"/>
  <c r="O57" i="8"/>
  <c r="N57" i="8"/>
  <c r="K57" i="8" s="1"/>
  <c r="Q56" i="8"/>
  <c r="O56" i="8"/>
  <c r="N56" i="8"/>
  <c r="K56" i="8" s="1"/>
  <c r="Q55" i="8"/>
  <c r="O55" i="8"/>
  <c r="N55" i="8"/>
  <c r="K55" i="8" s="1"/>
  <c r="Q54" i="8"/>
  <c r="O54" i="8"/>
  <c r="N54" i="8"/>
  <c r="K54" i="8" s="1"/>
  <c r="Q53" i="8"/>
  <c r="O53" i="8"/>
  <c r="N53" i="8"/>
  <c r="K53" i="8" s="1"/>
  <c r="Q52" i="8"/>
  <c r="O52" i="8"/>
  <c r="N52" i="8"/>
  <c r="K52" i="8" s="1"/>
  <c r="Q51" i="8"/>
  <c r="O51" i="8"/>
  <c r="N51" i="8"/>
  <c r="K51" i="8" s="1"/>
  <c r="Q50" i="8"/>
  <c r="O50" i="8"/>
  <c r="N50" i="8"/>
  <c r="K50" i="8" s="1"/>
  <c r="Q49" i="8"/>
  <c r="O49" i="8"/>
  <c r="N49" i="8"/>
  <c r="K49" i="8" s="1"/>
  <c r="Q48" i="8"/>
  <c r="O48" i="8"/>
  <c r="N48" i="8"/>
  <c r="K48" i="8" s="1"/>
  <c r="H48" i="8"/>
  <c r="Q47" i="8"/>
  <c r="O47" i="8"/>
  <c r="N47" i="8"/>
  <c r="K47" i="8" s="1"/>
  <c r="Q46" i="8"/>
  <c r="O46" i="8"/>
  <c r="N46" i="8"/>
  <c r="K46" i="8" s="1"/>
  <c r="Q45" i="8"/>
  <c r="O45" i="8"/>
  <c r="N45" i="8"/>
  <c r="K45" i="8" s="1"/>
  <c r="Q44" i="8"/>
  <c r="O44" i="8"/>
  <c r="N44" i="8"/>
  <c r="K44" i="8" s="1"/>
  <c r="Q43" i="8"/>
  <c r="O43" i="8"/>
  <c r="N43" i="8"/>
  <c r="K43" i="8" s="1"/>
  <c r="H43" i="8"/>
  <c r="H44" i="8" s="1"/>
  <c r="H46" i="8" s="1"/>
  <c r="Q42" i="8"/>
  <c r="O42" i="8"/>
  <c r="N42" i="8"/>
  <c r="K42" i="8" s="1"/>
  <c r="Q41" i="8"/>
  <c r="O41" i="8"/>
  <c r="N41" i="8"/>
  <c r="K41" i="8" s="1"/>
  <c r="Q40" i="8"/>
  <c r="O40" i="8"/>
  <c r="N40" i="8"/>
  <c r="K40" i="8" s="1"/>
  <c r="Q39" i="8"/>
  <c r="O39" i="8"/>
  <c r="N39" i="8"/>
  <c r="K39" i="8" s="1"/>
  <c r="Q38" i="8"/>
  <c r="O38" i="8"/>
  <c r="N38" i="8"/>
  <c r="K38" i="8" s="1"/>
  <c r="Q37" i="8"/>
  <c r="O37" i="8"/>
  <c r="N37" i="8"/>
  <c r="K37" i="8" s="1"/>
  <c r="Q36" i="8"/>
  <c r="O36" i="8"/>
  <c r="N36" i="8"/>
  <c r="K36" i="8" s="1"/>
  <c r="Q35" i="8"/>
  <c r="O35" i="8"/>
  <c r="N35" i="8"/>
  <c r="K35" i="8" s="1"/>
  <c r="Q34" i="8"/>
  <c r="O34" i="8"/>
  <c r="N34" i="8"/>
  <c r="R34" i="8" s="1"/>
  <c r="S34" i="8" s="1"/>
  <c r="A28" i="8"/>
  <c r="A26" i="8"/>
  <c r="A25" i="8"/>
  <c r="A24" i="8"/>
  <c r="A23" i="8"/>
  <c r="A22" i="8"/>
  <c r="A21" i="8"/>
  <c r="J20" i="8"/>
  <c r="K20" i="8" s="1"/>
  <c r="E20" i="8"/>
  <c r="A20" i="8"/>
  <c r="A19" i="8"/>
  <c r="J18" i="8"/>
  <c r="K18" i="8" s="1"/>
  <c r="E18" i="8"/>
  <c r="A18" i="8"/>
  <c r="A17" i="8"/>
  <c r="A16" i="8"/>
  <c r="A15" i="8"/>
  <c r="G14" i="8"/>
  <c r="A14" i="8"/>
  <c r="A13" i="8"/>
  <c r="F6" i="8"/>
  <c r="B3" i="7" l="1"/>
  <c r="D29" i="15"/>
  <c r="B239" i="7"/>
  <c r="B240" i="7" s="1"/>
  <c r="D29" i="13"/>
  <c r="E19" i="8"/>
  <c r="B26" i="10"/>
  <c r="D36" i="15"/>
  <c r="D36" i="13"/>
  <c r="E26" i="8"/>
  <c r="P53" i="8"/>
  <c r="R37" i="8"/>
  <c r="S37" i="8" s="1"/>
  <c r="P49" i="8"/>
  <c r="K34" i="8"/>
  <c r="R43" i="8"/>
  <c r="S43" i="8" s="1"/>
  <c r="P41" i="8"/>
  <c r="P52" i="8"/>
  <c r="P57" i="8"/>
  <c r="R53" i="8"/>
  <c r="S53" i="8" s="1"/>
  <c r="R44" i="8"/>
  <c r="S44" i="8" s="1"/>
  <c r="P46" i="8"/>
  <c r="P54" i="8"/>
  <c r="R54" i="8"/>
  <c r="S54" i="8" s="1"/>
  <c r="P44" i="8"/>
  <c r="R39" i="8"/>
  <c r="S39" i="8" s="1"/>
  <c r="P42" i="8"/>
  <c r="P34" i="8"/>
  <c r="P35" i="8"/>
  <c r="P37" i="8"/>
  <c r="P43" i="8"/>
  <c r="P45" i="8"/>
  <c r="P55" i="8"/>
  <c r="R42" i="8"/>
  <c r="S42" i="8" s="1"/>
  <c r="R52" i="8"/>
  <c r="S52" i="8" s="1"/>
  <c r="R40" i="8"/>
  <c r="S40" i="8" s="1"/>
  <c r="R41" i="8"/>
  <c r="S41" i="8" s="1"/>
  <c r="R51" i="8"/>
  <c r="S51" i="8" s="1"/>
  <c r="B27" i="10"/>
  <c r="C122" i="7"/>
  <c r="B306" i="7" s="1"/>
  <c r="D175" i="7"/>
  <c r="B241" i="7" s="1"/>
  <c r="B242" i="7" s="1"/>
  <c r="C22" i="8"/>
  <c r="L18" i="8"/>
  <c r="M18" i="8" s="1"/>
  <c r="N18" i="8" s="1"/>
  <c r="O18" i="8" s="1"/>
  <c r="P18" i="8" s="1"/>
  <c r="K28" i="8"/>
  <c r="L28" i="8" s="1"/>
  <c r="L20" i="8"/>
  <c r="M20" i="8" s="1"/>
  <c r="N20" i="8" s="1"/>
  <c r="O20" i="8" s="1"/>
  <c r="P20" i="8" s="1"/>
  <c r="B3" i="10"/>
  <c r="P39" i="8"/>
  <c r="R56" i="8"/>
  <c r="S56" i="8" s="1"/>
  <c r="P56" i="8"/>
  <c r="R47" i="8"/>
  <c r="S47" i="8" s="1"/>
  <c r="P47" i="8"/>
  <c r="R50" i="8"/>
  <c r="S50" i="8" s="1"/>
  <c r="P50" i="8"/>
  <c r="G15" i="8"/>
  <c r="G16" i="8" s="1"/>
  <c r="R36" i="8"/>
  <c r="S36" i="8" s="1"/>
  <c r="P36" i="8"/>
  <c r="R49" i="8"/>
  <c r="S49" i="8" s="1"/>
  <c r="R46" i="8"/>
  <c r="S46" i="8" s="1"/>
  <c r="P51" i="8"/>
  <c r="R55" i="8"/>
  <c r="S55" i="8" s="1"/>
  <c r="R38" i="8"/>
  <c r="S38" i="8" s="1"/>
  <c r="P38" i="8"/>
  <c r="R57" i="8"/>
  <c r="S57" i="8" s="1"/>
  <c r="R45" i="8"/>
  <c r="S45" i="8" s="1"/>
  <c r="R48" i="8"/>
  <c r="S48" i="8" s="1"/>
  <c r="P48" i="8"/>
  <c r="R35" i="8"/>
  <c r="S35" i="8" s="1"/>
  <c r="P40" i="8"/>
  <c r="J14" i="8" l="1"/>
  <c r="K14" i="8" s="1"/>
  <c r="L14" i="8" s="1"/>
  <c r="M14" i="8" s="1"/>
  <c r="N14" i="8" s="1"/>
  <c r="O14" i="8" s="1"/>
  <c r="P14" i="8" s="1"/>
  <c r="H24" i="15"/>
  <c r="I24" i="15" s="1"/>
  <c r="J24" i="15" s="1"/>
  <c r="K24" i="15" s="1"/>
  <c r="H24" i="13"/>
  <c r="I24" i="13" s="1"/>
  <c r="J24" i="13" s="1"/>
  <c r="K24" i="13" s="1"/>
  <c r="J26" i="8"/>
  <c r="K26" i="8" s="1"/>
  <c r="L26" i="8" s="1"/>
  <c r="M26" i="8" s="1"/>
  <c r="N26" i="8" s="1"/>
  <c r="O26" i="8" s="1"/>
  <c r="P26" i="8" s="1"/>
  <c r="H36" i="15"/>
  <c r="I36" i="15" s="1"/>
  <c r="J36" i="15" s="1"/>
  <c r="K36" i="15" s="1"/>
  <c r="H36" i="13"/>
  <c r="I36" i="13" s="1"/>
  <c r="J36" i="13" s="1"/>
  <c r="K36" i="13" s="1"/>
  <c r="Q24" i="13" l="1"/>
  <c r="R24" i="13" s="1"/>
  <c r="S24" i="13" s="1"/>
  <c r="L24" i="13"/>
  <c r="M24" i="13" s="1"/>
  <c r="N24" i="13" s="1"/>
  <c r="L36" i="13"/>
  <c r="M36" i="13" s="1"/>
  <c r="N36" i="13" s="1"/>
  <c r="Q36" i="13"/>
  <c r="R36" i="13" s="1"/>
  <c r="S36" i="13" s="1"/>
  <c r="Q24" i="15"/>
  <c r="R24" i="15" s="1"/>
  <c r="S24" i="15" s="1"/>
  <c r="L24" i="15"/>
  <c r="M24" i="15" s="1"/>
  <c r="N24" i="15" s="1"/>
  <c r="Q36" i="15"/>
  <c r="R36" i="15" s="1"/>
  <c r="S36" i="15" s="1"/>
  <c r="L36" i="15"/>
  <c r="M36" i="15" s="1"/>
  <c r="N36" i="15" s="1"/>
  <c r="G17" i="8"/>
  <c r="C74" i="7" l="1"/>
  <c r="C41" i="7"/>
  <c r="C33" i="7"/>
  <c r="K9" i="8" l="1"/>
  <c r="L20" i="15"/>
  <c r="L20" i="13"/>
  <c r="D31" i="15"/>
  <c r="D27" i="15"/>
  <c r="E28" i="15" s="1"/>
  <c r="D31" i="13"/>
  <c r="D27" i="13"/>
  <c r="E28" i="13" s="1"/>
  <c r="E17" i="8"/>
  <c r="E21" i="8"/>
  <c r="B243" i="7"/>
  <c r="B293" i="7"/>
  <c r="B304" i="7"/>
  <c r="M35" i="6"/>
  <c r="M36" i="6" s="1"/>
  <c r="M34" i="6"/>
  <c r="G18" i="8" l="1"/>
  <c r="E29" i="13"/>
  <c r="B247" i="7"/>
  <c r="B244" i="7"/>
  <c r="B245" i="7" s="1"/>
  <c r="E29" i="15"/>
  <c r="B246" i="7"/>
  <c r="B253" i="7" s="1"/>
  <c r="B307" i="7"/>
  <c r="B308" i="7"/>
  <c r="G13" i="6"/>
  <c r="H13" i="6" s="1"/>
  <c r="G15" i="6"/>
  <c r="H15" i="6" s="1"/>
  <c r="G17" i="6"/>
  <c r="H17" i="6" s="1"/>
  <c r="G19" i="6"/>
  <c r="H19" i="6" s="1"/>
  <c r="G21" i="6"/>
  <c r="H21" i="6" s="1"/>
  <c r="G23" i="6"/>
  <c r="H23" i="6" s="1"/>
  <c r="G25" i="6"/>
  <c r="H25" i="6" s="1"/>
  <c r="G27" i="6"/>
  <c r="H27" i="6" s="1"/>
  <c r="G29" i="6"/>
  <c r="H29" i="6" s="1"/>
  <c r="G31" i="6"/>
  <c r="H31" i="6" s="1"/>
  <c r="G33" i="6"/>
  <c r="H33" i="6" s="1"/>
  <c r="G35" i="6"/>
  <c r="H35" i="6" s="1"/>
  <c r="G37" i="6"/>
  <c r="H37" i="6" s="1"/>
  <c r="G39" i="6"/>
  <c r="H39" i="6" s="1"/>
  <c r="G41" i="6"/>
  <c r="H41" i="6" s="1"/>
  <c r="G43" i="6"/>
  <c r="H43" i="6" s="1"/>
  <c r="G45" i="6"/>
  <c r="H45" i="6" s="1"/>
  <c r="G47" i="6"/>
  <c r="H47" i="6" s="1"/>
  <c r="G49" i="6"/>
  <c r="H49" i="6" s="1"/>
  <c r="G51" i="6"/>
  <c r="H51" i="6" s="1"/>
  <c r="G53" i="6"/>
  <c r="H53" i="6" s="1"/>
  <c r="G11" i="6"/>
  <c r="H11" i="6" s="1"/>
  <c r="F55" i="6"/>
  <c r="D33" i="15" l="1"/>
  <c r="C33" i="15"/>
  <c r="C33" i="13"/>
  <c r="D33" i="13"/>
  <c r="E23" i="8"/>
  <c r="E29" i="8" s="1"/>
  <c r="C23" i="8"/>
  <c r="E30" i="15"/>
  <c r="E30" i="13"/>
  <c r="B250" i="7"/>
  <c r="B251" i="7" s="1"/>
  <c r="B249" i="7"/>
  <c r="B248" i="7"/>
  <c r="G19" i="8"/>
  <c r="B309" i="7"/>
  <c r="C31" i="15" s="1"/>
  <c r="H55" i="6"/>
  <c r="H56" i="6"/>
  <c r="H57" i="6" s="1"/>
  <c r="G55" i="6"/>
  <c r="C14" i="5"/>
  <c r="D9" i="5"/>
  <c r="E9" i="5" s="1"/>
  <c r="D10" i="5"/>
  <c r="E10" i="5" s="1"/>
  <c r="D11" i="5"/>
  <c r="E11" i="5" s="1"/>
  <c r="D12" i="5"/>
  <c r="E12" i="5" s="1"/>
  <c r="D8" i="5"/>
  <c r="E31" i="15" l="1"/>
  <c r="C35" i="15"/>
  <c r="C35" i="13"/>
  <c r="C25" i="8"/>
  <c r="G20" i="8"/>
  <c r="C19" i="8"/>
  <c r="C29" i="15"/>
  <c r="C29" i="13"/>
  <c r="E31" i="13"/>
  <c r="C21" i="8"/>
  <c r="C31" i="13"/>
  <c r="G59" i="6"/>
  <c r="G61" i="6"/>
  <c r="B2" i="6"/>
  <c r="B3" i="6"/>
  <c r="D14" i="5"/>
  <c r="E8" i="5"/>
  <c r="E14" i="5" s="1"/>
  <c r="I14" i="5" s="1"/>
  <c r="G19" i="4"/>
  <c r="G18" i="4"/>
  <c r="G17" i="4"/>
  <c r="G16" i="4"/>
  <c r="G15" i="4"/>
  <c r="G14" i="4"/>
  <c r="G13" i="4"/>
  <c r="F10" i="4"/>
  <c r="G10" i="4" s="1"/>
  <c r="F13" i="4"/>
  <c r="F22" i="4"/>
  <c r="E7" i="4"/>
  <c r="E8" i="4"/>
  <c r="E9" i="4"/>
  <c r="E10" i="4"/>
  <c r="E11" i="4"/>
  <c r="E12" i="4"/>
  <c r="E13" i="4"/>
  <c r="E14" i="4"/>
  <c r="E15" i="4"/>
  <c r="E16" i="4"/>
  <c r="E17" i="4"/>
  <c r="E18" i="4"/>
  <c r="E19" i="4"/>
  <c r="E6" i="4"/>
  <c r="C10" i="3"/>
  <c r="C11" i="3" s="1"/>
  <c r="C9" i="3"/>
  <c r="D4" i="3"/>
  <c r="E4" i="3" s="1"/>
  <c r="D5" i="3"/>
  <c r="E5" i="3" s="1"/>
  <c r="D6" i="3"/>
  <c r="E6" i="3" s="1"/>
  <c r="D7" i="3"/>
  <c r="E7" i="3" s="1"/>
  <c r="D8" i="3"/>
  <c r="E8" i="3" s="1"/>
  <c r="D3" i="3"/>
  <c r="E3" i="3" s="1"/>
  <c r="C33" i="2"/>
  <c r="C34" i="2" s="1"/>
  <c r="C32" i="2"/>
  <c r="D12" i="2"/>
  <c r="E12" i="2" s="1"/>
  <c r="D13" i="2"/>
  <c r="E13" i="2" s="1"/>
  <c r="D14" i="2"/>
  <c r="E14" i="2" s="1"/>
  <c r="D15" i="2"/>
  <c r="E15" i="2" s="1"/>
  <c r="D16" i="2"/>
  <c r="E16" i="2" s="1"/>
  <c r="D17" i="2"/>
  <c r="E17" i="2" s="1"/>
  <c r="D18" i="2"/>
  <c r="E18" i="2" s="1"/>
  <c r="D19" i="2"/>
  <c r="E19" i="2" s="1"/>
  <c r="D20" i="2"/>
  <c r="E20" i="2" s="1"/>
  <c r="D21" i="2"/>
  <c r="E21" i="2" s="1"/>
  <c r="D22" i="2"/>
  <c r="E22" i="2" s="1"/>
  <c r="D23" i="2"/>
  <c r="E23" i="2" s="1"/>
  <c r="D24" i="2"/>
  <c r="E24" i="2" s="1"/>
  <c r="D25" i="2"/>
  <c r="E25" i="2" s="1"/>
  <c r="D26" i="2"/>
  <c r="E26" i="2" s="1"/>
  <c r="D27" i="2"/>
  <c r="E27" i="2" s="1"/>
  <c r="D28" i="2"/>
  <c r="E28" i="2" s="1"/>
  <c r="D29" i="2"/>
  <c r="E29" i="2" s="1"/>
  <c r="D30" i="2"/>
  <c r="E30" i="2" s="1"/>
  <c r="D31" i="2"/>
  <c r="E31" i="2" s="1"/>
  <c r="D11" i="2"/>
  <c r="D33" i="2" l="1"/>
  <c r="D34" i="2" s="1"/>
  <c r="C34" i="15"/>
  <c r="C34" i="13"/>
  <c r="C24" i="8"/>
  <c r="C25" i="15"/>
  <c r="C25" i="13"/>
  <c r="C15" i="8"/>
  <c r="E32" i="13"/>
  <c r="D10" i="3"/>
  <c r="D11" i="3" s="1"/>
  <c r="G21" i="8"/>
  <c r="C26" i="15"/>
  <c r="C26" i="13"/>
  <c r="C16" i="8"/>
  <c r="E32" i="15"/>
  <c r="K14" i="5"/>
  <c r="J14" i="5"/>
  <c r="E10" i="3"/>
  <c r="E11" i="3" s="1"/>
  <c r="E9" i="3"/>
  <c r="G60" i="6" s="1"/>
  <c r="D9" i="3"/>
  <c r="E11" i="2"/>
  <c r="D32" i="2"/>
  <c r="B294" i="7" s="1"/>
  <c r="J21" i="4"/>
  <c r="J20" i="4"/>
  <c r="K20" i="4" s="1"/>
  <c r="G22" i="4"/>
  <c r="B3" i="2" l="1"/>
  <c r="B4" i="7"/>
  <c r="B5" i="7" s="1"/>
  <c r="E33" i="15"/>
  <c r="E33" i="13"/>
  <c r="G22" i="8"/>
  <c r="B296" i="7"/>
  <c r="B297" i="7"/>
  <c r="B298" i="7" s="1"/>
  <c r="J25" i="8"/>
  <c r="K25" i="8" s="1"/>
  <c r="L25" i="8" s="1"/>
  <c r="M25" i="8" s="1"/>
  <c r="N25" i="8" s="1"/>
  <c r="O25" i="8" s="1"/>
  <c r="P25" i="8" s="1"/>
  <c r="H35" i="15"/>
  <c r="I35" i="15" s="1"/>
  <c r="J35" i="15" s="1"/>
  <c r="K35" i="15" s="1"/>
  <c r="H35" i="13"/>
  <c r="I35" i="13" s="1"/>
  <c r="J35" i="13" s="1"/>
  <c r="K35" i="13" s="1"/>
  <c r="K8" i="8"/>
  <c r="B310" i="7"/>
  <c r="B6" i="7"/>
  <c r="B9" i="7"/>
  <c r="E33" i="2"/>
  <c r="E34" i="2" s="1"/>
  <c r="E32" i="2"/>
  <c r="G11" i="2" s="1"/>
  <c r="I11" i="2" s="1"/>
  <c r="B4" i="2" s="1"/>
  <c r="K21" i="4"/>
  <c r="L21" i="4"/>
  <c r="B4" i="6" s="1"/>
  <c r="L20" i="4"/>
  <c r="H6" i="1"/>
  <c r="D12" i="1"/>
  <c r="E12" i="1" s="1"/>
  <c r="D13" i="1"/>
  <c r="D14" i="1"/>
  <c r="E14" i="1" s="1"/>
  <c r="D15" i="1"/>
  <c r="E15" i="1" s="1"/>
  <c r="D16" i="1"/>
  <c r="E16" i="1" s="1"/>
  <c r="D17" i="1"/>
  <c r="E17" i="1" s="1"/>
  <c r="D18" i="1"/>
  <c r="E18" i="1" s="1"/>
  <c r="D19" i="1"/>
  <c r="E19" i="1" s="1"/>
  <c r="D20" i="1"/>
  <c r="E20" i="1" s="1"/>
  <c r="D21" i="1"/>
  <c r="E21" i="1" s="1"/>
  <c r="D22" i="1"/>
  <c r="E22" i="1" s="1"/>
  <c r="D23" i="1"/>
  <c r="E23" i="1" s="1"/>
  <c r="D24" i="1"/>
  <c r="E24" i="1" s="1"/>
  <c r="D25" i="1"/>
  <c r="E25" i="1" s="1"/>
  <c r="D26" i="1"/>
  <c r="E26" i="1" s="1"/>
  <c r="D27" i="1"/>
  <c r="E27" i="1" s="1"/>
  <c r="D28" i="1"/>
  <c r="E28" i="1" s="1"/>
  <c r="D29" i="1"/>
  <c r="E29" i="1" s="1"/>
  <c r="D30" i="1"/>
  <c r="E30" i="1" s="1"/>
  <c r="D31" i="1"/>
  <c r="E31" i="1" s="1"/>
  <c r="D32" i="1"/>
  <c r="E32" i="1" s="1"/>
  <c r="D33" i="1"/>
  <c r="E33" i="1" s="1"/>
  <c r="D34" i="1"/>
  <c r="E34" i="1" s="1"/>
  <c r="D35" i="1"/>
  <c r="E35" i="1" s="1"/>
  <c r="D36" i="1"/>
  <c r="E36" i="1" s="1"/>
  <c r="D37" i="1"/>
  <c r="E37" i="1" s="1"/>
  <c r="D38" i="1"/>
  <c r="E38" i="1" s="1"/>
  <c r="D39" i="1"/>
  <c r="E39" i="1" s="1"/>
  <c r="D40" i="1"/>
  <c r="E40" i="1" s="1"/>
  <c r="D41" i="1"/>
  <c r="E41" i="1" s="1"/>
  <c r="D42" i="1"/>
  <c r="E42" i="1" s="1"/>
  <c r="D43" i="1"/>
  <c r="E43" i="1" s="1"/>
  <c r="D44" i="1"/>
  <c r="E44" i="1" s="1"/>
  <c r="D45" i="1"/>
  <c r="E45" i="1" s="1"/>
  <c r="D46" i="1"/>
  <c r="E46" i="1" s="1"/>
  <c r="D47" i="1"/>
  <c r="E47" i="1" s="1"/>
  <c r="D48" i="1"/>
  <c r="E48" i="1" s="1"/>
  <c r="D49" i="1"/>
  <c r="E49" i="1" s="1"/>
  <c r="D50" i="1"/>
  <c r="E50" i="1" s="1"/>
  <c r="D51" i="1"/>
  <c r="E51" i="1" s="1"/>
  <c r="D52" i="1"/>
  <c r="E52" i="1" s="1"/>
  <c r="D53" i="1"/>
  <c r="E53" i="1" s="1"/>
  <c r="D54" i="1"/>
  <c r="E54" i="1" s="1"/>
  <c r="D55" i="1"/>
  <c r="E55" i="1" s="1"/>
  <c r="D56" i="1"/>
  <c r="E56" i="1" s="1"/>
  <c r="D57" i="1"/>
  <c r="E57" i="1" s="1"/>
  <c r="D58" i="1"/>
  <c r="E58" i="1" s="1"/>
  <c r="D59" i="1"/>
  <c r="E59" i="1" s="1"/>
  <c r="D60" i="1"/>
  <c r="E60" i="1" s="1"/>
  <c r="D61" i="1"/>
  <c r="E61" i="1" s="1"/>
  <c r="D62" i="1"/>
  <c r="E62" i="1" s="1"/>
  <c r="D63" i="1"/>
  <c r="E63" i="1" s="1"/>
  <c r="D64" i="1"/>
  <c r="E64" i="1" s="1"/>
  <c r="D65" i="1"/>
  <c r="E65" i="1" s="1"/>
  <c r="D66" i="1"/>
  <c r="E66" i="1" s="1"/>
  <c r="D67" i="1"/>
  <c r="E67" i="1" s="1"/>
  <c r="D68" i="1"/>
  <c r="E68" i="1" s="1"/>
  <c r="D69" i="1"/>
  <c r="E69" i="1" s="1"/>
  <c r="D70" i="1"/>
  <c r="E70" i="1" s="1"/>
  <c r="D71" i="1"/>
  <c r="E71" i="1" s="1"/>
  <c r="D72" i="1"/>
  <c r="E72" i="1" s="1"/>
  <c r="D73" i="1"/>
  <c r="E73" i="1" s="1"/>
  <c r="D74" i="1"/>
  <c r="E74" i="1" s="1"/>
  <c r="D75" i="1"/>
  <c r="E75" i="1" s="1"/>
  <c r="D76" i="1"/>
  <c r="E76" i="1" s="1"/>
  <c r="D77" i="1"/>
  <c r="E77" i="1" s="1"/>
  <c r="D78" i="1"/>
  <c r="E78" i="1" s="1"/>
  <c r="D79" i="1"/>
  <c r="E79" i="1" s="1"/>
  <c r="D80" i="1"/>
  <c r="E80" i="1" s="1"/>
  <c r="D81" i="1"/>
  <c r="E81" i="1" s="1"/>
  <c r="D82" i="1"/>
  <c r="E82" i="1" s="1"/>
  <c r="D83" i="1"/>
  <c r="E83" i="1" s="1"/>
  <c r="D84" i="1"/>
  <c r="E84" i="1" s="1"/>
  <c r="D85" i="1"/>
  <c r="E85" i="1" s="1"/>
  <c r="D11" i="1"/>
  <c r="E11" i="1" s="1"/>
  <c r="C87" i="1"/>
  <c r="C88" i="1"/>
  <c r="C86" i="1"/>
  <c r="B299" i="7" l="1"/>
  <c r="B6" i="6"/>
  <c r="B7" i="6" s="1"/>
  <c r="B5" i="6"/>
  <c r="G23" i="8"/>
  <c r="E34" i="15"/>
  <c r="C23" i="15"/>
  <c r="C23" i="13"/>
  <c r="C13" i="8"/>
  <c r="D88" i="1"/>
  <c r="C27" i="15"/>
  <c r="C17" i="8"/>
  <c r="C27" i="13"/>
  <c r="D87" i="1"/>
  <c r="L35" i="13"/>
  <c r="M35" i="13" s="1"/>
  <c r="N35" i="13" s="1"/>
  <c r="Q35" i="13"/>
  <c r="R35" i="13" s="1"/>
  <c r="S35" i="13" s="1"/>
  <c r="E34" i="13"/>
  <c r="L19" i="15"/>
  <c r="L19" i="13"/>
  <c r="H25" i="15"/>
  <c r="I25" i="15" s="1"/>
  <c r="J25" i="15" s="1"/>
  <c r="K25" i="15" s="1"/>
  <c r="H25" i="13"/>
  <c r="I25" i="13" s="1"/>
  <c r="J25" i="13" s="1"/>
  <c r="K25" i="13" s="1"/>
  <c r="J15" i="8"/>
  <c r="K15" i="8" s="1"/>
  <c r="L15" i="8" s="1"/>
  <c r="M15" i="8" s="1"/>
  <c r="N15" i="8" s="1"/>
  <c r="O15" i="8" s="1"/>
  <c r="P15" i="8" s="1"/>
  <c r="L35" i="15"/>
  <c r="M35" i="15" s="1"/>
  <c r="N35" i="15" s="1"/>
  <c r="Q35" i="15"/>
  <c r="R35" i="15" s="1"/>
  <c r="S35" i="15" s="1"/>
  <c r="B5" i="2"/>
  <c r="B300" i="7"/>
  <c r="B301" i="7" s="1"/>
  <c r="H27" i="15" s="1"/>
  <c r="B10" i="7"/>
  <c r="B11" i="7" s="1"/>
  <c r="H32" i="15" s="1"/>
  <c r="I32" i="15" s="1"/>
  <c r="J32" i="15" s="1"/>
  <c r="K32" i="15" s="1"/>
  <c r="B7" i="7"/>
  <c r="B8" i="7" s="1"/>
  <c r="H29" i="15" s="1"/>
  <c r="I29" i="15" s="1"/>
  <c r="J29" i="15" s="1"/>
  <c r="K29" i="15" s="1"/>
  <c r="B311" i="7"/>
  <c r="B312" i="7" s="1"/>
  <c r="H31" i="15" s="1"/>
  <c r="I31" i="15" s="1"/>
  <c r="J31" i="15" s="1"/>
  <c r="K31" i="15" s="1"/>
  <c r="F9" i="3"/>
  <c r="B8" i="6"/>
  <c r="K7" i="8"/>
  <c r="E13" i="1"/>
  <c r="F6" i="1" s="1"/>
  <c r="D86" i="1"/>
  <c r="M27" i="15" l="1"/>
  <c r="N27" i="15" s="1"/>
  <c r="R27" i="15"/>
  <c r="S27" i="15" s="1"/>
  <c r="G24" i="8"/>
  <c r="Q25" i="13"/>
  <c r="R25" i="13" s="1"/>
  <c r="S25" i="13" s="1"/>
  <c r="L25" i="13"/>
  <c r="M25" i="13" s="1"/>
  <c r="N25" i="13" s="1"/>
  <c r="L25" i="15"/>
  <c r="M25" i="15" s="1"/>
  <c r="N25" i="15" s="1"/>
  <c r="Q25" i="15"/>
  <c r="R25" i="15" s="1"/>
  <c r="S25" i="15" s="1"/>
  <c r="E35" i="13"/>
  <c r="R27" i="13"/>
  <c r="S27" i="13" s="1"/>
  <c r="M27" i="13"/>
  <c r="N27" i="13" s="1"/>
  <c r="E35" i="15"/>
  <c r="B6" i="2"/>
  <c r="B7" i="2" s="1"/>
  <c r="L17" i="15"/>
  <c r="L18" i="15" s="1"/>
  <c r="L17" i="13"/>
  <c r="L29" i="15"/>
  <c r="M29" i="15" s="1"/>
  <c r="N29" i="15" s="1"/>
  <c r="Q29" i="15"/>
  <c r="R29" i="15" s="1"/>
  <c r="S29" i="15" s="1"/>
  <c r="L32" i="15"/>
  <c r="M32" i="15" s="1"/>
  <c r="N32" i="15" s="1"/>
  <c r="Q32" i="15"/>
  <c r="R32" i="15" s="1"/>
  <c r="S32" i="15" s="1"/>
  <c r="J23" i="8"/>
  <c r="K23" i="8" s="1"/>
  <c r="L23" i="8" s="1"/>
  <c r="M23" i="8" s="1"/>
  <c r="N23" i="8" s="1"/>
  <c r="O23" i="8" s="1"/>
  <c r="P23" i="8" s="1"/>
  <c r="H33" i="15"/>
  <c r="I33" i="15" s="1"/>
  <c r="J33" i="15" s="1"/>
  <c r="K33" i="15" s="1"/>
  <c r="H33" i="13"/>
  <c r="I33" i="13" s="1"/>
  <c r="J33" i="13" s="1"/>
  <c r="K33" i="13" s="1"/>
  <c r="J24" i="8"/>
  <c r="K24" i="8" s="1"/>
  <c r="L24" i="8" s="1"/>
  <c r="M24" i="8" s="1"/>
  <c r="N24" i="8" s="1"/>
  <c r="O24" i="8" s="1"/>
  <c r="P24" i="8" s="1"/>
  <c r="H34" i="15"/>
  <c r="I34" i="15" s="1"/>
  <c r="J34" i="15" s="1"/>
  <c r="K34" i="15" s="1"/>
  <c r="H34" i="13"/>
  <c r="I34" i="13" s="1"/>
  <c r="J34" i="13" s="1"/>
  <c r="K34" i="13" s="1"/>
  <c r="L6" i="8"/>
  <c r="M16" i="15"/>
  <c r="L18" i="13"/>
  <c r="M16" i="13" s="1"/>
  <c r="L31" i="15"/>
  <c r="M31" i="15" s="1"/>
  <c r="N31" i="15" s="1"/>
  <c r="Q31" i="15"/>
  <c r="R31" i="15" s="1"/>
  <c r="S31" i="15" s="1"/>
  <c r="J21" i="8"/>
  <c r="K21" i="8" s="1"/>
  <c r="L21" i="8" s="1"/>
  <c r="M21" i="8" s="1"/>
  <c r="N21" i="8" s="1"/>
  <c r="O21" i="8" s="1"/>
  <c r="P21" i="8" s="1"/>
  <c r="H31" i="13"/>
  <c r="I31" i="13" s="1"/>
  <c r="J31" i="13" s="1"/>
  <c r="K31" i="13" s="1"/>
  <c r="J22" i="8"/>
  <c r="K22" i="8" s="1"/>
  <c r="L22" i="8" s="1"/>
  <c r="M22" i="8" s="1"/>
  <c r="N22" i="8" s="1"/>
  <c r="O22" i="8" s="1"/>
  <c r="P22" i="8" s="1"/>
  <c r="H32" i="13"/>
  <c r="I32" i="13" s="1"/>
  <c r="J32" i="13" s="1"/>
  <c r="K32" i="13" s="1"/>
  <c r="J19" i="8"/>
  <c r="K19" i="8" s="1"/>
  <c r="L19" i="8" s="1"/>
  <c r="M19" i="8" s="1"/>
  <c r="N19" i="8" s="1"/>
  <c r="O19" i="8" s="1"/>
  <c r="P19" i="8" s="1"/>
  <c r="H29" i="13"/>
  <c r="I29" i="13" s="1"/>
  <c r="J29" i="13" s="1"/>
  <c r="K29" i="13" s="1"/>
  <c r="J17" i="8"/>
  <c r="K17" i="8" s="1"/>
  <c r="L17" i="8" s="1"/>
  <c r="M17" i="8" s="1"/>
  <c r="N17" i="8" s="1"/>
  <c r="O17" i="8" s="1"/>
  <c r="P17" i="8" s="1"/>
  <c r="H27" i="13"/>
  <c r="E88" i="1"/>
  <c r="E86" i="1"/>
  <c r="E87" i="1"/>
  <c r="G6" i="1"/>
  <c r="I6" i="1" s="1"/>
  <c r="K6" i="1" s="1"/>
  <c r="L6" i="1" s="1"/>
  <c r="H23" i="15" l="1"/>
  <c r="I23" i="15" s="1"/>
  <c r="J23" i="15" s="1"/>
  <c r="K23" i="15" s="1"/>
  <c r="H23" i="13"/>
  <c r="I23" i="13" s="1"/>
  <c r="J23" i="13" s="1"/>
  <c r="K23" i="13" s="1"/>
  <c r="J13" i="8"/>
  <c r="K13" i="8" s="1"/>
  <c r="L13" i="8" s="1"/>
  <c r="M13" i="8" s="1"/>
  <c r="N13" i="8" s="1"/>
  <c r="O13" i="8" s="1"/>
  <c r="P13" i="8" s="1"/>
  <c r="P29" i="8" s="1"/>
  <c r="Q20" i="8" s="1"/>
  <c r="H26" i="13"/>
  <c r="I26" i="13" s="1"/>
  <c r="J26" i="13" s="1"/>
  <c r="K26" i="13" s="1"/>
  <c r="J16" i="8"/>
  <c r="K16" i="8" s="1"/>
  <c r="L16" i="8" s="1"/>
  <c r="M16" i="8" s="1"/>
  <c r="N16" i="8" s="1"/>
  <c r="O16" i="8" s="1"/>
  <c r="P16" i="8" s="1"/>
  <c r="H26" i="15"/>
  <c r="I26" i="15" s="1"/>
  <c r="J26" i="15" s="1"/>
  <c r="K26" i="15" s="1"/>
  <c r="G25" i="8"/>
  <c r="E36" i="15"/>
  <c r="E37" i="15" s="1"/>
  <c r="F35" i="15" s="1"/>
  <c r="G35" i="15" s="1"/>
  <c r="E36" i="13"/>
  <c r="L33" i="13"/>
  <c r="M33" i="13" s="1"/>
  <c r="N33" i="13" s="1"/>
  <c r="Q33" i="13"/>
  <c r="R33" i="13" s="1"/>
  <c r="S33" i="13" s="1"/>
  <c r="L33" i="15"/>
  <c r="M33" i="15" s="1"/>
  <c r="N33" i="15" s="1"/>
  <c r="Q33" i="15"/>
  <c r="R33" i="15" s="1"/>
  <c r="S33" i="15" s="1"/>
  <c r="L34" i="13"/>
  <c r="M34" i="13" s="1"/>
  <c r="N34" i="13" s="1"/>
  <c r="Q34" i="13"/>
  <c r="R34" i="13" s="1"/>
  <c r="S34" i="13" s="1"/>
  <c r="L34" i="15"/>
  <c r="M34" i="15" s="1"/>
  <c r="N34" i="15" s="1"/>
  <c r="Q34" i="15"/>
  <c r="R34" i="15" s="1"/>
  <c r="S34" i="15" s="1"/>
  <c r="Q29" i="13"/>
  <c r="R29" i="13" s="1"/>
  <c r="L29" i="13"/>
  <c r="Q32" i="13"/>
  <c r="L32" i="13"/>
  <c r="O29" i="8"/>
  <c r="L31" i="13"/>
  <c r="Q31" i="13"/>
  <c r="Q26" i="13" l="1"/>
  <c r="R26" i="13" s="1"/>
  <c r="S26" i="13" s="1"/>
  <c r="L26" i="13"/>
  <c r="M26" i="13" s="1"/>
  <c r="N26" i="13" s="1"/>
  <c r="E37" i="13"/>
  <c r="G26" i="8"/>
  <c r="Q26" i="15"/>
  <c r="R26" i="15" s="1"/>
  <c r="S26" i="15" s="1"/>
  <c r="L26" i="15"/>
  <c r="M26" i="15" s="1"/>
  <c r="N26" i="15" s="1"/>
  <c r="Q23" i="13"/>
  <c r="R23" i="13" s="1"/>
  <c r="S23" i="13" s="1"/>
  <c r="L23" i="13"/>
  <c r="M23" i="13" s="1"/>
  <c r="N23" i="13" s="1"/>
  <c r="F36" i="15"/>
  <c r="G36" i="15" s="1"/>
  <c r="F37" i="15"/>
  <c r="G37" i="15" s="1"/>
  <c r="E38" i="15"/>
  <c r="F38" i="15" s="1"/>
  <c r="G38" i="15" s="1"/>
  <c r="F23" i="15"/>
  <c r="G23" i="15" s="1"/>
  <c r="F24" i="15"/>
  <c r="G24" i="15" s="1"/>
  <c r="F25" i="15"/>
  <c r="G25" i="15" s="1"/>
  <c r="F26" i="15"/>
  <c r="G26" i="15" s="1"/>
  <c r="F27" i="15"/>
  <c r="G27" i="15" s="1"/>
  <c r="F28" i="15"/>
  <c r="G28" i="15" s="1"/>
  <c r="F29" i="15"/>
  <c r="G29" i="15" s="1"/>
  <c r="F30" i="15"/>
  <c r="G30" i="15" s="1"/>
  <c r="F31" i="15"/>
  <c r="G31" i="15" s="1"/>
  <c r="F32" i="15"/>
  <c r="G32" i="15" s="1"/>
  <c r="F33" i="15"/>
  <c r="G33" i="15" s="1"/>
  <c r="F34" i="15"/>
  <c r="G34" i="15" s="1"/>
  <c r="Q23" i="15"/>
  <c r="R23" i="15" s="1"/>
  <c r="S23" i="15" s="1"/>
  <c r="S39" i="15" s="1"/>
  <c r="L23" i="15"/>
  <c r="M23" i="15" s="1"/>
  <c r="N23" i="15" s="1"/>
  <c r="N39" i="15" s="1"/>
  <c r="F49" i="15" s="1"/>
  <c r="F50" i="15" s="1"/>
  <c r="R31" i="13"/>
  <c r="S31" i="13" s="1"/>
  <c r="M32" i="13"/>
  <c r="N32" i="13" s="1"/>
  <c r="R32" i="13"/>
  <c r="S32" i="13" s="1"/>
  <c r="M29" i="13"/>
  <c r="N29" i="13" s="1"/>
  <c r="M31" i="13"/>
  <c r="N31" i="13" s="1"/>
  <c r="R13" i="8"/>
  <c r="R14" i="8" s="1"/>
  <c r="R15" i="8" s="1"/>
  <c r="R16" i="8" s="1"/>
  <c r="R17" i="8" s="1"/>
  <c r="R18" i="8" s="1"/>
  <c r="R19" i="8" s="1"/>
  <c r="R20" i="8" s="1"/>
  <c r="R21" i="8" s="1"/>
  <c r="R22" i="8" s="1"/>
  <c r="R23" i="8" s="1"/>
  <c r="Q14" i="8"/>
  <c r="Q24" i="8"/>
  <c r="Q17" i="8"/>
  <c r="Q15" i="8"/>
  <c r="Q18" i="8"/>
  <c r="Q23" i="8"/>
  <c r="Q13" i="8"/>
  <c r="Q16" i="8"/>
  <c r="Q21" i="8"/>
  <c r="Q25" i="8"/>
  <c r="Q19" i="8"/>
  <c r="Q26" i="8"/>
  <c r="Q22" i="8"/>
  <c r="S29" i="13"/>
  <c r="S30" i="13"/>
  <c r="F26" i="13" l="1"/>
  <c r="G26" i="13" s="1"/>
  <c r="E38" i="13"/>
  <c r="F38" i="13" s="1"/>
  <c r="G38" i="13" s="1"/>
  <c r="F24" i="13"/>
  <c r="G24" i="13" s="1"/>
  <c r="F23" i="13"/>
  <c r="G23" i="13" s="1"/>
  <c r="F37" i="13"/>
  <c r="G37" i="13" s="1"/>
  <c r="F27" i="13"/>
  <c r="G27" i="13" s="1"/>
  <c r="F25" i="13"/>
  <c r="G25" i="13" s="1"/>
  <c r="F28" i="13"/>
  <c r="G28" i="13" s="1"/>
  <c r="F29" i="13"/>
  <c r="G29" i="13" s="1"/>
  <c r="F30" i="13"/>
  <c r="G30" i="13" s="1"/>
  <c r="F31" i="13"/>
  <c r="G31" i="13" s="1"/>
  <c r="F32" i="13"/>
  <c r="G32" i="13" s="1"/>
  <c r="F33" i="13"/>
  <c r="G33" i="13" s="1"/>
  <c r="F34" i="13"/>
  <c r="G34" i="13" s="1"/>
  <c r="F35" i="13"/>
  <c r="G35" i="13" s="1"/>
  <c r="G27" i="8"/>
  <c r="F36" i="13"/>
  <c r="G36" i="13" s="1"/>
  <c r="T27" i="15"/>
  <c r="U23" i="15"/>
  <c r="T24" i="15"/>
  <c r="T23" i="15"/>
  <c r="T37" i="15"/>
  <c r="T28" i="15"/>
  <c r="T35" i="15"/>
  <c r="T38" i="15"/>
  <c r="T36" i="15"/>
  <c r="T25" i="15"/>
  <c r="C49" i="15"/>
  <c r="C50" i="15" s="1"/>
  <c r="T30" i="15"/>
  <c r="T31" i="15"/>
  <c r="T26" i="15"/>
  <c r="T29" i="15"/>
  <c r="T32" i="15"/>
  <c r="T34" i="15"/>
  <c r="T33" i="15"/>
  <c r="N39" i="13"/>
  <c r="F49" i="13" s="1"/>
  <c r="F50" i="13" s="1"/>
  <c r="S39" i="13"/>
  <c r="T30" i="13" s="1"/>
  <c r="R24" i="8"/>
  <c r="R25" i="8" s="1"/>
  <c r="H14" i="8" l="1"/>
  <c r="I14" i="8" s="1"/>
  <c r="H27" i="8"/>
  <c r="I27" i="8" s="1"/>
  <c r="H15" i="8"/>
  <c r="I15" i="8" s="1"/>
  <c r="H17" i="8"/>
  <c r="I17" i="8" s="1"/>
  <c r="H13" i="8"/>
  <c r="I13" i="8" s="1"/>
  <c r="H16" i="8"/>
  <c r="I16" i="8" s="1"/>
  <c r="G28" i="8"/>
  <c r="H28" i="8" s="1"/>
  <c r="I28" i="8" s="1"/>
  <c r="H18" i="8"/>
  <c r="I18" i="8" s="1"/>
  <c r="H19" i="8"/>
  <c r="I19" i="8" s="1"/>
  <c r="H20" i="8"/>
  <c r="I20" i="8" s="1"/>
  <c r="H21" i="8"/>
  <c r="I21" i="8" s="1"/>
  <c r="H22" i="8"/>
  <c r="I22" i="8" s="1"/>
  <c r="H23" i="8"/>
  <c r="I23" i="8" s="1"/>
  <c r="H24" i="8"/>
  <c r="I24" i="8" s="1"/>
  <c r="H25" i="8"/>
  <c r="I25" i="8" s="1"/>
  <c r="H26" i="8"/>
  <c r="I26" i="8" s="1"/>
  <c r="U24" i="15"/>
  <c r="V23" i="15"/>
  <c r="T29" i="13"/>
  <c r="T38" i="13"/>
  <c r="T25" i="13"/>
  <c r="C49" i="13"/>
  <c r="C50" i="13" s="1"/>
  <c r="T34" i="13"/>
  <c r="T37" i="13"/>
  <c r="T26" i="13"/>
  <c r="T33" i="13"/>
  <c r="T24" i="13"/>
  <c r="T28" i="13"/>
  <c r="T23" i="13"/>
  <c r="U23" i="13"/>
  <c r="T35" i="13"/>
  <c r="T36" i="13"/>
  <c r="T27" i="13"/>
  <c r="T31" i="13"/>
  <c r="T32" i="13"/>
  <c r="R26" i="8"/>
  <c r="U25" i="15" l="1"/>
  <c r="V24" i="15"/>
  <c r="U24" i="13"/>
  <c r="V23" i="13"/>
  <c r="V25" i="15" l="1"/>
  <c r="U26" i="15"/>
  <c r="U25" i="13"/>
  <c r="V24" i="13"/>
  <c r="V26" i="15" l="1"/>
  <c r="U27" i="15"/>
  <c r="V25" i="13"/>
  <c r="U26" i="13"/>
  <c r="V27" i="15" l="1"/>
  <c r="U28" i="15"/>
  <c r="U27" i="13"/>
  <c r="V26" i="13"/>
  <c r="U29" i="15" l="1"/>
  <c r="V28" i="15"/>
  <c r="U28" i="13"/>
  <c r="V27" i="13"/>
  <c r="V29" i="15" l="1"/>
  <c r="U30" i="15"/>
  <c r="U29" i="13"/>
  <c r="V28" i="13"/>
  <c r="V30" i="15" l="1"/>
  <c r="U31" i="15"/>
  <c r="U30" i="13"/>
  <c r="V29" i="13"/>
  <c r="U32" i="15" l="1"/>
  <c r="V31" i="15"/>
  <c r="V30" i="13"/>
  <c r="U31" i="13"/>
  <c r="U33" i="15" l="1"/>
  <c r="V32" i="15"/>
  <c r="V31" i="13"/>
  <c r="U32" i="13"/>
  <c r="V33" i="15" l="1"/>
  <c r="U34" i="15"/>
  <c r="V32" i="13"/>
  <c r="U33" i="13"/>
  <c r="U35" i="15" l="1"/>
  <c r="V34" i="15"/>
  <c r="V33" i="13"/>
  <c r="U34" i="13"/>
  <c r="U36" i="15" l="1"/>
  <c r="V35" i="15"/>
  <c r="V34" i="13"/>
  <c r="U35" i="13"/>
  <c r="V36" i="15" l="1"/>
  <c r="U37" i="15"/>
  <c r="U36" i="13"/>
  <c r="V35" i="13"/>
  <c r="V37" i="15" l="1"/>
  <c r="U38" i="15"/>
  <c r="V38" i="15" s="1"/>
  <c r="U37" i="13"/>
  <c r="V36" i="13"/>
  <c r="V37" i="13" l="1"/>
  <c r="U38" i="13"/>
  <c r="V38" i="1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connect</author>
  </authors>
  <commentList>
    <comment ref="K7" authorId="0" shapeId="0" xr:uid="{00000000-0006-0000-0000-000001000000}">
      <text>
        <r>
          <rPr>
            <b/>
            <sz val="9"/>
            <color indexed="81"/>
            <rFont val="Tahoma"/>
            <family val="2"/>
          </rPr>
          <t xml:space="preserve">Lauen: </t>
        </r>
        <r>
          <rPr>
            <sz val="9"/>
            <color indexed="81"/>
            <rFont val="Tahoma"/>
            <family val="2"/>
          </rPr>
          <t>measured oscula chosen based on those facing directly into the camera was measured</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leys_lab</author>
  </authors>
  <commentList>
    <comment ref="A4" authorId="0" shapeId="0" xr:uid="{00000000-0006-0000-0200-000001000000}">
      <text>
        <r>
          <rPr>
            <b/>
            <sz val="9"/>
            <color indexed="81"/>
            <rFont val="Tahoma"/>
            <family val="2"/>
          </rPr>
          <t>leys_lab:</t>
        </r>
        <r>
          <rPr>
            <sz val="9"/>
            <color indexed="81"/>
            <rFont val="Tahoma"/>
            <family val="2"/>
          </rPr>
          <t xml:space="preserve">
If the height of the cube is 707um, then the width and length are both 1189um. 
</t>
        </r>
      </text>
    </comment>
    <comment ref="A27" authorId="0" shapeId="0" xr:uid="{00000000-0006-0000-0200-000002000000}">
      <text>
        <r>
          <rPr>
            <b/>
            <sz val="9"/>
            <color indexed="81"/>
            <rFont val="Tahoma"/>
            <family val="2"/>
          </rPr>
          <t>leys_lab:</t>
        </r>
        <r>
          <rPr>
            <sz val="9"/>
            <color indexed="81"/>
            <rFont val="Tahoma"/>
            <family val="2"/>
          </rPr>
          <t xml:space="preserve">
If the height of the cube is 707um, then the width and length are both 1189um.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Sally</author>
  </authors>
  <commentList>
    <comment ref="I10" authorId="0" shapeId="0" xr:uid="{00000000-0006-0000-0600-000001000000}">
      <text>
        <r>
          <rPr>
            <b/>
            <sz val="9"/>
            <color indexed="81"/>
            <rFont val="Tahoma"/>
            <family val="2"/>
          </rPr>
          <t>Sally:</t>
        </r>
        <r>
          <rPr>
            <sz val="9"/>
            <color indexed="81"/>
            <rFont val="Tahoma"/>
            <family val="2"/>
          </rPr>
          <t xml:space="preserve">
this is the percent of the chamber surface area that is prosopyle openings. (i.e. cross sectional area of prosopyles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leys_lab</author>
    <author>Gitai Yahel</author>
    <author>Sally</author>
    <author>Yahe Family</author>
    <author>Evgeni</author>
  </authors>
  <commentList>
    <comment ref="A3" authorId="0" shapeId="0" xr:uid="{00000000-0006-0000-0B00-000001000000}">
      <text>
        <r>
          <rPr>
            <b/>
            <sz val="9"/>
            <color indexed="81"/>
            <rFont val="Tahoma"/>
            <family val="2"/>
          </rPr>
          <t>leys_lab:</t>
        </r>
        <r>
          <rPr>
            <sz val="9"/>
            <color indexed="81"/>
            <rFont val="Tahoma"/>
            <family val="2"/>
          </rPr>
          <t xml:space="preserve">
The osculum area is based on the two Farrea that we have good flow records from. </t>
        </r>
      </text>
    </comment>
    <comment ref="A5" authorId="1" shapeId="0" xr:uid="{00000000-0006-0000-0B00-000002000000}">
      <text>
        <r>
          <rPr>
            <b/>
            <sz val="9"/>
            <color indexed="81"/>
            <rFont val="Tahoma"/>
            <family val="2"/>
          </rPr>
          <t>Gitai Yahel:</t>
        </r>
        <r>
          <rPr>
            <sz val="9"/>
            <color indexed="81"/>
            <rFont val="Tahoma"/>
            <family val="2"/>
          </rPr>
          <t xml:space="preserve">
 using the sponge volume/wall thicknses</t>
        </r>
      </text>
    </comment>
    <comment ref="D5" authorId="1" shapeId="0" xr:uid="{00000000-0006-0000-0B00-000003000000}">
      <text>
        <r>
          <rPr>
            <b/>
            <sz val="9"/>
            <color indexed="81"/>
            <rFont val="Tahoma"/>
            <family val="2"/>
          </rPr>
          <t>Gitai Yahel:</t>
        </r>
        <r>
          <rPr>
            <sz val="9"/>
            <color indexed="81"/>
            <rFont val="Tahoma"/>
            <family val="2"/>
          </rPr>
          <t xml:space="preserve">
Using avrage wall thicness of 5.54 mm</t>
        </r>
      </text>
    </comment>
    <comment ref="E5" authorId="1" shapeId="0" xr:uid="{00000000-0006-0000-0B00-000004000000}">
      <text>
        <r>
          <rPr>
            <b/>
            <sz val="9"/>
            <color indexed="81"/>
            <rFont val="Tahoma"/>
            <family val="2"/>
          </rPr>
          <t>Gitai Yahel:</t>
        </r>
        <r>
          <rPr>
            <sz val="9"/>
            <color indexed="81"/>
            <rFont val="Tahoma"/>
            <family val="2"/>
          </rPr>
          <t xml:space="preserve">
Seawater at 32 psu, 10 degC</t>
        </r>
      </text>
    </comment>
    <comment ref="H6" authorId="1" shapeId="0" xr:uid="{00000000-0006-0000-0B00-000005000000}">
      <text>
        <r>
          <rPr>
            <b/>
            <sz val="9"/>
            <color indexed="81"/>
            <rFont val="Tahoma"/>
            <family val="2"/>
          </rPr>
          <t>Gitai Yahel:</t>
        </r>
        <r>
          <rPr>
            <sz val="9"/>
            <color indexed="81"/>
            <rFont val="Tahoma"/>
            <family val="2"/>
          </rPr>
          <t xml:space="preserve">
From inactive sponge in figures 5D. We amy change this number later</t>
        </r>
      </text>
    </comment>
    <comment ref="G12" authorId="2" shapeId="0" xr:uid="{00000000-0006-0000-0B00-000006000000}">
      <text>
        <r>
          <rPr>
            <b/>
            <sz val="9"/>
            <color indexed="81"/>
            <rFont val="Tahoma"/>
            <family val="2"/>
          </rPr>
          <t>Sally:</t>
        </r>
        <r>
          <rPr>
            <sz val="9"/>
            <color indexed="81"/>
            <rFont val="Tahoma"/>
            <family val="2"/>
          </rPr>
          <t xml:space="preserve">
For a 4.79 mm diameter cylindrical cross wall section of the sponge tissue</t>
        </r>
      </text>
    </comment>
    <comment ref="J12" authorId="1" shapeId="0" xr:uid="{00000000-0006-0000-0B00-000007000000}">
      <text>
        <r>
          <rPr>
            <b/>
            <sz val="9"/>
            <color indexed="81"/>
            <rFont val="Tahoma"/>
            <family val="2"/>
          </rPr>
          <t>Sally:</t>
        </r>
        <r>
          <rPr>
            <sz val="9"/>
            <color indexed="81"/>
            <rFont val="Tahoma"/>
            <family val="2"/>
          </rPr>
          <t xml:space="preserve">
this means for the ostia, area in a piece of the dermal membrane 1mm x 1mm, same as the large canals, but for the choanocyte chambers, it means total surface area of chambers in the 1mm3 piece</t>
        </r>
      </text>
    </comment>
    <comment ref="M12" authorId="1" shapeId="0" xr:uid="{00000000-0006-0000-0B00-000008000000}">
      <text>
        <r>
          <rPr>
            <b/>
            <sz val="9"/>
            <color indexed="81"/>
            <rFont val="Tahoma"/>
            <family val="2"/>
          </rPr>
          <t>Gitai Yahel:</t>
        </r>
        <r>
          <rPr>
            <sz val="9"/>
            <color indexed="81"/>
            <rFont val="Tahoma"/>
            <family val="2"/>
          </rPr>
          <t xml:space="preserve">
=ExcurrentSpeed*$M$30/M12</t>
        </r>
      </text>
    </comment>
    <comment ref="B15" authorId="2" shapeId="0" xr:uid="{00000000-0006-0000-0B00-000009000000}">
      <text>
        <r>
          <rPr>
            <b/>
            <sz val="9"/>
            <color indexed="81"/>
            <rFont val="Tahoma"/>
            <family val="2"/>
          </rPr>
          <t>Sally:</t>
        </r>
        <r>
          <rPr>
            <sz val="9"/>
            <color indexed="81"/>
            <rFont val="Tahoma"/>
            <family val="2"/>
          </rPr>
          <t xml:space="preserve">
can this really be right?
I checked the measurements, and they seem so, but it seems a very small area compared to other regions.
Especially when I say that large incurrent and large excurent are the same (statement above).</t>
        </r>
      </text>
    </comment>
    <comment ref="E15" authorId="0" shapeId="0" xr:uid="{00000000-0006-0000-0B00-00000A000000}">
      <text>
        <r>
          <rPr>
            <b/>
            <sz val="9"/>
            <color indexed="81"/>
            <rFont val="Tahoma"/>
            <family val="2"/>
          </rPr>
          <t>leys_lab:</t>
        </r>
        <r>
          <rPr>
            <sz val="9"/>
            <color indexed="81"/>
            <rFont val="Tahoma"/>
            <family val="2"/>
          </rPr>
          <t xml:space="preserve">
Evgeni: I divided this by two because this is the middle of the canal. Some water would go shorter, some would go further. 
</t>
        </r>
      </text>
    </comment>
    <comment ref="B16" authorId="3" shapeId="0" xr:uid="{00000000-0006-0000-0B00-00000B000000}">
      <text>
        <r>
          <rPr>
            <b/>
            <sz val="8"/>
            <color indexed="81"/>
            <rFont val="Tahoma"/>
            <family val="2"/>
          </rPr>
          <t>Yahe Family:</t>
        </r>
        <r>
          <rPr>
            <sz val="8"/>
            <color indexed="81"/>
            <rFont val="Tahoma"/>
            <family val="2"/>
          </rPr>
          <t xml:space="preserve">
(entrances to chambers)</t>
        </r>
      </text>
    </comment>
    <comment ref="E17" authorId="2" shapeId="0" xr:uid="{00000000-0006-0000-0B00-00000C000000}">
      <text>
        <r>
          <rPr>
            <b/>
            <sz val="9"/>
            <color indexed="81"/>
            <rFont val="Tahoma"/>
            <family val="2"/>
          </rPr>
          <t>Sally:</t>
        </r>
        <r>
          <rPr>
            <sz val="9"/>
            <color indexed="81"/>
            <rFont val="Tahoma"/>
            <family val="2"/>
          </rPr>
          <t xml:space="preserve">
Sally:
This path length concerns the 'cone that lies between the prosopyle and the collar slit.
The same is done for the cone that follows the collar slit.
</t>
        </r>
      </text>
    </comment>
    <comment ref="B18" authorId="3" shapeId="0" xr:uid="{00000000-0006-0000-0B00-00000D000000}">
      <text>
        <r>
          <rPr>
            <b/>
            <sz val="8"/>
            <color indexed="81"/>
            <rFont val="Tahoma"/>
            <family val="2"/>
          </rPr>
          <t>Yahe Family:</t>
        </r>
        <r>
          <rPr>
            <sz val="8"/>
            <color indexed="81"/>
            <rFont val="Tahoma"/>
            <family val="2"/>
          </rPr>
          <t xml:space="preserve">
(dimensions and thickness)
</t>
        </r>
      </text>
    </comment>
    <comment ref="C18" authorId="2" shapeId="0" xr:uid="{00000000-0006-0000-0B00-00000E000000}">
      <text>
        <r>
          <rPr>
            <b/>
            <sz val="9"/>
            <color indexed="81"/>
            <rFont val="Tahoma"/>
            <family val="2"/>
          </rPr>
          <t>Sally:</t>
        </r>
        <r>
          <rPr>
            <sz val="9"/>
            <color indexed="81"/>
            <rFont val="Tahoma"/>
            <family val="2"/>
          </rPr>
          <t xml:space="preserve">
0.022 x 0.070 (I took their sum and divided by 2)</t>
        </r>
      </text>
    </comment>
    <comment ref="E18" authorId="2" shapeId="0" xr:uid="{00000000-0006-0000-0B00-00000F000000}">
      <text>
        <r>
          <rPr>
            <b/>
            <sz val="9"/>
            <color indexed="81"/>
            <rFont val="Tahoma"/>
            <family val="2"/>
          </rPr>
          <t>Sally:</t>
        </r>
        <r>
          <rPr>
            <sz val="9"/>
            <color indexed="81"/>
            <rFont val="Tahoma"/>
            <family val="2"/>
          </rPr>
          <t xml:space="preserve">
this length is B36 (the thickness of a single sheet…); you could say it's the same as the width of the collar microvilli though…if considering there to be two such sheets.</t>
        </r>
      </text>
    </comment>
    <comment ref="J18" authorId="0" shapeId="0" xr:uid="{00000000-0006-0000-0B00-000010000000}">
      <text>
        <r>
          <rPr>
            <b/>
            <sz val="9"/>
            <color indexed="81"/>
            <rFont val="Tahoma"/>
            <family val="2"/>
          </rPr>
          <t xml:space="preserve">leys_lab
Isn't having the mesh and the collar slit redundant? </t>
        </r>
      </text>
    </comment>
    <comment ref="B19" authorId="3" shapeId="0" xr:uid="{00000000-0006-0000-0B00-000011000000}">
      <text>
        <r>
          <rPr>
            <b/>
            <sz val="8"/>
            <color indexed="81"/>
            <rFont val="Tahoma"/>
            <family val="2"/>
          </rPr>
          <t>Yahe Family:</t>
        </r>
        <r>
          <rPr>
            <sz val="8"/>
            <color indexed="81"/>
            <rFont val="Tahoma"/>
            <family val="2"/>
          </rPr>
          <t xml:space="preserve">
(space btwn microvilli)</t>
        </r>
      </text>
    </comment>
    <comment ref="E19" authorId="2" shapeId="0" xr:uid="{00000000-0006-0000-0B00-000012000000}">
      <text>
        <r>
          <rPr>
            <b/>
            <sz val="9"/>
            <color indexed="81"/>
            <rFont val="Tahoma"/>
            <family val="2"/>
          </rPr>
          <t>Sally:</t>
        </r>
        <r>
          <rPr>
            <sz val="9"/>
            <color indexed="81"/>
            <rFont val="Tahoma"/>
            <family val="2"/>
          </rPr>
          <t xml:space="preserve">
This is the width of the collar microvilli, 0.07um = 0.00007mm</t>
        </r>
      </text>
    </comment>
    <comment ref="B20" authorId="3" shapeId="0" xr:uid="{00000000-0006-0000-0B00-000013000000}">
      <text>
        <r>
          <rPr>
            <b/>
            <sz val="8"/>
            <color indexed="81"/>
            <rFont val="Tahoma"/>
            <family val="2"/>
          </rPr>
          <t>Yahe Family:</t>
        </r>
        <r>
          <rPr>
            <sz val="8"/>
            <color indexed="81"/>
            <rFont val="Tahoma"/>
            <family val="2"/>
          </rPr>
          <t xml:space="preserve">
(dimensions and thickness)
</t>
        </r>
      </text>
    </comment>
    <comment ref="C20" authorId="2" shapeId="0" xr:uid="{00000000-0006-0000-0B00-000014000000}">
      <text>
        <r>
          <rPr>
            <b/>
            <sz val="9"/>
            <color indexed="81"/>
            <rFont val="Tahoma"/>
            <family val="2"/>
          </rPr>
          <t>Sally:</t>
        </r>
        <r>
          <rPr>
            <sz val="9"/>
            <color indexed="81"/>
            <rFont val="Tahoma"/>
            <family val="2"/>
          </rPr>
          <t xml:space="preserve">
0.022 x 0.070 (I took their sum and divided by 2)</t>
        </r>
      </text>
    </comment>
    <comment ref="E20" authorId="2" shapeId="0" xr:uid="{00000000-0006-0000-0B00-000015000000}">
      <text>
        <r>
          <rPr>
            <b/>
            <sz val="9"/>
            <color indexed="81"/>
            <rFont val="Tahoma"/>
            <family val="2"/>
          </rPr>
          <t>Sally:</t>
        </r>
        <r>
          <rPr>
            <sz val="9"/>
            <color indexed="81"/>
            <rFont val="Tahoma"/>
            <family val="2"/>
          </rPr>
          <t xml:space="preserve">
this length is B36 (the thickness of a single sheet…); you could say it's the same as the width of the collar microvilli though…if considering there to be two such sheets.</t>
        </r>
      </text>
    </comment>
    <comment ref="E22" authorId="2" shapeId="0" xr:uid="{00000000-0006-0000-0B00-000016000000}">
      <text>
        <r>
          <rPr>
            <b/>
            <sz val="9"/>
            <color indexed="81"/>
            <rFont val="Tahoma"/>
            <family val="2"/>
          </rPr>
          <t>Sally:</t>
        </r>
        <r>
          <rPr>
            <sz val="9"/>
            <color indexed="81"/>
            <rFont val="Tahoma"/>
            <family val="2"/>
          </rPr>
          <t xml:space="preserve">
This path length is the distance from the microvilli out of the collar aperture - that is estimated to be half of the height of the collar microvilli (3.25um; so 1.64um) plus the height of the collar aperture (0.5um)</t>
        </r>
      </text>
    </comment>
    <comment ref="E23" authorId="2" shapeId="0" xr:uid="{00000000-0006-0000-0B00-000017000000}">
      <text>
        <r>
          <rPr>
            <b/>
            <sz val="9"/>
            <color indexed="81"/>
            <rFont val="Tahoma"/>
            <family val="2"/>
          </rPr>
          <t>Sally:</t>
        </r>
        <r>
          <rPr>
            <sz val="9"/>
            <color indexed="81"/>
            <rFont val="Tahoma"/>
            <family val="2"/>
          </rPr>
          <t xml:space="preserve">
path length is the length of the chamber </t>
        </r>
      </text>
    </comment>
    <comment ref="B24" authorId="3" shapeId="0" xr:uid="{00000000-0006-0000-0B00-000018000000}">
      <text>
        <r>
          <rPr>
            <b/>
            <sz val="8"/>
            <color indexed="81"/>
            <rFont val="Tahoma"/>
            <family val="2"/>
          </rPr>
          <t>Yahe Family:</t>
        </r>
        <r>
          <rPr>
            <sz val="8"/>
            <color indexed="81"/>
            <rFont val="Tahoma"/>
            <family val="2"/>
          </rPr>
          <t xml:space="preserve">
 (exit of chambers) </t>
        </r>
      </text>
    </comment>
    <comment ref="E24" authorId="2" shapeId="0" xr:uid="{00000000-0006-0000-0B00-000019000000}">
      <text>
        <r>
          <rPr>
            <b/>
            <sz val="9"/>
            <color indexed="81"/>
            <rFont val="Tahoma"/>
            <family val="2"/>
          </rPr>
          <t>Sally:</t>
        </r>
        <r>
          <rPr>
            <sz val="9"/>
            <color indexed="81"/>
            <rFont val="Tahoma"/>
            <family val="2"/>
          </rPr>
          <t xml:space="preserve">
this path length is just the diameter of the primary reticulum</t>
        </r>
      </text>
    </comment>
    <comment ref="E25" authorId="0" shapeId="0" xr:uid="{00000000-0006-0000-0B00-00001A000000}">
      <text>
        <r>
          <rPr>
            <b/>
            <sz val="9"/>
            <color indexed="81"/>
            <rFont val="Tahoma"/>
            <family val="2"/>
          </rPr>
          <t>leys_lab:</t>
        </r>
        <r>
          <rPr>
            <sz val="9"/>
            <color indexed="81"/>
            <rFont val="Tahoma"/>
            <family val="2"/>
          </rPr>
          <t xml:space="preserve">
Divided by two because the distance water travels along the canal varies depending on where the chamber is. </t>
        </r>
      </text>
    </comment>
    <comment ref="E28" authorId="4" shapeId="0" xr:uid="{00000000-0006-0000-0B00-00001B000000}">
      <text>
        <r>
          <rPr>
            <b/>
            <sz val="9"/>
            <color indexed="81"/>
            <rFont val="Tahoma"/>
            <family val="2"/>
          </rPr>
          <t>Evgeni:</t>
        </r>
        <r>
          <rPr>
            <sz val="9"/>
            <color indexed="81"/>
            <rFont val="Tahoma"/>
            <family val="2"/>
          </rPr>
          <t xml:space="preserve">
assumed based on aphro osc lip length
</t>
        </r>
      </text>
    </comment>
    <comment ref="O33" authorId="1" shapeId="0" xr:uid="{00000000-0006-0000-0B00-00001C000000}">
      <text>
        <r>
          <rPr>
            <b/>
            <sz val="9"/>
            <color indexed="81"/>
            <rFont val="Tahoma"/>
            <family val="2"/>
          </rPr>
          <t>Gitai Yahel:</t>
        </r>
        <r>
          <rPr>
            <sz val="9"/>
            <color indexed="81"/>
            <rFont val="Tahoma"/>
            <family val="2"/>
          </rPr>
          <t xml:space="preserve">
Pa (kg/(m s^2))
Calculated from the linear depends of DPwall on Q and from the calculated Total Dpwall at excurrent velocity of 1 cm/s.  DP=2032.1*Excurent velocity
</t>
        </r>
      </text>
    </comment>
    <comment ref="Q33" authorId="1" shapeId="0" xr:uid="{00000000-0006-0000-0B00-00001D000000}">
      <text>
        <r>
          <rPr>
            <b/>
            <sz val="9"/>
            <color indexed="81"/>
            <rFont val="Tahoma"/>
            <family val="2"/>
          </rPr>
          <t>Gitai Yahel:</t>
        </r>
        <r>
          <rPr>
            <sz val="9"/>
            <color indexed="81"/>
            <rFont val="Tahoma"/>
            <family val="2"/>
          </rPr>
          <t xml:space="preserve">
Ambient velocity requiered to genrate passive flow Q calculated accoridng to equation 5 as Vex/alfa</t>
        </r>
      </text>
    </comment>
    <comment ref="R33" authorId="1" shapeId="0" xr:uid="{00000000-0006-0000-0B00-00001E000000}">
      <text>
        <r>
          <rPr>
            <b/>
            <sz val="9"/>
            <color indexed="81"/>
            <rFont val="Tahoma"/>
            <family val="2"/>
          </rPr>
          <t>Gitai Yahel:</t>
        </r>
        <r>
          <rPr>
            <sz val="9"/>
            <color indexed="81"/>
            <rFont val="Tahoma"/>
            <family val="2"/>
          </rPr>
          <t xml:space="preserve">
Watt (J/s = kg m2/s3)</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leys_lab</author>
    <author>Evgeni</author>
    <author>Sally</author>
  </authors>
  <commentList>
    <comment ref="A14" authorId="0" shapeId="0" xr:uid="{00000000-0006-0000-0C00-000001000000}">
      <text>
        <r>
          <rPr>
            <b/>
            <sz val="9"/>
            <color indexed="81"/>
            <rFont val="Tahoma"/>
            <family val="2"/>
          </rPr>
          <t>leys_lab:</t>
        </r>
        <r>
          <rPr>
            <sz val="9"/>
            <color indexed="81"/>
            <rFont val="Tahoma"/>
            <family val="2"/>
          </rPr>
          <t xml:space="preserve">
The osculum area is based on the two Farrea that we have good flow records from. </t>
        </r>
      </text>
    </comment>
    <comment ref="H15" authorId="1" shapeId="0" xr:uid="{00000000-0006-0000-0C00-000002000000}">
      <text>
        <r>
          <rPr>
            <b/>
            <sz val="9"/>
            <color indexed="81"/>
            <rFont val="Tahoma"/>
            <family val="2"/>
          </rPr>
          <t>Evgeni:</t>
        </r>
        <r>
          <rPr>
            <sz val="9"/>
            <color indexed="81"/>
            <rFont val="Tahoma"/>
            <family val="2"/>
          </rPr>
          <t xml:space="preserve">
at 9C</t>
        </r>
      </text>
    </comment>
    <comment ref="C28" authorId="2" shapeId="0" xr:uid="{00000000-0006-0000-0C00-000003000000}">
      <text>
        <r>
          <rPr>
            <b/>
            <sz val="9"/>
            <color indexed="81"/>
            <rFont val="Tahoma"/>
            <family val="2"/>
          </rPr>
          <t>Sally:</t>
        </r>
        <r>
          <rPr>
            <sz val="9"/>
            <color indexed="81"/>
            <rFont val="Tahoma"/>
            <family val="2"/>
          </rPr>
          <t xml:space="preserve">
0.022 x 0.070 (I took their sum and divided by 2)</t>
        </r>
      </text>
    </comment>
    <comment ref="D38" authorId="1" shapeId="0" xr:uid="{00000000-0006-0000-0C00-000004000000}">
      <text>
        <r>
          <rPr>
            <b/>
            <sz val="9"/>
            <color indexed="81"/>
            <rFont val="Tahoma"/>
            <family val="2"/>
          </rPr>
          <t>Evgeni:</t>
        </r>
        <r>
          <rPr>
            <sz val="9"/>
            <color indexed="81"/>
            <rFont val="Tahoma"/>
            <family val="2"/>
          </rPr>
          <t xml:space="preserve">
Decided this based on Aphro osculum lip. Not actually measured.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leys_lab</author>
    <author>Evgeni</author>
    <author>Sally</author>
  </authors>
  <commentList>
    <comment ref="A14" authorId="0" shapeId="0" xr:uid="{00000000-0006-0000-0D00-000001000000}">
      <text>
        <r>
          <rPr>
            <b/>
            <sz val="9"/>
            <color indexed="81"/>
            <rFont val="Tahoma"/>
            <family val="2"/>
          </rPr>
          <t>leys_lab:</t>
        </r>
        <r>
          <rPr>
            <sz val="9"/>
            <color indexed="81"/>
            <rFont val="Tahoma"/>
            <family val="2"/>
          </rPr>
          <t xml:space="preserve">
The osculum area is based on the two Farrea that we have good flow records from. </t>
        </r>
      </text>
    </comment>
    <comment ref="H15" authorId="1" shapeId="0" xr:uid="{00000000-0006-0000-0D00-000002000000}">
      <text>
        <r>
          <rPr>
            <b/>
            <sz val="9"/>
            <color indexed="81"/>
            <rFont val="Tahoma"/>
            <family val="2"/>
          </rPr>
          <t>Evgeni:</t>
        </r>
        <r>
          <rPr>
            <sz val="9"/>
            <color indexed="81"/>
            <rFont val="Tahoma"/>
            <family val="2"/>
          </rPr>
          <t xml:space="preserve">
at 9C</t>
        </r>
      </text>
    </comment>
    <comment ref="C28" authorId="2" shapeId="0" xr:uid="{00000000-0006-0000-0D00-000003000000}">
      <text>
        <r>
          <rPr>
            <b/>
            <sz val="9"/>
            <color indexed="81"/>
            <rFont val="Tahoma"/>
            <family val="2"/>
          </rPr>
          <t>Sally:</t>
        </r>
        <r>
          <rPr>
            <sz val="9"/>
            <color indexed="81"/>
            <rFont val="Tahoma"/>
            <family val="2"/>
          </rPr>
          <t xml:space="preserve">
0.022 x 0.070 (I took their sum and divided by 2)</t>
        </r>
      </text>
    </comment>
    <comment ref="D38" authorId="1" shapeId="0" xr:uid="{00000000-0006-0000-0D00-000004000000}">
      <text>
        <r>
          <rPr>
            <b/>
            <sz val="9"/>
            <color indexed="81"/>
            <rFont val="Tahoma"/>
            <family val="2"/>
          </rPr>
          <t>Evgeni:</t>
        </r>
        <r>
          <rPr>
            <sz val="9"/>
            <color indexed="81"/>
            <rFont val="Tahoma"/>
            <family val="2"/>
          </rPr>
          <t xml:space="preserve">
Decided this based on Aphro osculum lip. Not actually measured. 
</t>
        </r>
      </text>
    </comment>
  </commentList>
</comments>
</file>

<file path=xl/sharedStrings.xml><?xml version="1.0" encoding="utf-8"?>
<sst xmlns="http://schemas.openxmlformats.org/spreadsheetml/2006/main" count="1377" uniqueCount="588">
  <si>
    <t>Image Name</t>
  </si>
  <si>
    <t>Diameter 1 (um)</t>
  </si>
  <si>
    <t>Radius 1</t>
  </si>
  <si>
    <t>area/ostium (um)</t>
  </si>
  <si>
    <t># ostia in the area</t>
  </si>
  <si>
    <t>total Area of ostia in the image (um2)</t>
  </si>
  <si>
    <t>Area of image</t>
  </si>
  <si>
    <t>% of surface that is ostia area</t>
  </si>
  <si>
    <t>Ostia #</t>
  </si>
  <si>
    <t>FO_20.tif</t>
  </si>
  <si>
    <t xml:space="preserve">FO_20.tif Area </t>
  </si>
  <si>
    <t>average</t>
  </si>
  <si>
    <t xml:space="preserve">std. err. </t>
  </si>
  <si>
    <t xml:space="preserve">std. dev. </t>
  </si>
  <si>
    <t xml:space="preserve"> </t>
  </si>
  <si>
    <t>Image</t>
  </si>
  <si>
    <t>diameter (um)</t>
  </si>
  <si>
    <t>radius (um)</t>
  </si>
  <si>
    <t>area of one prosopyle (um)</t>
  </si>
  <si>
    <t># prosopyles in image area (um)</t>
  </si>
  <si>
    <t>area of all prosopyles in image (um^2)</t>
  </si>
  <si>
    <t>area of image (um^2)</t>
  </si>
  <si>
    <t>percent cover</t>
  </si>
  <si>
    <t>FO_RR_1-2_13.tif</t>
  </si>
  <si>
    <t xml:space="preserve">Prosopyle Number </t>
  </si>
  <si>
    <t xml:space="preserve">average </t>
  </si>
  <si>
    <t xml:space="preserve">std. Dev . </t>
  </si>
  <si>
    <t xml:space="preserve">Average </t>
  </si>
  <si>
    <t xml:space="preserve">Std. Err. </t>
  </si>
  <si>
    <t xml:space="preserve">or 31, if counting the ones I couldn't measure </t>
  </si>
  <si>
    <t>IMAGE NAME</t>
  </si>
  <si>
    <t>Apopyle - diameter (um)</t>
  </si>
  <si>
    <t>apopyle radius (um)</t>
  </si>
  <si>
    <t>apopyle area (um^2)</t>
  </si>
  <si>
    <t>xs area of apopyles in 1mm^3 (mm^2)</t>
  </si>
  <si>
    <t>FO_sut_1_07.tif</t>
  </si>
  <si>
    <t>FO_RR_2-1_09.tif</t>
  </si>
  <si>
    <t>FO_RR_2-1_05.tif</t>
  </si>
  <si>
    <t>FO_RR_1-2_20.tif</t>
  </si>
  <si>
    <t>FO_RR_2-1_03.tif</t>
  </si>
  <si>
    <t>Measurement #</t>
  </si>
  <si>
    <t>Large Incurrent canals</t>
  </si>
  <si>
    <t>average area of canals (um^2)</t>
  </si>
  <si>
    <t># canals</t>
  </si>
  <si>
    <t>area of image</t>
  </si>
  <si>
    <t>area of canals</t>
  </si>
  <si>
    <t>area of canals in 1mm3</t>
  </si>
  <si>
    <t>FO_sut_1_01.tif</t>
  </si>
  <si>
    <t>FO_sut_1_11.tif</t>
  </si>
  <si>
    <t>FO_sut_1_12.tif</t>
  </si>
  <si>
    <t>Canal #</t>
  </si>
  <si>
    <t xml:space="preserve">Average diameter per canal </t>
  </si>
  <si>
    <t>FO_sut_1_11-measurement.jpg</t>
  </si>
  <si>
    <t>FO_sut_1_12-measurements.jpg</t>
  </si>
  <si>
    <t>FO_RR_2-1_02.tif</t>
  </si>
  <si>
    <t>FO_sut_1_23.tif</t>
  </si>
  <si>
    <t>measurement #</t>
  </si>
  <si>
    <t>image #</t>
  </si>
  <si>
    <t>Diameter (um)</t>
  </si>
  <si>
    <t>FO_sut_1_23 .tif</t>
  </si>
  <si>
    <t xml:space="preserve"> area of canals (um^2)</t>
  </si>
  <si>
    <t>Average</t>
  </si>
  <si>
    <t>Area of Canals in Image area</t>
  </si>
  <si>
    <t xml:space="preserve"># canals in image area </t>
  </si>
  <si>
    <t xml:space="preserve">Length </t>
  </si>
  <si>
    <t>W/L</t>
  </si>
  <si>
    <t>Width</t>
  </si>
  <si>
    <t>Length</t>
  </si>
  <si>
    <t>Image Area</t>
  </si>
  <si>
    <t>Sum</t>
  </si>
  <si>
    <t>Average Circumference</t>
  </si>
  <si>
    <t>Average Dimeter of Each Chamber</t>
  </si>
  <si>
    <t>% Cover</t>
  </si>
  <si>
    <t>Chamber #</t>
  </si>
  <si>
    <t>Area (um2)</t>
  </si>
  <si>
    <t>Measurement Number</t>
  </si>
  <si>
    <t>Image name</t>
  </si>
  <si>
    <t xml:space="preserve">Image Area </t>
  </si>
  <si>
    <t xml:space="preserve">Sum </t>
  </si>
  <si>
    <t>% Chamber Area</t>
  </si>
  <si>
    <t>Collar Body #</t>
  </si>
  <si>
    <t xml:space="preserve">Number of Microvilli </t>
  </si>
  <si>
    <t>FO_RR_1-2_06.tif</t>
  </si>
  <si>
    <t>FO_08.tif</t>
  </si>
  <si>
    <t>FO_RR_1-2_23.tif</t>
  </si>
  <si>
    <t>Microvilli Number</t>
  </si>
  <si>
    <t>Length (um)</t>
  </si>
  <si>
    <t>Flagellum Length</t>
  </si>
  <si>
    <t>Flagellum #</t>
  </si>
  <si>
    <t>FO_RR_1-2_14.tif</t>
  </si>
  <si>
    <t>v</t>
  </si>
  <si>
    <t>FO_sut_2_06.tif</t>
  </si>
  <si>
    <t>FO_sut_2_04.tif</t>
  </si>
  <si>
    <t>Lentgh to Gasket (um)</t>
  </si>
  <si>
    <t>FO_03.tif</t>
  </si>
  <si>
    <t xml:space="preserve">Circumference of Gasket </t>
  </si>
  <si>
    <t>Image FO_03.tif Area (um2)</t>
  </si>
  <si>
    <t>Number of Collar Bodies/FO_03.tif</t>
  </si>
  <si>
    <t>FO_19.tif Area (um2)</t>
  </si>
  <si>
    <t>Number of Collar Bodies/FO_19.tif</t>
  </si>
  <si>
    <t xml:space="preserve"> FO_19.tif</t>
  </si>
  <si>
    <t>Circumference of Collar base</t>
  </si>
  <si>
    <t>names at the comparison table</t>
  </si>
  <si>
    <t>Sponge Region</t>
  </si>
  <si>
    <t>Path length of each section (um)</t>
  </si>
  <si>
    <t>Distance from inhalent surface (um)</t>
  </si>
  <si>
    <t>proportional distance from inhalent surface</t>
  </si>
  <si>
    <t>% distance from inhalent surface</t>
  </si>
  <si>
    <t>XS area (mm2) of aquiferous system in 1mm3  pieces</t>
  </si>
  <si>
    <t>XS area in 100 mm^3 pieces (mm^2)</t>
  </si>
  <si>
    <t>Fraction of inhalent surface</t>
  </si>
  <si>
    <t xml:space="preserve">Velocity (per opening, m/s) </t>
  </si>
  <si>
    <t>Q (per opening, m^3/s)</t>
  </si>
  <si>
    <r>
      <rPr>
        <sz val="10"/>
        <rFont val="Symbol"/>
        <family val="1"/>
        <charset val="2"/>
      </rPr>
      <t>D</t>
    </r>
    <r>
      <rPr>
        <sz val="10"/>
        <rFont val="Arial"/>
        <family val="2"/>
      </rPr>
      <t>P (Pa)</t>
    </r>
  </si>
  <si>
    <r>
      <rPr>
        <sz val="10"/>
        <rFont val="Symbol"/>
        <family val="1"/>
        <charset val="2"/>
      </rPr>
      <t>D</t>
    </r>
    <r>
      <rPr>
        <sz val="10"/>
        <rFont val="Arial"/>
        <family val="2"/>
      </rPr>
      <t>Head (µm)</t>
    </r>
  </si>
  <si>
    <r>
      <t xml:space="preserve">% of total </t>
    </r>
    <r>
      <rPr>
        <sz val="10"/>
        <rFont val="Symbol"/>
        <family val="1"/>
        <charset val="2"/>
      </rPr>
      <t>D</t>
    </r>
    <r>
      <rPr>
        <sz val="10"/>
        <rFont val="Arial"/>
        <family val="2"/>
      </rPr>
      <t>Head</t>
    </r>
  </si>
  <si>
    <t>Relative  head (µm)</t>
  </si>
  <si>
    <t>Ostia</t>
  </si>
  <si>
    <t>a</t>
  </si>
  <si>
    <t>b</t>
  </si>
  <si>
    <t>Subdermal space</t>
  </si>
  <si>
    <t>c</t>
  </si>
  <si>
    <t>d</t>
  </si>
  <si>
    <t>Large incurrent canal</t>
  </si>
  <si>
    <t>e</t>
  </si>
  <si>
    <t>f</t>
  </si>
  <si>
    <t xml:space="preserve">Prosopyles </t>
  </si>
  <si>
    <t>g</t>
  </si>
  <si>
    <t>h</t>
  </si>
  <si>
    <t>Pre-collar space</t>
  </si>
  <si>
    <t>i</t>
  </si>
  <si>
    <t>j</t>
  </si>
  <si>
    <t>Glycocalyx mesh pores</t>
  </si>
  <si>
    <t>k</t>
  </si>
  <si>
    <t>l</t>
  </si>
  <si>
    <t>Collar slit</t>
  </si>
  <si>
    <t>m</t>
  </si>
  <si>
    <t>n</t>
  </si>
  <si>
    <t>Post-collar space</t>
  </si>
  <si>
    <t xml:space="preserve">Collar apertures </t>
  </si>
  <si>
    <t>o</t>
  </si>
  <si>
    <t>p</t>
  </si>
  <si>
    <t xml:space="preserve">Chamber </t>
  </si>
  <si>
    <t>q</t>
  </si>
  <si>
    <t>r</t>
  </si>
  <si>
    <t>Apopyle</t>
  </si>
  <si>
    <t>s</t>
  </si>
  <si>
    <t>t</t>
  </si>
  <si>
    <t>Large excurrent canals</t>
  </si>
  <si>
    <t>u</t>
  </si>
  <si>
    <t>Subatrial space</t>
  </si>
  <si>
    <t>w</t>
  </si>
  <si>
    <t>x</t>
  </si>
  <si>
    <t>Atrial cavity</t>
  </si>
  <si>
    <t>Osculum</t>
  </si>
  <si>
    <t>y</t>
  </si>
  <si>
    <t>z</t>
  </si>
  <si>
    <t>total pathlength</t>
  </si>
  <si>
    <t>Total:</t>
  </si>
  <si>
    <t>Updated by GY at 2011-09-19</t>
  </si>
  <si>
    <t>Green fill indicates final calculated xs area. Note these numbers correspond to green filled cells on each of the sheets for each region - they are linked.</t>
  </si>
  <si>
    <t xml:space="preserve">All sheets are linked to the summary sheet </t>
  </si>
  <si>
    <t>Internal area of the atrium (m^2)</t>
  </si>
  <si>
    <t xml:space="preserve">Excuurent velocity (m/s) </t>
  </si>
  <si>
    <t xml:space="preserve"> Oscolum flow rate (m^3/s) </t>
  </si>
  <si>
    <t>Surface area of the 100^3 crosswall section (mm^2)</t>
  </si>
  <si>
    <r>
      <rPr>
        <b/>
        <sz val="10"/>
        <color indexed="17"/>
        <rFont val="Arial"/>
        <family val="2"/>
      </rPr>
      <t>Density,</t>
    </r>
    <r>
      <rPr>
        <b/>
        <sz val="10"/>
        <color indexed="17"/>
        <rFont val="Symbol"/>
        <family val="1"/>
        <charset val="2"/>
      </rPr>
      <t xml:space="preserve"> r</t>
    </r>
    <r>
      <rPr>
        <b/>
        <sz val="10"/>
        <color indexed="17"/>
        <rFont val="Arial"/>
        <family val="2"/>
      </rPr>
      <t xml:space="preserve"> (kg/m^3)</t>
    </r>
  </si>
  <si>
    <r>
      <t xml:space="preserve">Specific weight </t>
    </r>
    <r>
      <rPr>
        <b/>
        <sz val="11"/>
        <color indexed="17"/>
        <rFont val="Symbol"/>
        <family val="1"/>
        <charset val="2"/>
      </rPr>
      <t>g</t>
    </r>
  </si>
  <si>
    <t xml:space="preserve">Viscosity (Pa s) </t>
  </si>
  <si>
    <t>Alfa (Vex/U)</t>
  </si>
  <si>
    <t>Specific pumping rate (mL/mLSponge/min)</t>
  </si>
  <si>
    <t>mL/mLSponge/s</t>
  </si>
  <si>
    <t>nL/collar/hr</t>
  </si>
  <si>
    <t># chambers in 1mm3 = 1876</t>
  </si>
  <si>
    <t>Est # collars per chamber = 260</t>
  </si>
  <si>
    <t>Number of mv per collar = 38</t>
  </si>
  <si>
    <r>
      <rPr>
        <b/>
        <sz val="10"/>
        <color indexed="39"/>
        <rFont val="Symbol"/>
        <family val="1"/>
        <charset val="2"/>
      </rPr>
      <t>D</t>
    </r>
    <r>
      <rPr>
        <b/>
        <sz val="10"/>
        <color indexed="39"/>
        <rFont val="Arial"/>
        <family val="2"/>
      </rPr>
      <t>P</t>
    </r>
    <r>
      <rPr>
        <b/>
        <vertAlign val="subscript"/>
        <sz val="10"/>
        <color indexed="39"/>
        <rFont val="Arial"/>
        <family val="2"/>
      </rPr>
      <t xml:space="preserve">wall </t>
    </r>
    <r>
      <rPr>
        <b/>
        <sz val="10"/>
        <color indexed="39"/>
        <rFont val="Arial"/>
        <family val="2"/>
      </rPr>
      <t>(Pa)</t>
    </r>
  </si>
  <si>
    <t>at excurrent rate of 1 cm/s</t>
  </si>
  <si>
    <t>Q, Excurrent flow rate (L/hr)</t>
  </si>
  <si>
    <t xml:space="preserve">Excurrent velocity (m/s) </t>
  </si>
  <si>
    <t>Q, Excurrent flow rate (m^3/s)</t>
  </si>
  <si>
    <t>Head (mm)</t>
  </si>
  <si>
    <r>
      <t>required U</t>
    </r>
    <r>
      <rPr>
        <vertAlign val="subscript"/>
        <sz val="10"/>
        <rFont val="Arial"/>
        <family val="2"/>
      </rPr>
      <t>ambient</t>
    </r>
    <r>
      <rPr>
        <sz val="10"/>
        <rFont val="Arial"/>
        <family val="2"/>
      </rPr>
      <t xml:space="preserve"> for passive flow Q (m/s)</t>
    </r>
  </si>
  <si>
    <t xml:space="preserve">W, power gain/ expenditure (uW/ Speciemn) </t>
  </si>
  <si>
    <t xml:space="preserve">W, power gain/ expenditure (uJ/ Liter pumped) </t>
  </si>
  <si>
    <t>Dh (m)</t>
  </si>
  <si>
    <t>DP (Pa)</t>
  </si>
  <si>
    <t>Circumference</t>
  </si>
  <si>
    <t xml:space="preserve">Trapezoid Calculation </t>
  </si>
  <si>
    <t>Std. Dev.</t>
  </si>
  <si>
    <t>Height of Trapezoid</t>
  </si>
  <si>
    <t xml:space="preserve">Area of Gasket Available </t>
  </si>
  <si>
    <t>Area of Collar Base Available</t>
  </si>
  <si>
    <t>Area of Square when using Gasket as base</t>
  </si>
  <si>
    <t>Area of Square when using Collar Base as base</t>
  </si>
  <si>
    <t>*Average of the two squares would have worked</t>
  </si>
  <si>
    <t>um</t>
  </si>
  <si>
    <t>Width of Microvilli</t>
  </si>
  <si>
    <t>Width of Microvilli um</t>
  </si>
  <si>
    <t>Number of Collar Bodies/100um^2 FO_19.tif</t>
  </si>
  <si>
    <t>Number of Collar Bodies/100um^2 FO_03.tif</t>
  </si>
  <si>
    <t>Number of collar bodies in FO_RR_1-2_23.tif</t>
  </si>
  <si>
    <t>Area of Surface FO_RR_1-2_23.tif (um2)</t>
  </si>
  <si>
    <t>Number of Collar Bodies/100um^2 in FO_RR_1-2_23.tif</t>
  </si>
  <si>
    <t>Number of Collars/100um^2</t>
  </si>
  <si>
    <t xml:space="preserve">  </t>
  </si>
  <si>
    <t>Surface Area of Chamber (accounting for Apopyle) (um^2)</t>
  </si>
  <si>
    <t>Number of Collar Bodies/chamber</t>
  </si>
  <si>
    <t xml:space="preserve">Note that two more chambers were measured here, explaining why a higher percentage was calculated as chamber. </t>
  </si>
  <si>
    <t xml:space="preserve">maybe calculating total chamber space regardless of whether the chamber looks whole or not is better for estimating proportion of choanosome that is taken up by chamber </t>
  </si>
  <si>
    <t xml:space="preserve">Circumference of Gasket (Collar aperture) </t>
  </si>
  <si>
    <t xml:space="preserve">Std. Dev. </t>
  </si>
  <si>
    <t>FO_sut_1_08.tif</t>
  </si>
  <si>
    <t>Farrea Lauren section 2 (5um) 10x.tif:Red</t>
  </si>
  <si>
    <t>0.707x1.189x1.189</t>
  </si>
  <si>
    <t>Dimensions of 1mm3 cube (given height is 707um)</t>
  </si>
  <si>
    <t>mm</t>
  </si>
  <si>
    <t>Surface Area of 1mm3 cube (um)</t>
  </si>
  <si>
    <t>Area of Ostia in 1mm3 Cube (um)</t>
  </si>
  <si>
    <t>Percent of SA covered in Prosopyles</t>
  </si>
  <si>
    <t>Area of Prosopyles/Chamber</t>
  </si>
  <si>
    <t xml:space="preserve">Average chamber SA (accounting for apopyle) </t>
  </si>
  <si>
    <t>Average Chamber  SA</t>
  </si>
  <si>
    <t xml:space="preserve">Average Chamber SA accounting for Apopyle </t>
  </si>
  <si>
    <t>Not enough canals to be a precise measure</t>
  </si>
  <si>
    <t>Subdermal Space Length (um)</t>
  </si>
  <si>
    <t>Subdermal Space</t>
  </si>
  <si>
    <t>Predermal Space Length (um)</t>
  </si>
  <si>
    <t>Volume of 1mm3 tissue that is subdermal space (um3)</t>
  </si>
  <si>
    <t>Volume of Chambers/mm3 (not accounting for canals or subdermal space) (um)</t>
  </si>
  <si>
    <t>Volume of Chambers/mm3 (not accounting for canals or subdermal space) (mm)</t>
  </si>
  <si>
    <t>Volume of chambers per 1mm3 of tissue (mm3)</t>
  </si>
  <si>
    <t>Atrial Subdermal Space</t>
  </si>
  <si>
    <t>Percent of 707um tissue that is Atrial Subdermal Space</t>
  </si>
  <si>
    <t>Volume of 1mm3 tissue that is Atrial Subdermal Space(um3)</t>
  </si>
  <si>
    <t>Percent of 1mm3 tissue that is choanosome (1-incurrent canals-excurrent canals-subdermal spaces)</t>
  </si>
  <si>
    <t>Percent of Tissue that is chambers (accounting for canals and subdermal spaces) (um)</t>
  </si>
  <si>
    <t>Number of Chambers/1mm3</t>
  </si>
  <si>
    <t>Average chamber volume (um3)</t>
  </si>
  <si>
    <t>Area of Prosopyles/1mm3 (um2)</t>
  </si>
  <si>
    <t>Area of Prosopyles/1mm3 (mm2)</t>
  </si>
  <si>
    <t>XS area of collar slits/Chamber</t>
  </si>
  <si>
    <t>XS Area of collar slits/mm3 (um2)</t>
  </si>
  <si>
    <t>XS Area of collar slits/mm3 (mm2)</t>
  </si>
  <si>
    <t>Area of Collar apertures/chamber</t>
  </si>
  <si>
    <t>Area of Collar apertures/mm3 (um2)</t>
  </si>
  <si>
    <t>Area of Collar apertures/mm3 (mm2)</t>
  </si>
  <si>
    <t>XS Area of chambers in 1mm3 (mm2)</t>
  </si>
  <si>
    <t>Area available to glycocalyx mesh (collar slit)</t>
  </si>
  <si>
    <t>Area of Trapezoid (collar slit) (um^2)</t>
  </si>
  <si>
    <t>Combined Area of collar slit/collar (um^2)</t>
  </si>
  <si>
    <t>Width of collar slit in the middle (median of trapezoid)</t>
  </si>
  <si>
    <t>surface area of a cylinder with one of the tops being the osculum area</t>
  </si>
  <si>
    <t>Area of Ostia in 1mm3 Cube (mm2)</t>
  </si>
  <si>
    <t>Distance between gaskets/apertures</t>
  </si>
  <si>
    <t xml:space="preserve">Height to secondary reticulum </t>
  </si>
  <si>
    <t>R1</t>
  </si>
  <si>
    <t>R2</t>
  </si>
  <si>
    <t>Radius</t>
  </si>
  <si>
    <t>Volume (um3)</t>
  </si>
  <si>
    <t>Diameter of precollar space (median of trapezoid)</t>
  </si>
  <si>
    <t>Post Collar space</t>
  </si>
  <si>
    <t>Average Diameter</t>
  </si>
  <si>
    <t>Area of Trapezoid (flattened cone) (um2)</t>
  </si>
  <si>
    <t>Area per chamber</t>
  </si>
  <si>
    <t>Area per 1mm3 (um2)</t>
  </si>
  <si>
    <t>Area per 1mm3 (mm2)</t>
  </si>
  <si>
    <t>FO_13.tif</t>
  </si>
  <si>
    <t>FO_14.tif</t>
  </si>
  <si>
    <t>FO-B4.4-1 10x.tif</t>
  </si>
  <si>
    <t>Farrea Lauren section 5 (7um) 10x.tif:Red</t>
  </si>
  <si>
    <t>Length of Incurrent canals</t>
  </si>
  <si>
    <t>Prosopyle width</t>
  </si>
  <si>
    <t>Width (um)</t>
  </si>
  <si>
    <t>FO-B3.1-2 20x.tif</t>
  </si>
  <si>
    <t>FO-B4.4-7 20x.tif</t>
  </si>
  <si>
    <t>FO-B4.4-8 20x.tif</t>
  </si>
  <si>
    <t>Farrea Lauren section 4 (7um) 10x.tif:Red</t>
  </si>
  <si>
    <t>Excurrent Canal Length</t>
  </si>
  <si>
    <t>FO_RR_1-2_22.tif</t>
  </si>
  <si>
    <t>Apopyle width</t>
  </si>
  <si>
    <t>Secondary Reticulum Width</t>
  </si>
  <si>
    <t>Osculum Diameter</t>
  </si>
  <si>
    <t>Osculum Area</t>
  </si>
  <si>
    <t># holes in mesh</t>
  </si>
  <si>
    <t>Area of collar slit (um2)</t>
  </si>
  <si>
    <t>area of one hole of mesh (um2)</t>
  </si>
  <si>
    <t xml:space="preserve">max poss # holes in collar slit area </t>
  </si>
  <si>
    <t>mesh size is (um)</t>
  </si>
  <si>
    <t>assume 200 meshes in a collar slit</t>
  </si>
  <si>
    <t>New Length of collar slit is:3.25-1.9</t>
  </si>
  <si>
    <t>New width of collar slit is: 0.12-0.0095</t>
  </si>
  <si>
    <t>Area of collar slit minus mesh thickness (um2)</t>
  </si>
  <si>
    <t>Real # holes in collar slits (minus mesh)</t>
  </si>
  <si>
    <t>Taken From Aphro Calculations</t>
  </si>
  <si>
    <t>% of collar that is mesh hole area</t>
  </si>
  <si>
    <t>Area of collar slit that is mesh holes (um2)</t>
  </si>
  <si>
    <t>Area of mesh hole in one collar</t>
  </si>
  <si>
    <t>R1894_00836.jpg</t>
  </si>
  <si>
    <t>Length of Trumpet</t>
  </si>
  <si>
    <t>Diameter of Osculum</t>
  </si>
  <si>
    <t>Measurement Name</t>
  </si>
  <si>
    <t>Average Length</t>
  </si>
  <si>
    <t>http://www.1728.org/quadtrap.htm</t>
  </si>
  <si>
    <t>Height at center</t>
  </si>
  <si>
    <t>Radii</t>
  </si>
  <si>
    <t>Volume (cm3)</t>
  </si>
  <si>
    <t>Length/Diameter (cm)</t>
  </si>
  <si>
    <t>Total surface area</t>
  </si>
  <si>
    <t>Summary sheet for measurements of Aphrocallistes aquiferous system reused for the Farrea dimensions.</t>
  </si>
  <si>
    <t>Morphometric model using the methods by Reiswig (1975), Riisgard et al. (1993), and Leys et al. (2011)</t>
  </si>
  <si>
    <t>Dimensions of each region of the aquiferous canal system were measured in Image J (see tabs for each region for a breakdown of the measurement process)</t>
  </si>
  <si>
    <t xml:space="preserve">Cross-sectional area of each region was estimated as per Reiswig (1975) and Leys et al. (2011). </t>
  </si>
  <si>
    <t>A 100 uL piece was used to estimate cross-sectional area, that has the dimensions of 5.77 mm x 5.77 mm x 3 mm</t>
  </si>
  <si>
    <t>Sponge volume was estimated based on image analysis (see tab)</t>
  </si>
  <si>
    <t>Velocity was estimated as per Reiswig (1975), using the relationship between cross-sectional area and velocity ((Cross-sectional area of osculum*velocity from osculum)/cross-sectional area of region)</t>
  </si>
  <si>
    <t>Head loss was calculated as per Riisgard et al. (1993), using different equations based on the region of the canal system.  This accounts for creeping flow and fluid dynamic differences when considering apertures, lattices, vs. pipes</t>
  </si>
  <si>
    <t>Pumping power and cost of filtration also estimated based on Riisgard et al. (1993)</t>
  </si>
  <si>
    <t>Surface area of the sponge (cm^2)</t>
  </si>
  <si>
    <t xml:space="preserve"> Osculum flow rate (mL/s) </t>
  </si>
  <si>
    <t xml:space="preserve">Kinematic Viscosity (mm^2/s) </t>
  </si>
  <si>
    <t>Sponge Volume (cm^3)</t>
  </si>
  <si>
    <t># chambers in 1mm3</t>
  </si>
  <si>
    <t># chambers/sponge</t>
  </si>
  <si>
    <t>Est # collars per chamber</t>
  </si>
  <si>
    <t>Number of mv per collar</t>
  </si>
  <si>
    <t>Head loss (mmH20) as per Leys et al 2011</t>
  </si>
  <si>
    <t>Head loss (umH20) as per Leys et al 2011</t>
  </si>
  <si>
    <t>Type of opening</t>
  </si>
  <si>
    <t>Equation # in Riisgard and Larsen 1995</t>
  </si>
  <si>
    <t>Head loss (mm H20) as per Riisgard and Larsen 1995</t>
  </si>
  <si>
    <t>Head loss (um H20) as per Riisgard and Larsen 1995</t>
  </si>
  <si>
    <t>Relative head</t>
  </si>
  <si>
    <t>aperture</t>
  </si>
  <si>
    <t>channels/ducts</t>
  </si>
  <si>
    <t>Apertures of Inhalent canals</t>
  </si>
  <si>
    <t>For the lattice equation (17)</t>
  </si>
  <si>
    <t>diameter of the collar microvilli</t>
  </si>
  <si>
    <t>Prosopyles</t>
  </si>
  <si>
    <t>h1</t>
  </si>
  <si>
    <t>height of the glycocalyx mesh</t>
  </si>
  <si>
    <t>h2</t>
  </si>
  <si>
    <t>width of the collar slit</t>
  </si>
  <si>
    <t>lattice - rectangular</t>
  </si>
  <si>
    <t>K</t>
  </si>
  <si>
    <t>τ</t>
  </si>
  <si>
    <t>Chamber</t>
  </si>
  <si>
    <t>h0</t>
  </si>
  <si>
    <t>Apopyles</t>
  </si>
  <si>
    <t>Apertures of exhalent canals</t>
  </si>
  <si>
    <t>exit loss</t>
  </si>
  <si>
    <t>Oxygen</t>
  </si>
  <si>
    <t>per whole sponge</t>
  </si>
  <si>
    <t>umol/L</t>
  </si>
  <si>
    <t>1 ml/l * pumping rate (L/hr) = 1ml/hr</t>
  </si>
  <si>
    <t>ul/L</t>
  </si>
  <si>
    <t>1ul/hr *5.333 ~= 1 uW</t>
  </si>
  <si>
    <t>ul/hr</t>
  </si>
  <si>
    <t>uW</t>
  </si>
  <si>
    <t>Using Riisgard and Larsen 1995</t>
  </si>
  <si>
    <t>Using Leys et al 2011</t>
  </si>
  <si>
    <t>Pumping Power</t>
  </si>
  <si>
    <t>Cost of pumping (%)</t>
  </si>
  <si>
    <t>Density, r (kg/m^3)</t>
  </si>
  <si>
    <t>Acceleration of gravity, g (m/s^2)</t>
  </si>
  <si>
    <t>Specific weight g</t>
  </si>
  <si>
    <t>% of total DHead</t>
  </si>
  <si>
    <t>Subdermal spaces</t>
  </si>
  <si>
    <t>Pre-collar slit</t>
  </si>
  <si>
    <t xml:space="preserve">Glycocalyx mesh </t>
  </si>
  <si>
    <t>Collar slits</t>
  </si>
  <si>
    <t>Post-collar slit</t>
  </si>
  <si>
    <t>Collar apertures (2 retic AV)</t>
  </si>
  <si>
    <t>Atrial subdermal space (AV)</t>
  </si>
  <si>
    <t>Diameter of short Base</t>
  </si>
  <si>
    <t>Summary sheet for Farrea 2015</t>
  </si>
  <si>
    <t>.9998 g/cm^3</t>
  </si>
  <si>
    <t>1 ml/l = 10^3/22.391 = 44.661 μmol/l</t>
  </si>
  <si>
    <t>Osculum Diameter cm</t>
  </si>
  <si>
    <t>Osculum Area cm2</t>
  </si>
  <si>
    <t>Base of microvilli to Secondary Reticulum distance j</t>
  </si>
  <si>
    <t>FO_03</t>
  </si>
  <si>
    <t xml:space="preserve">Diameter of Gasket </t>
  </si>
  <si>
    <t>Circumference of Gasket</t>
  </si>
  <si>
    <t>Diameters of Gasket</t>
  </si>
  <si>
    <t>Low Am 10-11</t>
  </si>
  <si>
    <t xml:space="preserve">Low Am 12-13 </t>
  </si>
  <si>
    <t>Flow Rate (cm/s)</t>
  </si>
  <si>
    <t>Oxy Rem (uMol)</t>
  </si>
  <si>
    <t>ROPOS Dive R1895 (Oct 6, 2015) data from DSC Photographic Survey of Peleponesus, Hecate Strait, Stn 3 with 12.1 MP Nikon D700 (24-70mm AF-S F2.8G lens)</t>
  </si>
  <si>
    <t>Areas of live coverage for only F.occa were traced in Photoshop and created into separate black&amp;white jpgs and proporation of F.occa pixels to the entire live areas coverage was calculated in ImageJ</t>
  </si>
  <si>
    <t>Density of oscula for portions of F.occa live coverage was counted in ImageJ and averaged to get a general proportion of oscula per area</t>
  </si>
  <si>
    <t>Point</t>
  </si>
  <si>
    <t>Waypoint</t>
  </si>
  <si>
    <t>DSC Photo</t>
  </si>
  <si>
    <t>IRLS Latitude_DM</t>
  </si>
  <si>
    <t>IRLS Longitude_DM</t>
  </si>
  <si>
    <t>Area of F.occa (pixels)</t>
  </si>
  <si>
    <t># Osculas (FO) Visible for pixel area</t>
  </si>
  <si>
    <t>Ratio: oscula/pixel</t>
  </si>
  <si>
    <t>Average oscula diameter for (FO) pixel area</t>
  </si>
  <si>
    <t>Average oscula area for (FO) pixel area</t>
  </si>
  <si>
    <t>Number of oscula measured for oscula area</t>
  </si>
  <si>
    <t>R1895_01047</t>
  </si>
  <si>
    <t>N53° 9.0092′</t>
  </si>
  <si>
    <t>W130° 25.6563′</t>
  </si>
  <si>
    <t>R1895_01048</t>
  </si>
  <si>
    <t>N53° 8.9947′</t>
  </si>
  <si>
    <t>W130° 25.6555′</t>
  </si>
  <si>
    <t>R1895_01050</t>
  </si>
  <si>
    <t>N53° 8.9820′</t>
  </si>
  <si>
    <t>W130° 25.6543′</t>
  </si>
  <si>
    <t>R1895_01052</t>
  </si>
  <si>
    <t>N53° 8.9688′</t>
  </si>
  <si>
    <t>R1895_01053</t>
  </si>
  <si>
    <t>N53° 8.9549′</t>
  </si>
  <si>
    <t>W130° 25.6545′</t>
  </si>
  <si>
    <t>R1895_01054</t>
  </si>
  <si>
    <t>N53° 8.9417′</t>
  </si>
  <si>
    <t>W130° 25.6549′</t>
  </si>
  <si>
    <t>R1895_01055</t>
  </si>
  <si>
    <t>N53° 8.9296′</t>
  </si>
  <si>
    <t>W130° 25.6535′</t>
  </si>
  <si>
    <t>R1895_01056</t>
  </si>
  <si>
    <t>N53° 8.9151′</t>
  </si>
  <si>
    <t>W130° 25.6532′</t>
  </si>
  <si>
    <t>R1895_01057</t>
  </si>
  <si>
    <t>N53° 8.9023′</t>
  </si>
  <si>
    <t>W130° 25.6524′</t>
  </si>
  <si>
    <t>R1895_01059</t>
  </si>
  <si>
    <t>N53° 8.8990′</t>
  </si>
  <si>
    <t>W130° 25.6295′</t>
  </si>
  <si>
    <t>R1895_01060</t>
  </si>
  <si>
    <t>N53° 8.9105′</t>
  </si>
  <si>
    <t>W130° 25.6297′</t>
  </si>
  <si>
    <t>R1895_01061</t>
  </si>
  <si>
    <t>N53° 8.9252′</t>
  </si>
  <si>
    <t>W130° 25.6306′</t>
  </si>
  <si>
    <t>R1895_01062</t>
  </si>
  <si>
    <t>N53° 8.9354′</t>
  </si>
  <si>
    <t>W130° 25.6298′</t>
  </si>
  <si>
    <t>R1895_01063</t>
  </si>
  <si>
    <t>N53° 8.9518′</t>
  </si>
  <si>
    <t>W130° 25.6310′</t>
  </si>
  <si>
    <t>R1895_01064</t>
  </si>
  <si>
    <t>N53° 8.9658′</t>
  </si>
  <si>
    <t>W130° 25.6321′</t>
  </si>
  <si>
    <t>R1895_01065</t>
  </si>
  <si>
    <t>N53° 8.9786′</t>
  </si>
  <si>
    <t>W130° 25.6333′</t>
  </si>
  <si>
    <t>R1895_01067</t>
  </si>
  <si>
    <t>N53° 8.9920′</t>
  </si>
  <si>
    <t>W130° 25.6327′</t>
  </si>
  <si>
    <t>R1895_01068</t>
  </si>
  <si>
    <t>N53° 9.0042′</t>
  </si>
  <si>
    <t>R1895_01069</t>
  </si>
  <si>
    <t>N53° 9.0073′</t>
  </si>
  <si>
    <t>W130° 25.6162′</t>
  </si>
  <si>
    <t>R1895_01070</t>
  </si>
  <si>
    <t>N53° 8.9962′</t>
  </si>
  <si>
    <t>W130° 25.6115′</t>
  </si>
  <si>
    <t>R1895_01071</t>
  </si>
  <si>
    <t>N53° 8.9819′</t>
  </si>
  <si>
    <t>W130° 25.6090′</t>
  </si>
  <si>
    <t>R1895_01072</t>
  </si>
  <si>
    <t>N53° 8.9697′</t>
  </si>
  <si>
    <t>W130° 25.6079′</t>
  </si>
  <si>
    <t>R1895_01073</t>
  </si>
  <si>
    <t>N53° 8.9563′</t>
  </si>
  <si>
    <t>W130° 25.6073′</t>
  </si>
  <si>
    <t>R1895_01074</t>
  </si>
  <si>
    <t>N53° 8.9424′</t>
  </si>
  <si>
    <t>W130° 25.6093′</t>
  </si>
  <si>
    <t>R1895_01076</t>
  </si>
  <si>
    <t>N53° 8.9278′</t>
  </si>
  <si>
    <t>W130° 25.6075′</t>
  </si>
  <si>
    <t>R1895_01077</t>
  </si>
  <si>
    <t>N53° 8.9159′</t>
  </si>
  <si>
    <t>W130° 25.6070′</t>
  </si>
  <si>
    <t>R1895_01078</t>
  </si>
  <si>
    <t>N53° 8.9039′</t>
  </si>
  <si>
    <t>W130° 25.6089′</t>
  </si>
  <si>
    <t>R1895_01079</t>
  </si>
  <si>
    <t>N53° 8.8995′</t>
  </si>
  <si>
    <t>W130° 25.5896′</t>
  </si>
  <si>
    <t>R1895_01080</t>
  </si>
  <si>
    <t>N53° 8.9108′</t>
  </si>
  <si>
    <t>W130° 25.5856′</t>
  </si>
  <si>
    <t>R1895_01081</t>
  </si>
  <si>
    <t>N53° 8.9225′</t>
  </si>
  <si>
    <t>W130° 25.5858′</t>
  </si>
  <si>
    <t>R1895_01082</t>
  </si>
  <si>
    <t>N53° 8.9366′</t>
  </si>
  <si>
    <t>W130° 25.5864′</t>
  </si>
  <si>
    <t>R1895_01083</t>
  </si>
  <si>
    <t>N53° 8.9479′</t>
  </si>
  <si>
    <t>R1895_01084</t>
  </si>
  <si>
    <t>N53° 8.9663′</t>
  </si>
  <si>
    <t>R1895_01085</t>
  </si>
  <si>
    <t>N53° 8.9792′</t>
  </si>
  <si>
    <t>W130° 25.5868′</t>
  </si>
  <si>
    <t>R1895_01086</t>
  </si>
  <si>
    <t>N53° 8.9935′</t>
  </si>
  <si>
    <t>W130° 25.5873′</t>
  </si>
  <si>
    <t>R1895_01087</t>
  </si>
  <si>
    <t>N53° 9.0067′</t>
  </si>
  <si>
    <t>W130° 25.5880′</t>
  </si>
  <si>
    <t>R1895_01088</t>
  </si>
  <si>
    <t>N53° 9.0077′</t>
  </si>
  <si>
    <t>W130° 25.5674′</t>
  </si>
  <si>
    <t>R1895_01089</t>
  </si>
  <si>
    <t>N53° 8.9959′</t>
  </si>
  <si>
    <t>W130° 25.5651′</t>
  </si>
  <si>
    <t>R1895_01090</t>
  </si>
  <si>
    <t>N53° 8.9846′</t>
  </si>
  <si>
    <t>W130° 25.5644′</t>
  </si>
  <si>
    <t>R1895_01091</t>
  </si>
  <si>
    <t>N53° 8.9684′</t>
  </si>
  <si>
    <t>W130° 25.5647′</t>
  </si>
  <si>
    <t>R1895_01092</t>
  </si>
  <si>
    <t>W130° 25.5643′</t>
  </si>
  <si>
    <t>R1895_01093</t>
  </si>
  <si>
    <t>N53° 8.9416′</t>
  </si>
  <si>
    <t>W130° 25.5631′</t>
  </si>
  <si>
    <t>R1895_01095</t>
  </si>
  <si>
    <t>W130° 25.5622′</t>
  </si>
  <si>
    <t>R1895_01096</t>
  </si>
  <si>
    <t>N53° 8.9156′</t>
  </si>
  <si>
    <t>W130° 25.5626′</t>
  </si>
  <si>
    <t>R1895_01097</t>
  </si>
  <si>
    <t>N53° 8.9035′</t>
  </si>
  <si>
    <t>R1895_01098</t>
  </si>
  <si>
    <t>N53° 8.9002′</t>
  </si>
  <si>
    <t>W130° 25.5421′</t>
  </si>
  <si>
    <t>R1895_01099</t>
  </si>
  <si>
    <t>N53° 8.9119′</t>
  </si>
  <si>
    <t>W130° 25.5402′</t>
  </si>
  <si>
    <t>R1895_01100</t>
  </si>
  <si>
    <t>N53° 8.9267′</t>
  </si>
  <si>
    <t>W130° 25.5403′</t>
  </si>
  <si>
    <t>R1895_01101</t>
  </si>
  <si>
    <t>N53° 8.9388′</t>
  </si>
  <si>
    <t>W130° 25.5411′</t>
  </si>
  <si>
    <t>R1895_01102</t>
  </si>
  <si>
    <t>N53° 8.9533′</t>
  </si>
  <si>
    <t>W130° 25.5410′</t>
  </si>
  <si>
    <t>R1895_01103</t>
  </si>
  <si>
    <t>N53° 8.9669′</t>
  </si>
  <si>
    <t>W130° 25.5405′</t>
  </si>
  <si>
    <t>TOTALS</t>
  </si>
  <si>
    <t>Estimates of oscula # based on proportion calculations</t>
  </si>
  <si>
    <t>Sample</t>
  </si>
  <si>
    <t># oscula</t>
  </si>
  <si>
    <t># pixels</t>
  </si>
  <si>
    <t>Diameter of precollar space (median of trapezoid=m)</t>
  </si>
  <si>
    <t>Height to secondary reticulum (h)</t>
  </si>
  <si>
    <t xml:space="preserve">Cliona </t>
  </si>
  <si>
    <t>Cliona Relative head</t>
  </si>
  <si>
    <t>Farrea Relative head</t>
  </si>
  <si>
    <t>Farrea Velocity (mm/s)</t>
  </si>
  <si>
    <t>Callyspongia</t>
  </si>
  <si>
    <t>Callyspongia Relative head</t>
  </si>
  <si>
    <t>Cliona Velocity (mm/s)</t>
  </si>
  <si>
    <t>Callyspongia Velocity (mm/s)</t>
  </si>
  <si>
    <t xml:space="preserve">This sheet was taken directly from Lauren Law. She measured oscule areas for several photos. The diameters of the oscule areas are highlighted in red. The number of oscules measured per photo is in green. </t>
  </si>
  <si>
    <t xml:space="preserve">The wall thickness was measured based on two images. One was an SEM, one was from a wax section. There are several measurements per picture to account for variation in thickness. </t>
  </si>
  <si>
    <t>Mesh hole size (image of measurements was not taken)</t>
  </si>
  <si>
    <t xml:space="preserve">The subdermal space was difficult to define, but was decided to be the spacte between the ostial/atrial surface of the  sponge and the choanocyte chambers. This sheet contains the calculations of the path length of the subdermal space, the diameter of the mesh pore sizes within the subdermal space and the path length of the atrial subdermal space. The diameter of the mesh pores is used as the diameter of the subdermal space. </t>
  </si>
  <si>
    <t>Percent of 707um tissue that is subdermal space (XS area)</t>
  </si>
  <si>
    <t>Trumpet wall surface area (cm2)</t>
  </si>
  <si>
    <t>Ostia Thickness (Distance between surface and subdermal space)</t>
  </si>
  <si>
    <t xml:space="preserve">The ostia were difficult to define, because the ostial side looks more like a mesh. However, three squares in one image were taken and all the diameters from whole ostia were measured. The percent area that was taken up by ostia out of the area measured was then scaled up to calculate the cross sectional area. The thickness of ostia (bottom of sheet) was measured as the ostial path length. </t>
  </si>
  <si>
    <t>High Am 10-11</t>
  </si>
  <si>
    <t xml:space="preserve">High Am 12-13 </t>
  </si>
  <si>
    <t xml:space="preserve">This sheet contains the legth and diameter of incurrent canals. Incurrent canals were distinguished from excurrent canals by not having any chambers feed into them. The diameter of incurrent canals were taken from from on length wise cross section SEM, and two width wise cross section SEMs. The length of incurrent canals was calculated from two length wise SEMs, and three length wise wax sections. The proportion of area taken up by incurrent canals was calculated by selecting an area in FO_Sut_1_12 and calculating the % area taken up by incurrent canals.  </t>
  </si>
  <si>
    <t xml:space="preserve">This sheet contains only the calculation of average chamber diameter, and % area of choanosome taken up by chamber space. For more details (i.e. microvilli # etc.) see sheet 'collar bodies'. Note: diameter and path length are the same in a chamber. </t>
  </si>
  <si>
    <t xml:space="preserve">This sheet contains the diameter and path length of prosopyles. </t>
  </si>
  <si>
    <t>Pre/post collar space</t>
  </si>
  <si>
    <t>Gasket area between two microvilli</t>
  </si>
  <si>
    <t>Collar Base area between two microvilli</t>
  </si>
  <si>
    <t>Side Length (from collar base to gasket)</t>
  </si>
  <si>
    <t xml:space="preserve">This sheet contains: Number of Microvilli/collar body, flagellum length (unused), distance of microvillar base to 2nd reticulum, cicumference of gasket using outlining (unused), circumference of gasket using diameters, circumference of collar base (with #  of collar bodies/area calc), width of microvilli, area aviailable to collar slit (using trapezoid calculation), Distance between gaskets, pre/post collar space calculations (using trapezoid), width of secondary reticulum. </t>
  </si>
  <si>
    <t xml:space="preserve">This sheet contains the diameter and width of the apopyle. </t>
  </si>
  <si>
    <t>This sheet contains length and diameter of excurrent canals. Excurrent canals were distinguished from incurrent canals by having chambers open into them. Width of chambers was calculated using 3 SEM pictures, and length using 6 sectioned images (red=wax sections, blue= JB4 sections)</t>
  </si>
  <si>
    <t xml:space="preserve">An attempt to calculate the area of a Farrea Trumpet. Didn't exactly work because getting precise measuremnts was hard. But this information is not used in the Head Loss/Cost calculations. </t>
  </si>
  <si>
    <t xml:space="preserve">This sheet was taken exactly from Ludeman and Leys. Flow and oxygen removal values were only used from low ambient flow (where ex&gt;1cm/s), see 'Farrea Hecate 2015 Summary'.  All values that were adapted for Farrea have been changed to red. In other sheets, values used in this sheet are (should be) in red. </t>
  </si>
  <si>
    <t xml:space="preserve">This sheet was taken exactly from Ludeman and Leys. Flow and oxygen removal values were only used from high ambient flow, see 'Farrea Hecate 2015 Summary'.  All values that were adapted for Farrea have been changed to red. In other sheets, values used in this sheet are (should be) in red. </t>
  </si>
  <si>
    <t xml:space="preserve">Flow and Oxygen Removal Data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</si>
</sst>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64" formatCode="_(* #,##0.00_);_(* \(#,##0.00\);_(* &quot;-&quot;??_);_(@_)"/>
    <numFmt numFmtId="165" formatCode="0.00000"/>
    <numFmt numFmtId="166" formatCode="0.000"/>
    <numFmt numFmtId="167" formatCode="0.0"/>
    <numFmt numFmtId="168" formatCode="0.0%"/>
    <numFmt numFmtId="169" formatCode="#,##0.0"/>
    <numFmt numFmtId="170" formatCode="_(* #,##0_);_(* \(#,##0\);_(* &quot;-&quot;??_);_(@_)"/>
    <numFmt numFmtId="171" formatCode="_(* #,##0.0_);_(* \(#,##0.0\);_(* &quot;-&quot;??_);_(@_)"/>
    <numFmt numFmtId="172" formatCode="_(* #,##0.00000_);_(* \(#,##0.00000\);_(* &quot;-&quot;??_);_(@_)"/>
    <numFmt numFmtId="173" formatCode="0.000000"/>
    <numFmt numFmtId="174" formatCode="0.0000000000"/>
    <numFmt numFmtId="175" formatCode="0.0000"/>
  </numFmts>
  <fonts count="66" x14ac:knownFonts="1">
    <font>
      <sz val="11"/>
      <color theme="1"/>
      <name val="Calibri"/>
      <family val="2"/>
      <scheme val="minor"/>
    </font>
    <font>
      <sz val="10"/>
      <name val="Arial"/>
      <family val="2"/>
    </font>
    <font>
      <sz val="11"/>
      <color theme="1"/>
      <name val="Calibri"/>
      <family val="2"/>
      <scheme val="minor"/>
    </font>
    <font>
      <sz val="11"/>
      <color rgb="FF3F3F76"/>
      <name val="Calibri"/>
      <family val="2"/>
      <scheme val="minor"/>
    </font>
    <font>
      <b/>
      <sz val="11"/>
      <color theme="0"/>
      <name val="Calibri"/>
      <family val="2"/>
      <scheme val="minor"/>
    </font>
    <font>
      <b/>
      <sz val="11"/>
      <color theme="1"/>
      <name val="Calibri"/>
      <family val="2"/>
      <scheme val="minor"/>
    </font>
    <font>
      <b/>
      <sz val="9"/>
      <color indexed="81"/>
      <name val="Tahoma"/>
      <family val="2"/>
    </font>
    <font>
      <sz val="9"/>
      <color indexed="81"/>
      <name val="Tahoma"/>
      <family val="2"/>
    </font>
    <font>
      <sz val="11"/>
      <color rgb="FF006100"/>
      <name val="Calibri"/>
      <family val="2"/>
      <scheme val="minor"/>
    </font>
    <font>
      <b/>
      <sz val="11"/>
      <color rgb="FF3F3F3F"/>
      <name val="Calibri"/>
      <family val="2"/>
      <scheme val="minor"/>
    </font>
    <font>
      <b/>
      <sz val="11"/>
      <color rgb="FFFA7D00"/>
      <name val="Calibri"/>
      <family val="2"/>
      <scheme val="minor"/>
    </font>
    <font>
      <i/>
      <sz val="11"/>
      <color rgb="FF7F7F7F"/>
      <name val="Calibri"/>
      <family val="2"/>
      <scheme val="minor"/>
    </font>
    <font>
      <i/>
      <sz val="11"/>
      <color theme="1"/>
      <name val="Calibri"/>
      <family val="2"/>
      <scheme val="minor"/>
    </font>
    <font>
      <sz val="10"/>
      <name val="Symbol"/>
      <family val="1"/>
      <charset val="2"/>
    </font>
    <font>
      <sz val="11"/>
      <name val="Cambria"/>
      <family val="1"/>
      <scheme val="major"/>
    </font>
    <font>
      <vertAlign val="subscript"/>
      <sz val="10"/>
      <name val="Arial"/>
      <family val="2"/>
    </font>
    <font>
      <sz val="10"/>
      <color indexed="10"/>
      <name val="Arial"/>
      <family val="2"/>
    </font>
    <font>
      <sz val="11"/>
      <name val="Arial"/>
      <family val="2"/>
    </font>
    <font>
      <b/>
      <sz val="11"/>
      <color rgb="FF006100"/>
      <name val="Calibri"/>
      <family val="2"/>
    </font>
    <font>
      <b/>
      <sz val="8"/>
      <color indexed="81"/>
      <name val="Tahoma"/>
      <family val="2"/>
    </font>
    <font>
      <sz val="8"/>
      <color indexed="81"/>
      <name val="Tahoma"/>
      <family val="2"/>
    </font>
    <font>
      <b/>
      <sz val="10"/>
      <name val="Arial"/>
      <family val="2"/>
    </font>
    <font>
      <sz val="14"/>
      <color theme="4"/>
      <name val="Arial"/>
      <family val="2"/>
    </font>
    <font>
      <sz val="11"/>
      <color rgb="FF006100"/>
      <name val="Arial"/>
      <family val="2"/>
    </font>
    <font>
      <b/>
      <sz val="10"/>
      <color indexed="17"/>
      <name val="Calibri"/>
      <family val="2"/>
    </font>
    <font>
      <b/>
      <sz val="10"/>
      <color indexed="17"/>
      <name val="Arial"/>
      <family val="2"/>
    </font>
    <font>
      <b/>
      <sz val="10"/>
      <color indexed="17"/>
      <name val="Symbol"/>
      <family val="1"/>
      <charset val="2"/>
    </font>
    <font>
      <sz val="11"/>
      <color rgb="FF006100"/>
      <name val="Calibri"/>
      <family val="2"/>
      <charset val="177"/>
      <scheme val="minor"/>
    </font>
    <font>
      <b/>
      <sz val="11"/>
      <color indexed="17"/>
      <name val="Symbol"/>
      <family val="1"/>
      <charset val="2"/>
    </font>
    <font>
      <b/>
      <sz val="9"/>
      <name val="Arial"/>
      <family val="2"/>
    </font>
    <font>
      <b/>
      <sz val="10"/>
      <color rgb="FF0000FF"/>
      <name val="Arial"/>
      <family val="2"/>
    </font>
    <font>
      <b/>
      <sz val="10"/>
      <color indexed="39"/>
      <name val="Symbol"/>
      <family val="1"/>
      <charset val="2"/>
    </font>
    <font>
      <b/>
      <sz val="10"/>
      <color indexed="39"/>
      <name val="Arial"/>
      <family val="2"/>
    </font>
    <font>
      <b/>
      <vertAlign val="subscript"/>
      <sz val="10"/>
      <color indexed="39"/>
      <name val="Arial"/>
      <family val="2"/>
    </font>
    <font>
      <sz val="12"/>
      <name val="Cambria"/>
      <family val="1"/>
      <scheme val="major"/>
    </font>
    <font>
      <sz val="10"/>
      <name val="Cambria"/>
      <family val="1"/>
      <scheme val="major"/>
    </font>
    <font>
      <sz val="11"/>
      <color rgb="FF3F3F3F"/>
      <name val="Calibri"/>
      <family val="2"/>
      <scheme val="minor"/>
    </font>
    <font>
      <b/>
      <sz val="11"/>
      <color rgb="FFFF0000"/>
      <name val="Calibri"/>
      <family val="2"/>
      <scheme val="minor"/>
    </font>
    <font>
      <sz val="10"/>
      <color rgb="FFFF0000"/>
      <name val="Arial"/>
      <family val="2"/>
    </font>
    <font>
      <sz val="11"/>
      <color rgb="FFFF0000"/>
      <name val="Calibri"/>
      <family val="2"/>
      <scheme val="minor"/>
    </font>
    <font>
      <b/>
      <sz val="11"/>
      <color rgb="FFFF0000"/>
      <name val="Calibri"/>
      <family val="2"/>
    </font>
    <font>
      <b/>
      <sz val="10"/>
      <color rgb="FF626469"/>
      <name val="Arial"/>
      <family val="2"/>
    </font>
    <font>
      <sz val="11"/>
      <color rgb="FF9C6500"/>
      <name val="Calibri"/>
      <family val="2"/>
      <scheme val="minor"/>
    </font>
    <font>
      <sz val="12"/>
      <color theme="1"/>
      <name val="Calibri"/>
      <family val="2"/>
      <scheme val="minor"/>
    </font>
    <font>
      <sz val="12"/>
      <color rgb="FF006100"/>
      <name val="Calibri"/>
      <family val="2"/>
      <scheme val="minor"/>
    </font>
    <font>
      <b/>
      <sz val="12"/>
      <color rgb="FFFA7D00"/>
      <name val="Calibri"/>
      <family val="2"/>
      <scheme val="minor"/>
    </font>
    <font>
      <b/>
      <sz val="12"/>
      <color theme="1"/>
      <name val="Calibri"/>
      <family val="2"/>
      <scheme val="minor"/>
    </font>
    <font>
      <b/>
      <sz val="16"/>
      <color theme="1"/>
      <name val="Calibri"/>
      <family val="2"/>
      <scheme val="minor"/>
    </font>
    <font>
      <sz val="12"/>
      <name val="Calibri"/>
      <family val="2"/>
      <scheme val="minor"/>
    </font>
    <font>
      <sz val="12"/>
      <color rgb="FFFF0000"/>
      <name val="Calibri"/>
      <family val="2"/>
      <scheme val="minor"/>
    </font>
    <font>
      <sz val="10"/>
      <color theme="1"/>
      <name val="Arial"/>
      <family val="2"/>
    </font>
    <font>
      <sz val="11"/>
      <color theme="1"/>
      <name val="Cambria"/>
      <family val="1"/>
      <scheme val="major"/>
    </font>
    <font>
      <sz val="8"/>
      <color rgb="FF666666"/>
      <name val="Arial"/>
      <family val="2"/>
    </font>
    <font>
      <b/>
      <sz val="10"/>
      <color rgb="FFFF0000"/>
      <name val="Arial"/>
      <family val="2"/>
    </font>
    <font>
      <b/>
      <sz val="12"/>
      <color rgb="FFFF0000"/>
      <name val="Calibri"/>
      <family val="2"/>
      <scheme val="minor"/>
    </font>
    <font>
      <b/>
      <sz val="12"/>
      <color indexed="8"/>
      <name val="Calibri"/>
      <family val="2"/>
      <scheme val="minor"/>
    </font>
    <font>
      <b/>
      <sz val="12"/>
      <color indexed="8"/>
      <name val="Calibri"/>
      <family val="2"/>
    </font>
    <font>
      <sz val="12"/>
      <color rgb="FF000000"/>
      <name val="Calibri"/>
      <family val="2"/>
      <scheme val="minor"/>
    </font>
    <font>
      <sz val="12"/>
      <color rgb="FF333333"/>
      <name val="Calibri"/>
      <family val="2"/>
      <scheme val="minor"/>
    </font>
    <font>
      <b/>
      <sz val="12"/>
      <color rgb="FF333333"/>
      <name val="Calibri"/>
      <family val="2"/>
      <scheme val="minor"/>
    </font>
    <font>
      <u/>
      <sz val="11"/>
      <color theme="10"/>
      <name val="Calibri"/>
      <family val="2"/>
      <scheme val="minor"/>
    </font>
    <font>
      <b/>
      <sz val="12"/>
      <color rgb="FF00B050"/>
      <name val="Calibri"/>
      <family val="2"/>
      <scheme val="minor"/>
    </font>
    <font>
      <sz val="12"/>
      <color rgb="FF00B050"/>
      <name val="Calibri"/>
      <family val="2"/>
      <scheme val="minor"/>
    </font>
    <font>
      <sz val="11"/>
      <color rgb="FF00B050"/>
      <name val="Calibri"/>
      <family val="2"/>
      <scheme val="minor"/>
    </font>
    <font>
      <sz val="11"/>
      <color rgb="FFFF0000"/>
      <name val="Calibri"/>
      <family val="2"/>
      <charset val="177"/>
      <scheme val="minor"/>
    </font>
    <font>
      <b/>
      <sz val="11"/>
      <color theme="1" tint="0.249977111117893"/>
      <name val="Calibri"/>
      <family val="2"/>
      <scheme val="minor"/>
    </font>
  </fonts>
  <fills count="23">
    <fill>
      <patternFill patternType="none"/>
    </fill>
    <fill>
      <patternFill patternType="gray125"/>
    </fill>
    <fill>
      <patternFill patternType="solid">
        <fgColor rgb="FFD5A6BD"/>
        <bgColor rgb="FFD5A6BD"/>
      </patternFill>
    </fill>
    <fill>
      <patternFill patternType="solid">
        <fgColor rgb="FFB6D7A8"/>
        <bgColor rgb="FFB6D7A8"/>
      </patternFill>
    </fill>
    <fill>
      <patternFill patternType="solid">
        <fgColor rgb="FFFFCC99"/>
      </patternFill>
    </fill>
    <fill>
      <patternFill patternType="solid">
        <fgColor rgb="FFA5A5A5"/>
      </patternFill>
    </fill>
    <fill>
      <patternFill patternType="solid">
        <fgColor rgb="FFC6EFCE"/>
      </patternFill>
    </fill>
    <fill>
      <patternFill patternType="solid">
        <fgColor rgb="FFF2F2F2"/>
      </patternFill>
    </fill>
    <fill>
      <patternFill patternType="solid">
        <fgColor indexed="50"/>
        <bgColor indexed="64"/>
      </patternFill>
    </fill>
    <fill>
      <patternFill patternType="solid">
        <fgColor indexed="52"/>
        <bgColor indexed="64"/>
      </patternFill>
    </fill>
    <fill>
      <patternFill patternType="solid">
        <fgColor indexed="43"/>
        <bgColor indexed="64"/>
      </patternFill>
    </fill>
    <fill>
      <patternFill patternType="solid">
        <fgColor theme="3" tint="0.79998168889431442"/>
        <bgColor indexed="64"/>
      </patternFill>
    </fill>
    <fill>
      <patternFill patternType="solid">
        <fgColor rgb="FFFFFF00"/>
        <bgColor indexed="64"/>
      </patternFill>
    </fill>
    <fill>
      <patternFill patternType="solid">
        <fgColor rgb="FFFFEB9C"/>
      </patternFill>
    </fill>
    <fill>
      <patternFill patternType="solid">
        <fgColor theme="6" tint="0.79998168889431442"/>
        <bgColor indexed="64"/>
      </patternFill>
    </fill>
    <fill>
      <patternFill patternType="solid">
        <fgColor theme="5" tint="0.79998168889431442"/>
        <bgColor indexed="64"/>
      </patternFill>
    </fill>
    <fill>
      <patternFill patternType="solid">
        <fgColor theme="6" tint="0.39997558519241921"/>
        <bgColor indexed="64"/>
      </patternFill>
    </fill>
    <fill>
      <patternFill patternType="solid">
        <fgColor theme="0" tint="-4.9989318521683403E-2"/>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theme="5" tint="0.59999389629810485"/>
        <bgColor indexed="64"/>
      </patternFill>
    </fill>
    <fill>
      <patternFill patternType="solid">
        <fgColor theme="6" tint="0.59999389629810485"/>
        <bgColor indexed="64"/>
      </patternFill>
    </fill>
  </fills>
  <borders count="26">
    <border>
      <left/>
      <right/>
      <top/>
      <bottom/>
      <diagonal/>
    </border>
    <border>
      <left/>
      <right/>
      <top style="thin">
        <color rgb="FF000000"/>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double">
        <color rgb="FF3F3F3F"/>
      </left>
      <right style="double">
        <color rgb="FF3F3F3F"/>
      </right>
      <top/>
      <bottom style="double">
        <color rgb="FF3F3F3F"/>
      </bottom>
      <diagonal/>
    </border>
    <border>
      <left style="thin">
        <color rgb="FF3F3F3F"/>
      </left>
      <right style="thin">
        <color rgb="FF3F3F3F"/>
      </right>
      <top style="thin">
        <color rgb="FF3F3F3F"/>
      </top>
      <bottom style="thin">
        <color rgb="FF3F3F3F"/>
      </bottom>
      <diagonal/>
    </border>
    <border>
      <left style="hair">
        <color indexed="64"/>
      </left>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hair">
        <color indexed="64"/>
      </bottom>
      <diagonal/>
    </border>
    <border>
      <left style="hair">
        <color indexed="64"/>
      </left>
      <right/>
      <top style="hair">
        <color indexed="64"/>
      </top>
      <bottom/>
      <diagonal/>
    </border>
    <border>
      <left style="hair">
        <color indexed="64"/>
      </left>
      <right/>
      <top/>
      <bottom style="hair">
        <color indexed="64"/>
      </bottom>
      <diagonal/>
    </border>
    <border>
      <left/>
      <right/>
      <top style="thin">
        <color indexed="64"/>
      </top>
      <bottom style="medium">
        <color indexed="64"/>
      </bottom>
      <diagonal/>
    </border>
    <border>
      <left/>
      <right/>
      <top/>
      <bottom style="medium">
        <color indexed="64"/>
      </bottom>
      <diagonal/>
    </border>
    <border>
      <left style="thin">
        <color auto="1"/>
      </left>
      <right style="thin">
        <color rgb="FF7F7F7F"/>
      </right>
      <top style="thin">
        <color auto="1"/>
      </top>
      <bottom style="thin">
        <color auto="1"/>
      </bottom>
      <diagonal/>
    </border>
    <border>
      <left style="thin">
        <color auto="1"/>
      </left>
      <right style="thin">
        <color auto="1"/>
      </right>
      <top style="thin">
        <color auto="1"/>
      </top>
      <bottom style="thin">
        <color auto="1"/>
      </bottom>
      <diagonal/>
    </border>
  </borders>
  <cellStyleXfs count="21">
    <xf numFmtId="0" fontId="0" fillId="0" borderId="0"/>
    <xf numFmtId="9" fontId="2" fillId="0" borderId="0" applyFont="0" applyFill="0" applyBorder="0" applyAlignment="0" applyProtection="0"/>
    <xf numFmtId="0" fontId="3" fillId="4" borderId="10" applyNumberFormat="0" applyAlignment="0" applyProtection="0"/>
    <xf numFmtId="0" fontId="4" fillId="5" borderId="11" applyNumberFormat="0" applyAlignment="0" applyProtection="0"/>
    <xf numFmtId="0" fontId="8" fillId="6" borderId="0" applyNumberFormat="0" applyBorder="0" applyAlignment="0" applyProtection="0"/>
    <xf numFmtId="164" fontId="2" fillId="0" borderId="0" applyFont="0" applyFill="0" applyBorder="0" applyAlignment="0" applyProtection="0"/>
    <xf numFmtId="0" fontId="9" fillId="7" borderId="16" applyNumberFormat="0" applyAlignment="0" applyProtection="0"/>
    <xf numFmtId="0" fontId="10" fillId="7" borderId="10" applyNumberFormat="0" applyAlignment="0" applyProtection="0"/>
    <xf numFmtId="0" fontId="11" fillId="0" borderId="0" applyNumberFormat="0" applyFill="0" applyBorder="0" applyAlignment="0" applyProtection="0"/>
    <xf numFmtId="0" fontId="27" fillId="6" borderId="0" applyNumberFormat="0" applyBorder="0" applyAlignment="0" applyProtection="0"/>
    <xf numFmtId="164" fontId="1" fillId="0" borderId="0" applyFont="0" applyFill="0" applyBorder="0" applyAlignment="0" applyProtection="0"/>
    <xf numFmtId="0" fontId="1" fillId="0" borderId="0"/>
    <xf numFmtId="0" fontId="42" fillId="13" borderId="0" applyNumberFormat="0" applyBorder="0" applyAlignment="0" applyProtection="0"/>
    <xf numFmtId="0" fontId="43" fillId="0" borderId="0"/>
    <xf numFmtId="0" fontId="44" fillId="6" borderId="0" applyNumberFormat="0" applyBorder="0" applyAlignment="0" applyProtection="0"/>
    <xf numFmtId="0" fontId="45" fillId="7" borderId="10" applyNumberFormat="0" applyAlignment="0" applyProtection="0"/>
    <xf numFmtId="0" fontId="2" fillId="0" borderId="0"/>
    <xf numFmtId="0" fontId="43" fillId="0" borderId="0"/>
    <xf numFmtId="0" fontId="43" fillId="0" borderId="0"/>
    <xf numFmtId="0" fontId="43" fillId="0" borderId="0"/>
    <xf numFmtId="0" fontId="60" fillId="0" borderId="0" applyNumberFormat="0" applyFill="0" applyBorder="0" applyAlignment="0" applyProtection="0"/>
  </cellStyleXfs>
  <cellXfs count="328">
    <xf numFmtId="0" fontId="0" fillId="0" borderId="0" xfId="0"/>
    <xf numFmtId="0" fontId="1" fillId="2" borderId="1" xfId="0" applyFont="1" applyFill="1" applyBorder="1" applyAlignment="1">
      <alignment wrapText="1"/>
    </xf>
    <xf numFmtId="0" fontId="0" fillId="2" borderId="1" xfId="0" applyFont="1" applyFill="1" applyBorder="1" applyAlignment="1">
      <alignment wrapText="1"/>
    </xf>
    <xf numFmtId="0" fontId="1" fillId="3" borderId="1" xfId="0" applyFont="1" applyFill="1" applyBorder="1" applyAlignment="1">
      <alignment wrapText="1"/>
    </xf>
    <xf numFmtId="0" fontId="1" fillId="2" borderId="0" xfId="0" applyFont="1" applyFill="1" applyBorder="1" applyAlignment="1">
      <alignment wrapText="1"/>
    </xf>
    <xf numFmtId="0" fontId="0" fillId="2" borderId="0" xfId="0" applyFont="1" applyFill="1" applyBorder="1" applyAlignment="1">
      <alignment wrapText="1"/>
    </xf>
    <xf numFmtId="0" fontId="1" fillId="3" borderId="0" xfId="0" applyFont="1" applyFill="1" applyBorder="1" applyAlignment="1">
      <alignment wrapText="1"/>
    </xf>
    <xf numFmtId="10" fontId="1" fillId="3" borderId="0" xfId="0" applyNumberFormat="1" applyFont="1" applyFill="1" applyBorder="1" applyAlignment="1">
      <alignment wrapText="1"/>
    </xf>
    <xf numFmtId="0" fontId="0" fillId="0" borderId="2" xfId="0" applyBorder="1"/>
    <xf numFmtId="0" fontId="0" fillId="0" borderId="3" xfId="0" applyBorder="1"/>
    <xf numFmtId="0" fontId="0" fillId="0" borderId="4" xfId="0" applyBorder="1"/>
    <xf numFmtId="0" fontId="0" fillId="0" borderId="5" xfId="0" applyBorder="1"/>
    <xf numFmtId="0" fontId="0" fillId="0" borderId="0" xfId="0" applyBorder="1"/>
    <xf numFmtId="0" fontId="0" fillId="0" borderId="6" xfId="0" applyBorder="1"/>
    <xf numFmtId="0" fontId="0" fillId="0" borderId="7" xfId="0" applyBorder="1"/>
    <xf numFmtId="0" fontId="0" fillId="0" borderId="8" xfId="0" applyBorder="1"/>
    <xf numFmtId="0" fontId="0" fillId="0" borderId="9" xfId="0" applyBorder="1"/>
    <xf numFmtId="0" fontId="4" fillId="5" borderId="11" xfId="3"/>
    <xf numFmtId="0" fontId="5" fillId="0" borderId="0" xfId="0" applyFont="1"/>
    <xf numFmtId="0" fontId="5" fillId="0" borderId="12" xfId="0" applyFont="1" applyBorder="1"/>
    <xf numFmtId="0" fontId="5" fillId="0" borderId="13" xfId="0" applyFont="1" applyBorder="1"/>
    <xf numFmtId="0" fontId="5" fillId="0" borderId="13" xfId="0" applyFont="1" applyBorder="1" applyAlignment="1">
      <alignment wrapText="1"/>
    </xf>
    <xf numFmtId="0" fontId="5" fillId="0" borderId="14" xfId="0" applyFont="1" applyBorder="1" applyAlignment="1">
      <alignment wrapText="1"/>
    </xf>
    <xf numFmtId="0" fontId="1" fillId="0" borderId="8" xfId="0" applyFont="1" applyBorder="1"/>
    <xf numFmtId="0" fontId="3" fillId="4" borderId="10" xfId="2"/>
    <xf numFmtId="9" fontId="0" fillId="0" borderId="0" xfId="1" applyFont="1"/>
    <xf numFmtId="0" fontId="4" fillId="5" borderId="15" xfId="3" applyBorder="1"/>
    <xf numFmtId="0" fontId="5" fillId="0" borderId="8" xfId="0" applyFont="1" applyBorder="1"/>
    <xf numFmtId="0" fontId="8" fillId="6" borderId="0" xfId="4"/>
    <xf numFmtId="10" fontId="8" fillId="6" borderId="0" xfId="4" applyNumberFormat="1"/>
    <xf numFmtId="0" fontId="12" fillId="0" borderId="0" xfId="0" applyFont="1"/>
    <xf numFmtId="0" fontId="1" fillId="0" borderId="8" xfId="0" applyFont="1" applyBorder="1" applyAlignment="1">
      <alignment horizontal="center" wrapText="1"/>
    </xf>
    <xf numFmtId="0" fontId="1" fillId="0" borderId="8" xfId="0" applyFont="1" applyBorder="1" applyAlignment="1">
      <alignment wrapText="1"/>
    </xf>
    <xf numFmtId="0" fontId="1" fillId="0" borderId="8" xfId="0" applyFont="1" applyFill="1" applyBorder="1" applyAlignment="1">
      <alignment wrapText="1"/>
    </xf>
    <xf numFmtId="0" fontId="1" fillId="0" borderId="8" xfId="0" applyFont="1" applyFill="1" applyBorder="1" applyAlignment="1">
      <alignment horizontal="center" wrapText="1"/>
    </xf>
    <xf numFmtId="0" fontId="1" fillId="0" borderId="0" xfId="0" applyFont="1" applyFill="1" applyBorder="1" applyAlignment="1">
      <alignment wrapText="1"/>
    </xf>
    <xf numFmtId="0" fontId="1" fillId="0" borderId="0" xfId="0" applyFont="1" applyAlignment="1">
      <alignment horizontal="left"/>
    </xf>
    <xf numFmtId="0" fontId="1" fillId="0" borderId="0" xfId="0" applyFont="1"/>
    <xf numFmtId="0" fontId="1" fillId="0" borderId="0" xfId="0" applyFont="1" applyFill="1" applyAlignment="1">
      <alignment horizontal="center"/>
    </xf>
    <xf numFmtId="0" fontId="1" fillId="0" borderId="0" xfId="0" applyNumberFormat="1" applyFont="1"/>
    <xf numFmtId="0" fontId="1" fillId="0" borderId="0" xfId="0" applyNumberFormat="1" applyFont="1" applyAlignment="1">
      <alignment horizontal="center"/>
    </xf>
    <xf numFmtId="167" fontId="1" fillId="0" borderId="0" xfId="0" applyNumberFormat="1" applyFont="1"/>
    <xf numFmtId="165" fontId="1" fillId="0" borderId="0" xfId="0" applyNumberFormat="1" applyFont="1"/>
    <xf numFmtId="2" fontId="1" fillId="0" borderId="0" xfId="0" applyNumberFormat="1" applyFont="1"/>
    <xf numFmtId="166" fontId="1" fillId="8" borderId="17" xfId="0" applyNumberFormat="1" applyFont="1" applyFill="1" applyBorder="1"/>
    <xf numFmtId="2" fontId="1" fillId="8" borderId="18" xfId="0" applyNumberFormat="1" applyFont="1" applyFill="1" applyBorder="1" applyAlignment="1">
      <alignment wrapText="1"/>
    </xf>
    <xf numFmtId="2" fontId="1" fillId="8" borderId="19" xfId="1" applyNumberFormat="1" applyFont="1" applyFill="1" applyBorder="1"/>
    <xf numFmtId="11" fontId="14" fillId="0" borderId="0" xfId="0" applyNumberFormat="1" applyFont="1"/>
    <xf numFmtId="164" fontId="14" fillId="0" borderId="0" xfId="5" applyNumberFormat="1" applyFont="1"/>
    <xf numFmtId="168" fontId="1" fillId="0" borderId="0" xfId="1" applyNumberFormat="1" applyFont="1"/>
    <xf numFmtId="169" fontId="1" fillId="0" borderId="0" xfId="5" applyNumberFormat="1" applyFont="1"/>
    <xf numFmtId="10" fontId="1" fillId="0" borderId="0" xfId="1" applyNumberFormat="1" applyFont="1"/>
    <xf numFmtId="0" fontId="1" fillId="0" borderId="0" xfId="0" applyFont="1" applyFill="1"/>
    <xf numFmtId="0" fontId="1" fillId="0" borderId="0" xfId="0" applyNumberFormat="1" applyFont="1" applyFill="1" applyAlignment="1">
      <alignment horizontal="center"/>
    </xf>
    <xf numFmtId="0" fontId="1" fillId="0" borderId="0" xfId="0" applyFont="1" applyAlignment="1">
      <alignment vertical="top" wrapText="1"/>
    </xf>
    <xf numFmtId="0" fontId="1" fillId="9" borderId="0" xfId="0" applyFont="1" applyFill="1" applyAlignment="1">
      <alignment horizontal="center"/>
    </xf>
    <xf numFmtId="0" fontId="1" fillId="9" borderId="0" xfId="0" applyNumberFormat="1" applyFont="1" applyFill="1"/>
    <xf numFmtId="0" fontId="1" fillId="9" borderId="0" xfId="0" applyNumberFormat="1" applyFont="1" applyFill="1" applyAlignment="1">
      <alignment horizontal="center"/>
    </xf>
    <xf numFmtId="0" fontId="1" fillId="10" borderId="0" xfId="0" applyFont="1" applyFill="1"/>
    <xf numFmtId="2" fontId="1" fillId="9" borderId="0" xfId="0" applyNumberFormat="1" applyFont="1" applyFill="1" applyAlignment="1">
      <alignment horizontal="right"/>
    </xf>
    <xf numFmtId="0" fontId="16" fillId="9" borderId="0" xfId="0" applyNumberFormat="1" applyFont="1" applyFill="1" applyAlignment="1">
      <alignment horizontal="center"/>
    </xf>
    <xf numFmtId="166" fontId="1" fillId="8" borderId="20" xfId="0" applyNumberFormat="1" applyFont="1" applyFill="1" applyBorder="1"/>
    <xf numFmtId="0" fontId="1" fillId="0" borderId="0" xfId="0" applyFont="1" applyFill="1" applyBorder="1"/>
    <xf numFmtId="0" fontId="1" fillId="9" borderId="0" xfId="0" applyFont="1" applyFill="1" applyBorder="1" applyAlignment="1">
      <alignment horizontal="center"/>
    </xf>
    <xf numFmtId="0" fontId="1" fillId="9" borderId="0" xfId="0" applyNumberFormat="1" applyFont="1" applyFill="1" applyBorder="1" applyAlignment="1">
      <alignment horizontal="center"/>
    </xf>
    <xf numFmtId="11" fontId="1" fillId="0" borderId="0" xfId="0" applyNumberFormat="1" applyFont="1"/>
    <xf numFmtId="11" fontId="1" fillId="0" borderId="0" xfId="0" applyNumberFormat="1" applyFont="1" applyAlignment="1">
      <alignment horizontal="center"/>
    </xf>
    <xf numFmtId="166" fontId="1" fillId="0" borderId="0" xfId="0" applyNumberFormat="1" applyFont="1" applyFill="1"/>
    <xf numFmtId="0" fontId="1" fillId="0" borderId="18" xfId="0" applyFont="1" applyFill="1" applyBorder="1"/>
    <xf numFmtId="11" fontId="17" fillId="0" borderId="0" xfId="0" applyNumberFormat="1" applyFont="1"/>
    <xf numFmtId="170" fontId="17" fillId="0" borderId="0" xfId="5" applyNumberFormat="1" applyFont="1"/>
    <xf numFmtId="166" fontId="1" fillId="0" borderId="18" xfId="0" applyNumberFormat="1" applyFont="1" applyFill="1" applyBorder="1" applyAlignment="1">
      <alignment wrapText="1"/>
    </xf>
    <xf numFmtId="2" fontId="1" fillId="0" borderId="19" xfId="1" applyNumberFormat="1" applyFont="1" applyFill="1" applyBorder="1"/>
    <xf numFmtId="0" fontId="1" fillId="0" borderId="0" xfId="0" applyFont="1" applyAlignment="1">
      <alignment horizontal="center"/>
    </xf>
    <xf numFmtId="1" fontId="1" fillId="0" borderId="0" xfId="0" applyNumberFormat="1" applyFont="1"/>
    <xf numFmtId="0" fontId="18" fillId="6" borderId="0" xfId="4" applyFont="1" applyAlignment="1">
      <alignment horizontal="right"/>
    </xf>
    <xf numFmtId="167" fontId="18" fillId="6" borderId="0" xfId="4" applyNumberFormat="1" applyFont="1"/>
    <xf numFmtId="1" fontId="18" fillId="6" borderId="0" xfId="4" applyNumberFormat="1" applyFont="1"/>
    <xf numFmtId="0" fontId="16" fillId="0" borderId="0" xfId="0" applyFont="1"/>
    <xf numFmtId="0" fontId="1" fillId="0" borderId="0" xfId="0" applyFont="1" applyBorder="1" applyAlignment="1">
      <alignment horizontal="center"/>
    </xf>
    <xf numFmtId="0" fontId="22" fillId="0" borderId="0" xfId="0" applyFont="1"/>
    <xf numFmtId="0" fontId="23" fillId="0" borderId="0" xfId="4" applyFont="1" applyFill="1" applyBorder="1" applyAlignment="1">
      <alignment horizontal="right"/>
    </xf>
    <xf numFmtId="164" fontId="23" fillId="0" borderId="0" xfId="5" applyFont="1" applyFill="1" applyBorder="1"/>
    <xf numFmtId="0" fontId="1" fillId="0" borderId="0" xfId="0" applyFont="1" applyBorder="1"/>
    <xf numFmtId="0" fontId="1" fillId="8" borderId="0" xfId="0" applyFont="1" applyFill="1" applyAlignment="1">
      <alignment horizontal="left"/>
    </xf>
    <xf numFmtId="0" fontId="1" fillId="8" borderId="0" xfId="0" applyFont="1" applyFill="1"/>
    <xf numFmtId="0" fontId="1" fillId="8" borderId="0" xfId="0" applyNumberFormat="1" applyFont="1" applyFill="1"/>
    <xf numFmtId="0" fontId="1" fillId="8" borderId="0" xfId="0" applyNumberFormat="1" applyFont="1" applyFill="1" applyAlignment="1">
      <alignment horizontal="center"/>
    </xf>
    <xf numFmtId="0" fontId="1" fillId="8" borderId="0" xfId="0" applyFont="1" applyFill="1" applyAlignment="1">
      <alignment horizontal="center"/>
    </xf>
    <xf numFmtId="166" fontId="18" fillId="6" borderId="0" xfId="4" applyNumberFormat="1" applyFont="1" applyBorder="1" applyAlignment="1">
      <alignment horizontal="right" wrapText="1"/>
    </xf>
    <xf numFmtId="0" fontId="18" fillId="6" borderId="0" xfId="4" applyFont="1" applyBorder="1" applyAlignment="1">
      <alignment horizontal="right" wrapText="1"/>
    </xf>
    <xf numFmtId="0" fontId="18" fillId="6" borderId="0" xfId="4" applyFont="1" applyBorder="1" applyAlignment="1">
      <alignment wrapText="1"/>
    </xf>
    <xf numFmtId="0" fontId="24" fillId="11" borderId="0" xfId="4" applyFont="1" applyFill="1" applyBorder="1" applyAlignment="1">
      <alignment wrapText="1"/>
    </xf>
    <xf numFmtId="0" fontId="18" fillId="11" borderId="0" xfId="9" applyFont="1" applyFill="1" applyAlignment="1">
      <alignment horizontal="right" wrapText="1"/>
    </xf>
    <xf numFmtId="0" fontId="18" fillId="11" borderId="0" xfId="4" applyFont="1" applyFill="1" applyBorder="1" applyAlignment="1">
      <alignment wrapText="1"/>
    </xf>
    <xf numFmtId="0" fontId="18" fillId="12" borderId="0" xfId="4" applyFont="1" applyFill="1" applyBorder="1" applyAlignment="1">
      <alignment wrapText="1"/>
    </xf>
    <xf numFmtId="0" fontId="10" fillId="7" borderId="10" xfId="7" applyAlignment="1">
      <alignment horizontal="left" wrapText="1"/>
    </xf>
    <xf numFmtId="0" fontId="10" fillId="7" borderId="10" xfId="7" applyAlignment="1">
      <alignment horizontal="center"/>
    </xf>
    <xf numFmtId="1" fontId="18" fillId="11" borderId="0" xfId="4" applyNumberFormat="1" applyFont="1" applyFill="1" applyAlignment="1">
      <alignment wrapText="1"/>
    </xf>
    <xf numFmtId="170" fontId="18" fillId="11" borderId="0" xfId="10" applyNumberFormat="1" applyFont="1" applyFill="1"/>
    <xf numFmtId="11" fontId="18" fillId="11" borderId="0" xfId="4" applyNumberFormat="1" applyFont="1" applyFill="1" applyAlignment="1">
      <alignment wrapText="1"/>
    </xf>
    <xf numFmtId="11" fontId="18" fillId="12" borderId="0" xfId="4" applyNumberFormat="1" applyFont="1" applyFill="1" applyAlignment="1">
      <alignment wrapText="1"/>
    </xf>
    <xf numFmtId="2" fontId="10" fillId="7" borderId="10" xfId="7" applyNumberFormat="1"/>
    <xf numFmtId="3" fontId="1" fillId="0" borderId="0" xfId="0" applyNumberFormat="1" applyFont="1" applyBorder="1"/>
    <xf numFmtId="164" fontId="1" fillId="0" borderId="0" xfId="5" applyFont="1" applyBorder="1"/>
    <xf numFmtId="0" fontId="1" fillId="0" borderId="0" xfId="0" applyFont="1" applyFill="1" applyAlignment="1">
      <alignment wrapText="1"/>
    </xf>
    <xf numFmtId="171" fontId="29" fillId="0" borderId="0" xfId="5" applyNumberFormat="1" applyFont="1"/>
    <xf numFmtId="1" fontId="29" fillId="0" borderId="0" xfId="0" applyNumberFormat="1" applyFont="1"/>
    <xf numFmtId="168" fontId="29" fillId="0" borderId="0" xfId="1" applyNumberFormat="1" applyFont="1"/>
    <xf numFmtId="170" fontId="29" fillId="0" borderId="0" xfId="5" applyNumberFormat="1" applyFont="1"/>
    <xf numFmtId="171" fontId="21" fillId="0" borderId="0" xfId="5" applyNumberFormat="1" applyFont="1"/>
    <xf numFmtId="1" fontId="1" fillId="0" borderId="0" xfId="0" applyNumberFormat="1" applyFont="1" applyFill="1"/>
    <xf numFmtId="0" fontId="30" fillId="0" borderId="22" xfId="0" applyFont="1" applyBorder="1"/>
    <xf numFmtId="0" fontId="16" fillId="0" borderId="0" xfId="0" applyFont="1" applyFill="1"/>
    <xf numFmtId="0" fontId="1" fillId="0" borderId="22" xfId="0" applyFont="1" applyBorder="1" applyAlignment="1">
      <alignment wrapText="1"/>
    </xf>
    <xf numFmtId="0" fontId="34" fillId="0" borderId="22" xfId="11" applyFont="1" applyBorder="1" applyAlignment="1">
      <alignment horizontal="center" wrapText="1"/>
    </xf>
    <xf numFmtId="4" fontId="1" fillId="0" borderId="0" xfId="0" applyNumberFormat="1" applyFont="1"/>
    <xf numFmtId="166" fontId="1" fillId="0" borderId="0" xfId="0" applyNumberFormat="1" applyFont="1"/>
    <xf numFmtId="11" fontId="1" fillId="0" borderId="0" xfId="0" applyNumberFormat="1" applyFont="1" applyFill="1"/>
    <xf numFmtId="167" fontId="30" fillId="0" borderId="0" xfId="0" applyNumberFormat="1" applyFont="1"/>
    <xf numFmtId="167" fontId="35" fillId="0" borderId="0" xfId="11" applyNumberFormat="1" applyFont="1"/>
    <xf numFmtId="170" fontId="1" fillId="0" borderId="0" xfId="10" applyNumberFormat="1" applyFont="1"/>
    <xf numFmtId="167" fontId="1" fillId="0" borderId="0" xfId="0" applyNumberFormat="1" applyFont="1" applyFill="1"/>
    <xf numFmtId="166" fontId="1" fillId="0" borderId="23" xfId="0" applyNumberFormat="1" applyFont="1" applyFill="1" applyBorder="1"/>
    <xf numFmtId="11" fontId="1" fillId="0" borderId="23" xfId="0" applyNumberFormat="1" applyFont="1" applyFill="1" applyBorder="1"/>
    <xf numFmtId="167" fontId="30" fillId="0" borderId="23" xfId="0" applyNumberFormat="1" applyFont="1" applyBorder="1"/>
    <xf numFmtId="167" fontId="35" fillId="0" borderId="23" xfId="11" applyNumberFormat="1" applyFont="1" applyBorder="1"/>
    <xf numFmtId="170" fontId="1" fillId="0" borderId="23" xfId="10" applyNumberFormat="1" applyFont="1" applyBorder="1"/>
    <xf numFmtId="0" fontId="27" fillId="6" borderId="0" xfId="9"/>
    <xf numFmtId="0" fontId="9" fillId="7" borderId="16" xfId="6"/>
    <xf numFmtId="0" fontId="36" fillId="7" borderId="16" xfId="6" applyFont="1"/>
    <xf numFmtId="2" fontId="9" fillId="7" borderId="16" xfId="6" applyNumberFormat="1"/>
    <xf numFmtId="0" fontId="37" fillId="7" borderId="16" xfId="6" applyFont="1"/>
    <xf numFmtId="0" fontId="11" fillId="0" borderId="0" xfId="8"/>
    <xf numFmtId="10" fontId="27" fillId="6" borderId="0" xfId="9" applyNumberFormat="1"/>
    <xf numFmtId="0" fontId="10" fillId="7" borderId="10" xfId="7"/>
    <xf numFmtId="2" fontId="8" fillId="6" borderId="0" xfId="4" applyNumberFormat="1"/>
    <xf numFmtId="0" fontId="5" fillId="0" borderId="2" xfId="0" applyFont="1" applyBorder="1"/>
    <xf numFmtId="0" fontId="5" fillId="0" borderId="3" xfId="0" applyFont="1" applyBorder="1"/>
    <xf numFmtId="0" fontId="5" fillId="0" borderId="4" xfId="0" applyFont="1" applyBorder="1"/>
    <xf numFmtId="0" fontId="5" fillId="0" borderId="5" xfId="0" applyFont="1" applyBorder="1"/>
    <xf numFmtId="0" fontId="5" fillId="0" borderId="0" xfId="0" applyFont="1" applyBorder="1"/>
    <xf numFmtId="0" fontId="5" fillId="0" borderId="6" xfId="0" applyFont="1" applyBorder="1"/>
    <xf numFmtId="0" fontId="5" fillId="0" borderId="7" xfId="0" applyFont="1" applyBorder="1"/>
    <xf numFmtId="0" fontId="5" fillId="0" borderId="9" xfId="0" applyFont="1" applyBorder="1"/>
    <xf numFmtId="166" fontId="38" fillId="8" borderId="17" xfId="0" applyNumberFormat="1" applyFont="1" applyFill="1" applyBorder="1"/>
    <xf numFmtId="0" fontId="1" fillId="0" borderId="0" xfId="11"/>
    <xf numFmtId="9" fontId="9" fillId="7" borderId="16" xfId="6" applyNumberFormat="1"/>
    <xf numFmtId="10" fontId="9" fillId="7" borderId="16" xfId="6" applyNumberFormat="1"/>
    <xf numFmtId="172" fontId="9" fillId="7" borderId="16" xfId="6" applyNumberFormat="1"/>
    <xf numFmtId="172" fontId="37" fillId="7" borderId="16" xfId="6" applyNumberFormat="1" applyFont="1"/>
    <xf numFmtId="2" fontId="37" fillId="7" borderId="10" xfId="7" applyNumberFormat="1" applyFont="1"/>
    <xf numFmtId="166" fontId="38" fillId="8" borderId="21" xfId="0" applyNumberFormat="1" applyFont="1" applyFill="1" applyBorder="1"/>
    <xf numFmtId="0" fontId="38" fillId="0" borderId="0" xfId="0" applyFont="1"/>
    <xf numFmtId="2" fontId="38" fillId="8" borderId="0" xfId="0" applyNumberFormat="1" applyFont="1" applyFill="1"/>
    <xf numFmtId="167" fontId="38" fillId="8" borderId="0" xfId="0" applyNumberFormat="1" applyFont="1" applyFill="1"/>
    <xf numFmtId="2" fontId="38" fillId="0" borderId="0" xfId="0" applyNumberFormat="1" applyFont="1" applyFill="1"/>
    <xf numFmtId="2" fontId="38" fillId="9" borderId="0" xfId="0" applyNumberFormat="1" applyFont="1" applyFill="1"/>
    <xf numFmtId="2" fontId="38" fillId="0" borderId="0" xfId="0" applyNumberFormat="1" applyFont="1"/>
    <xf numFmtId="0" fontId="5" fillId="0" borderId="8" xfId="0" applyFont="1" applyFill="1" applyBorder="1"/>
    <xf numFmtId="2" fontId="38" fillId="9" borderId="0" xfId="0" applyNumberFormat="1" applyFont="1" applyFill="1" applyBorder="1" applyAlignment="1">
      <alignment horizontal="right"/>
    </xf>
    <xf numFmtId="166" fontId="38" fillId="8" borderId="0" xfId="0" applyNumberFormat="1" applyFont="1" applyFill="1" applyBorder="1"/>
    <xf numFmtId="0" fontId="38" fillId="9" borderId="0" xfId="0" applyNumberFormat="1" applyFont="1" applyFill="1"/>
    <xf numFmtId="0" fontId="38" fillId="0" borderId="0" xfId="0" applyNumberFormat="1" applyFont="1"/>
    <xf numFmtId="0" fontId="38" fillId="0" borderId="0" xfId="0" applyNumberFormat="1" applyFont="1" applyFill="1"/>
    <xf numFmtId="0" fontId="38" fillId="9" borderId="0" xfId="0" applyNumberFormat="1" applyFont="1" applyFill="1" applyAlignment="1">
      <alignment horizontal="right"/>
    </xf>
    <xf numFmtId="0" fontId="38" fillId="9" borderId="0" xfId="0" applyNumberFormat="1" applyFont="1" applyFill="1" applyBorder="1"/>
    <xf numFmtId="0" fontId="40" fillId="6" borderId="0" xfId="4" applyFont="1" applyBorder="1" applyAlignment="1">
      <alignment horizontal="right" wrapText="1"/>
    </xf>
    <xf numFmtId="11" fontId="40" fillId="6" borderId="0" xfId="4" applyNumberFormat="1" applyFont="1" applyBorder="1" applyAlignment="1">
      <alignment horizontal="right" wrapText="1"/>
    </xf>
    <xf numFmtId="2" fontId="39" fillId="6" borderId="0" xfId="4" applyNumberFormat="1" applyFont="1" applyAlignment="1">
      <alignment wrapText="1"/>
    </xf>
    <xf numFmtId="0" fontId="21" fillId="0" borderId="8" xfId="0" applyFont="1" applyBorder="1"/>
    <xf numFmtId="0" fontId="0" fillId="8" borderId="0" xfId="0" applyFill="1"/>
    <xf numFmtId="1" fontId="0" fillId="8" borderId="0" xfId="0" applyNumberFormat="1" applyFill="1"/>
    <xf numFmtId="0" fontId="0" fillId="0" borderId="0" xfId="0" applyAlignment="1"/>
    <xf numFmtId="166" fontId="0" fillId="0" borderId="0" xfId="0" applyNumberFormat="1"/>
    <xf numFmtId="0" fontId="0" fillId="8" borderId="0" xfId="0" applyFill="1" applyAlignment="1"/>
    <xf numFmtId="167" fontId="0" fillId="8" borderId="0" xfId="0" applyNumberFormat="1" applyFill="1"/>
    <xf numFmtId="166" fontId="40" fillId="6" borderId="0" xfId="4" applyNumberFormat="1" applyFont="1" applyBorder="1" applyAlignment="1">
      <alignment horizontal="right"/>
    </xf>
    <xf numFmtId="0" fontId="41" fillId="0" borderId="0" xfId="0" applyFont="1"/>
    <xf numFmtId="173" fontId="37" fillId="7" borderId="10" xfId="7" applyNumberFormat="1" applyFont="1"/>
    <xf numFmtId="0" fontId="39" fillId="0" borderId="0" xfId="0" applyFont="1"/>
    <xf numFmtId="174" fontId="37" fillId="7" borderId="10" xfId="7" applyNumberFormat="1" applyFont="1"/>
    <xf numFmtId="0" fontId="0" fillId="0" borderId="8" xfId="0" applyBorder="1" applyAlignment="1">
      <alignment wrapText="1"/>
    </xf>
    <xf numFmtId="0" fontId="42" fillId="13" borderId="8" xfId="12" applyBorder="1" applyAlignment="1">
      <alignment horizontal="left"/>
    </xf>
    <xf numFmtId="11" fontId="0" fillId="18" borderId="0" xfId="0" applyNumberFormat="1" applyFill="1"/>
    <xf numFmtId="0" fontId="0" fillId="20" borderId="6" xfId="0" applyFont="1" applyFill="1" applyBorder="1"/>
    <xf numFmtId="0" fontId="0" fillId="20" borderId="0" xfId="0" applyFont="1" applyFill="1" applyBorder="1" applyAlignment="1">
      <alignment horizontal="right"/>
    </xf>
    <xf numFmtId="164" fontId="0" fillId="20" borderId="0" xfId="0" applyNumberFormat="1" applyFont="1" applyFill="1" applyBorder="1"/>
    <xf numFmtId="173" fontId="51" fillId="20" borderId="0" xfId="10" applyNumberFormat="1" applyFont="1" applyFill="1" applyBorder="1"/>
    <xf numFmtId="0" fontId="0" fillId="20" borderId="0" xfId="0" applyFont="1" applyFill="1" applyBorder="1"/>
    <xf numFmtId="0" fontId="0" fillId="20" borderId="5" xfId="0" applyFont="1" applyFill="1" applyBorder="1"/>
    <xf numFmtId="0" fontId="0" fillId="15" borderId="6" xfId="0" applyFont="1" applyFill="1" applyBorder="1"/>
    <xf numFmtId="0" fontId="0" fillId="15" borderId="5" xfId="0" applyFont="1" applyFill="1" applyBorder="1"/>
    <xf numFmtId="0" fontId="50" fillId="10" borderId="0" xfId="0" applyFont="1" applyFill="1"/>
    <xf numFmtId="0" fontId="50" fillId="0" borderId="0" xfId="0" applyFont="1" applyAlignment="1">
      <alignment horizontal="left"/>
    </xf>
    <xf numFmtId="166" fontId="0" fillId="14" borderId="0" xfId="0" applyNumberFormat="1" applyFill="1"/>
    <xf numFmtId="0" fontId="49" fillId="14" borderId="0" xfId="0" applyFont="1" applyFill="1"/>
    <xf numFmtId="166" fontId="40" fillId="17" borderId="25" xfId="14" applyNumberFormat="1" applyFont="1" applyFill="1" applyBorder="1" applyAlignment="1">
      <alignment horizontal="right"/>
    </xf>
    <xf numFmtId="0" fontId="0" fillId="14" borderId="0" xfId="0" applyFont="1" applyFill="1"/>
    <xf numFmtId="0" fontId="39" fillId="14" borderId="0" xfId="0" applyFont="1" applyFill="1"/>
    <xf numFmtId="2" fontId="0" fillId="0" borderId="0" xfId="0" applyNumberFormat="1"/>
    <xf numFmtId="2" fontId="0" fillId="0" borderId="0" xfId="0" applyNumberFormat="1" applyBorder="1"/>
    <xf numFmtId="2" fontId="0" fillId="19" borderId="0" xfId="0" applyNumberFormat="1" applyFill="1"/>
    <xf numFmtId="0" fontId="46" fillId="0" borderId="0" xfId="0" applyFont="1" applyFill="1"/>
    <xf numFmtId="0" fontId="0" fillId="19" borderId="0" xfId="0" applyFill="1"/>
    <xf numFmtId="0" fontId="46" fillId="19" borderId="0" xfId="0" applyFont="1" applyFill="1"/>
    <xf numFmtId="0" fontId="0" fillId="20" borderId="9" xfId="0" applyFill="1" applyBorder="1"/>
    <xf numFmtId="173" fontId="0" fillId="20" borderId="8" xfId="0" applyNumberFormat="1" applyFill="1" applyBorder="1"/>
    <xf numFmtId="0" fontId="0" fillId="20" borderId="8" xfId="0" applyFill="1" applyBorder="1"/>
    <xf numFmtId="0" fontId="0" fillId="20" borderId="7" xfId="0" applyFill="1" applyBorder="1"/>
    <xf numFmtId="0" fontId="0" fillId="15" borderId="9" xfId="0" applyFill="1" applyBorder="1"/>
    <xf numFmtId="0" fontId="0" fillId="20" borderId="0" xfId="0" applyFill="1" applyBorder="1" applyAlignment="1">
      <alignment horizontal="right"/>
    </xf>
    <xf numFmtId="0" fontId="0" fillId="20" borderId="6" xfId="0" applyFill="1" applyBorder="1"/>
    <xf numFmtId="164" fontId="0" fillId="20" borderId="0" xfId="0" applyNumberFormat="1" applyFill="1" applyBorder="1"/>
    <xf numFmtId="164" fontId="46" fillId="20" borderId="0" xfId="0" applyNumberFormat="1" applyFont="1" applyFill="1" applyBorder="1"/>
    <xf numFmtId="0" fontId="0" fillId="20" borderId="0" xfId="0" applyFill="1" applyBorder="1"/>
    <xf numFmtId="0" fontId="0" fillId="20" borderId="5" xfId="0" applyFill="1" applyBorder="1"/>
    <xf numFmtId="0" fontId="0" fillId="15" borderId="6" xfId="0" applyFill="1" applyBorder="1"/>
    <xf numFmtId="0" fontId="48" fillId="15" borderId="0" xfId="0" applyFont="1" applyFill="1" applyBorder="1"/>
    <xf numFmtId="0" fontId="0" fillId="15" borderId="5" xfId="0" applyFill="1" applyBorder="1"/>
    <xf numFmtId="0" fontId="0" fillId="14" borderId="0" xfId="0" applyFill="1"/>
    <xf numFmtId="0" fontId="1" fillId="20" borderId="4" xfId="0" applyFont="1" applyFill="1" applyBorder="1" applyAlignment="1">
      <alignment wrapText="1"/>
    </xf>
    <xf numFmtId="0" fontId="1" fillId="20" borderId="13" xfId="0" applyFont="1" applyFill="1" applyBorder="1" applyAlignment="1">
      <alignment wrapText="1"/>
    </xf>
    <xf numFmtId="0" fontId="1" fillId="20" borderId="3" xfId="0" applyFont="1" applyFill="1" applyBorder="1" applyAlignment="1">
      <alignment wrapText="1"/>
    </xf>
    <xf numFmtId="0" fontId="1" fillId="20" borderId="2" xfId="0" applyFont="1" applyFill="1" applyBorder="1" applyAlignment="1">
      <alignment wrapText="1"/>
    </xf>
    <xf numFmtId="0" fontId="1" fillId="15" borderId="4" xfId="0" applyFont="1" applyFill="1" applyBorder="1" applyAlignment="1">
      <alignment wrapText="1"/>
    </xf>
    <xf numFmtId="0" fontId="1" fillId="15" borderId="3" xfId="0" applyFont="1" applyFill="1" applyBorder="1" applyAlignment="1">
      <alignment wrapText="1"/>
    </xf>
    <xf numFmtId="0" fontId="1" fillId="15" borderId="2" xfId="0" applyFont="1" applyFill="1" applyBorder="1" applyAlignment="1">
      <alignment wrapText="1"/>
    </xf>
    <xf numFmtId="0" fontId="1" fillId="16" borderId="8" xfId="0" applyFont="1" applyFill="1" applyBorder="1" applyAlignment="1">
      <alignment wrapText="1"/>
    </xf>
    <xf numFmtId="0" fontId="21" fillId="16" borderId="8" xfId="0" applyFont="1" applyFill="1" applyBorder="1" applyAlignment="1">
      <alignment horizontal="center" wrapText="1"/>
    </xf>
    <xf numFmtId="0" fontId="1" fillId="14" borderId="7" xfId="0" applyFont="1" applyFill="1" applyBorder="1"/>
    <xf numFmtId="0" fontId="0" fillId="0" borderId="0" xfId="0" applyFill="1" applyBorder="1"/>
    <xf numFmtId="2" fontId="1" fillId="14" borderId="6" xfId="0" applyNumberFormat="1" applyFont="1" applyFill="1" applyBorder="1"/>
    <xf numFmtId="0" fontId="1" fillId="14" borderId="5" xfId="0" applyFont="1" applyFill="1" applyBorder="1"/>
    <xf numFmtId="0" fontId="1" fillId="14" borderId="2" xfId="0" applyFont="1" applyFill="1" applyBorder="1"/>
    <xf numFmtId="2" fontId="0" fillId="0" borderId="0" xfId="0" applyNumberFormat="1" applyFill="1"/>
    <xf numFmtId="0" fontId="0" fillId="0" borderId="0" xfId="0" applyFill="1"/>
    <xf numFmtId="0" fontId="43" fillId="0" borderId="0" xfId="13"/>
    <xf numFmtId="0" fontId="21" fillId="17" borderId="25" xfId="0" applyFont="1" applyFill="1" applyBorder="1" applyAlignment="1">
      <alignment wrapText="1"/>
    </xf>
    <xf numFmtId="0" fontId="0" fillId="0" borderId="0" xfId="0" applyFont="1"/>
    <xf numFmtId="0" fontId="46" fillId="0" borderId="0" xfId="0" applyFont="1"/>
    <xf numFmtId="0" fontId="47" fillId="0" borderId="0" xfId="0" applyFont="1"/>
    <xf numFmtId="11" fontId="18" fillId="17" borderId="25" xfId="14" applyNumberFormat="1" applyFont="1" applyFill="1" applyBorder="1" applyAlignment="1">
      <alignment wrapText="1"/>
    </xf>
    <xf numFmtId="170" fontId="18" fillId="17" borderId="25" xfId="10" applyNumberFormat="1" applyFont="1" applyFill="1" applyBorder="1"/>
    <xf numFmtId="175" fontId="18" fillId="17" borderId="25" xfId="14" applyNumberFormat="1" applyFont="1" applyFill="1" applyBorder="1" applyAlignment="1">
      <alignment wrapText="1"/>
    </xf>
    <xf numFmtId="1" fontId="18" fillId="17" borderId="25" xfId="14" applyNumberFormat="1" applyFont="1" applyFill="1" applyBorder="1" applyAlignment="1">
      <alignment wrapText="1"/>
    </xf>
    <xf numFmtId="0" fontId="18" fillId="17" borderId="25" xfId="14" applyFont="1" applyFill="1" applyBorder="1" applyAlignment="1">
      <alignment horizontal="right" wrapText="1"/>
    </xf>
    <xf numFmtId="0" fontId="45" fillId="7" borderId="24" xfId="15" applyBorder="1" applyAlignment="1">
      <alignment horizontal="center" wrapText="1"/>
    </xf>
    <xf numFmtId="0" fontId="45" fillId="7" borderId="25" xfId="15" applyBorder="1" applyAlignment="1">
      <alignment horizontal="center" wrapText="1"/>
    </xf>
    <xf numFmtId="0" fontId="45" fillId="7" borderId="25" xfId="15" applyBorder="1" applyAlignment="1">
      <alignment horizontal="left" wrapText="1"/>
    </xf>
    <xf numFmtId="0" fontId="18" fillId="17" borderId="25" xfId="14" applyFont="1" applyFill="1" applyBorder="1" applyAlignment="1">
      <alignment wrapText="1"/>
    </xf>
    <xf numFmtId="0" fontId="18" fillId="17" borderId="25" xfId="9" applyFont="1" applyFill="1" applyBorder="1" applyAlignment="1">
      <alignment horizontal="right" wrapText="1"/>
    </xf>
    <xf numFmtId="0" fontId="24" fillId="17" borderId="25" xfId="14" applyFont="1" applyFill="1" applyBorder="1" applyAlignment="1">
      <alignment wrapText="1"/>
    </xf>
    <xf numFmtId="166" fontId="18" fillId="17" borderId="25" xfId="14" applyNumberFormat="1" applyFont="1" applyFill="1" applyBorder="1" applyAlignment="1">
      <alignment horizontal="right" wrapText="1"/>
    </xf>
    <xf numFmtId="173" fontId="14" fillId="20" borderId="0" xfId="10" applyNumberFormat="1" applyFont="1" applyFill="1" applyBorder="1"/>
    <xf numFmtId="0" fontId="52" fillId="0" borderId="0" xfId="0" applyFont="1"/>
    <xf numFmtId="2" fontId="39" fillId="14" borderId="0" xfId="0" applyNumberFormat="1" applyFont="1" applyFill="1"/>
    <xf numFmtId="11" fontId="40" fillId="17" borderId="25" xfId="14" applyNumberFormat="1" applyFont="1" applyFill="1" applyBorder="1" applyAlignment="1">
      <alignment wrapText="1"/>
    </xf>
    <xf numFmtId="0" fontId="53" fillId="17" borderId="25" xfId="0" applyFont="1" applyFill="1" applyBorder="1"/>
    <xf numFmtId="11" fontId="54" fillId="7" borderId="25" xfId="15" applyNumberFormat="1" applyFont="1" applyBorder="1"/>
    <xf numFmtId="11" fontId="54" fillId="7" borderId="24" xfId="15" applyNumberFormat="1" applyFont="1" applyBorder="1"/>
    <xf numFmtId="0" fontId="0" fillId="12" borderId="0" xfId="0" applyFill="1"/>
    <xf numFmtId="0" fontId="37" fillId="5" borderId="11" xfId="3" applyFont="1"/>
    <xf numFmtId="0" fontId="0" fillId="0" borderId="0" xfId="0"/>
    <xf numFmtId="0" fontId="0" fillId="0" borderId="0" xfId="0"/>
    <xf numFmtId="0" fontId="0" fillId="0" borderId="0" xfId="0"/>
    <xf numFmtId="2" fontId="0" fillId="0" borderId="0" xfId="0" applyNumberFormat="1" applyFont="1"/>
    <xf numFmtId="0" fontId="21" fillId="0" borderId="8" xfId="11" applyFont="1" applyBorder="1"/>
    <xf numFmtId="0" fontId="44" fillId="6" borderId="0" xfId="14"/>
    <xf numFmtId="2" fontId="0" fillId="18" borderId="0" xfId="0" applyNumberFormat="1" applyFill="1"/>
    <xf numFmtId="0" fontId="55" fillId="0" borderId="0" xfId="17" applyFont="1"/>
    <xf numFmtId="0" fontId="55" fillId="0" borderId="0" xfId="17" applyFont="1" applyAlignment="1"/>
    <xf numFmtId="167" fontId="55" fillId="0" borderId="0" xfId="17" applyNumberFormat="1" applyFont="1"/>
    <xf numFmtId="166" fontId="55" fillId="0" borderId="0" xfId="17" applyNumberFormat="1" applyFont="1"/>
    <xf numFmtId="2" fontId="55" fillId="0" borderId="0" xfId="17" applyNumberFormat="1" applyFont="1"/>
    <xf numFmtId="0" fontId="43" fillId="0" borderId="0" xfId="18" applyFont="1"/>
    <xf numFmtId="0" fontId="55" fillId="0" borderId="0" xfId="18" applyFont="1" applyAlignment="1">
      <alignment wrapText="1"/>
    </xf>
    <xf numFmtId="0" fontId="55" fillId="0" borderId="0" xfId="18" applyFont="1" applyAlignment="1"/>
    <xf numFmtId="0" fontId="56" fillId="0" borderId="0" xfId="18" applyFont="1" applyAlignment="1">
      <alignment wrapText="1"/>
    </xf>
    <xf numFmtId="0" fontId="55" fillId="0" borderId="0" xfId="18" applyFont="1" applyFill="1" applyAlignment="1">
      <alignment wrapText="1"/>
    </xf>
    <xf numFmtId="0" fontId="43" fillId="0" borderId="6" xfId="18" applyFont="1" applyBorder="1"/>
    <xf numFmtId="0" fontId="57" fillId="0" borderId="0" xfId="18" applyFont="1"/>
    <xf numFmtId="0" fontId="58" fillId="0" borderId="0" xfId="19" applyFont="1"/>
    <xf numFmtId="0" fontId="43" fillId="0" borderId="0" xfId="0" applyFont="1"/>
    <xf numFmtId="0" fontId="43" fillId="0" borderId="0" xfId="19" applyFont="1"/>
    <xf numFmtId="0" fontId="57" fillId="0" borderId="0" xfId="19" applyFont="1"/>
    <xf numFmtId="0" fontId="43" fillId="0" borderId="0" xfId="0" applyFont="1" applyFill="1"/>
    <xf numFmtId="0" fontId="43" fillId="0" borderId="0" xfId="18" applyFont="1" applyFill="1"/>
    <xf numFmtId="0" fontId="43" fillId="0" borderId="6" xfId="18" applyFont="1" applyFill="1" applyBorder="1"/>
    <xf numFmtId="0" fontId="57" fillId="0" borderId="0" xfId="18" applyFont="1" applyFill="1"/>
    <xf numFmtId="0" fontId="58" fillId="0" borderId="0" xfId="19" applyFont="1" applyFill="1"/>
    <xf numFmtId="0" fontId="43" fillId="21" borderId="0" xfId="0" applyFont="1" applyFill="1"/>
    <xf numFmtId="0" fontId="46" fillId="22" borderId="0" xfId="0" applyFont="1" applyFill="1"/>
    <xf numFmtId="0" fontId="43" fillId="22" borderId="0" xfId="0" applyFont="1" applyFill="1"/>
    <xf numFmtId="0" fontId="59" fillId="0" borderId="0" xfId="19" applyFont="1" applyFill="1"/>
    <xf numFmtId="0" fontId="43" fillId="20" borderId="0" xfId="0" applyFont="1" applyFill="1"/>
    <xf numFmtId="0" fontId="60" fillId="0" borderId="0" xfId="20"/>
    <xf numFmtId="0" fontId="0" fillId="18" borderId="0" xfId="0" applyFill="1"/>
    <xf numFmtId="0" fontId="0" fillId="18" borderId="3" xfId="0" applyFill="1" applyBorder="1"/>
    <xf numFmtId="0" fontId="0" fillId="18" borderId="0" xfId="0" applyFill="1" applyBorder="1"/>
    <xf numFmtId="0" fontId="0" fillId="18" borderId="8" xfId="0" applyFill="1" applyBorder="1"/>
    <xf numFmtId="0" fontId="1" fillId="20" borderId="0" xfId="0" applyFont="1" applyFill="1" applyBorder="1" applyAlignment="1">
      <alignment wrapText="1"/>
    </xf>
    <xf numFmtId="2" fontId="40" fillId="6" borderId="0" xfId="4" applyNumberFormat="1" applyFont="1" applyBorder="1" applyAlignment="1">
      <alignment horizontal="right" wrapText="1"/>
    </xf>
    <xf numFmtId="0" fontId="54" fillId="0" borderId="0" xfId="18" applyFont="1" applyFill="1" applyAlignment="1">
      <alignment wrapText="1"/>
    </xf>
    <xf numFmtId="0" fontId="49" fillId="0" borderId="0" xfId="0" applyFont="1"/>
    <xf numFmtId="0" fontId="49" fillId="22" borderId="0" xfId="0" applyFont="1" applyFill="1"/>
    <xf numFmtId="0" fontId="61" fillId="0" borderId="0" xfId="18" applyFont="1" applyFill="1" applyAlignment="1">
      <alignment wrapText="1"/>
    </xf>
    <xf numFmtId="0" fontId="62" fillId="0" borderId="0" xfId="0" applyFont="1"/>
    <xf numFmtId="0" fontId="63" fillId="0" borderId="0" xfId="0" applyFont="1"/>
    <xf numFmtId="0" fontId="62" fillId="22" borderId="0" xfId="0" applyFont="1" applyFill="1"/>
    <xf numFmtId="0" fontId="42" fillId="13" borderId="0" xfId="12" applyAlignment="1">
      <alignment wrapText="1"/>
    </xf>
    <xf numFmtId="0" fontId="64" fillId="6" borderId="0" xfId="9" applyFont="1"/>
    <xf numFmtId="9" fontId="39" fillId="0" borderId="0" xfId="1" applyFont="1"/>
    <xf numFmtId="0" fontId="39" fillId="0" borderId="3" xfId="0" applyFont="1" applyBorder="1"/>
    <xf numFmtId="9" fontId="39" fillId="6" borderId="0" xfId="4" applyNumberFormat="1" applyFont="1"/>
    <xf numFmtId="0" fontId="37" fillId="0" borderId="3" xfId="0" applyFont="1" applyBorder="1"/>
    <xf numFmtId="9" fontId="3" fillId="4" borderId="10" xfId="2" applyNumberFormat="1"/>
    <xf numFmtId="0" fontId="49" fillId="6" borderId="0" xfId="14" applyFont="1"/>
    <xf numFmtId="0" fontId="39" fillId="6" borderId="0" xfId="4" applyFont="1"/>
    <xf numFmtId="0" fontId="65" fillId="7" borderId="16" xfId="6" applyFont="1"/>
    <xf numFmtId="0" fontId="37" fillId="0" borderId="0" xfId="0" applyFont="1"/>
    <xf numFmtId="0" fontId="39" fillId="4" borderId="10" xfId="2" applyFont="1"/>
    <xf numFmtId="2" fontId="38" fillId="14" borderId="4" xfId="0" applyNumberFormat="1" applyFont="1" applyFill="1" applyBorder="1"/>
    <xf numFmtId="2" fontId="38" fillId="14" borderId="6" xfId="0" applyNumberFormat="1" applyFont="1" applyFill="1" applyBorder="1"/>
    <xf numFmtId="166" fontId="37" fillId="7" borderId="10" xfId="7" applyNumberFormat="1" applyFont="1"/>
    <xf numFmtId="0" fontId="42" fillId="13" borderId="0" xfId="12" applyBorder="1" applyAlignment="1">
      <alignment horizontal="center"/>
    </xf>
    <xf numFmtId="0" fontId="42" fillId="13" borderId="0" xfId="12" applyAlignment="1">
      <alignment horizontal="center"/>
    </xf>
    <xf numFmtId="0" fontId="10" fillId="7" borderId="10" xfId="7" applyAlignment="1">
      <alignment horizontal="center"/>
    </xf>
  </cellXfs>
  <cellStyles count="21">
    <cellStyle name="Calculation" xfId="7" builtinId="22"/>
    <cellStyle name="Calculation 2" xfId="15" xr:uid="{00000000-0005-0000-0000-000001000000}"/>
    <cellStyle name="Check Cell" xfId="3" builtinId="23"/>
    <cellStyle name="Comma" xfId="5" builtinId="3"/>
    <cellStyle name="Comma 2" xfId="10" xr:uid="{00000000-0005-0000-0000-000004000000}"/>
    <cellStyle name="Explanatory Text" xfId="8" builtinId="53"/>
    <cellStyle name="Good" xfId="4" builtinId="26"/>
    <cellStyle name="Good 2" xfId="9" xr:uid="{00000000-0005-0000-0000-000007000000}"/>
    <cellStyle name="Good 3" xfId="14" xr:uid="{00000000-0005-0000-0000-000008000000}"/>
    <cellStyle name="Hyperlink" xfId="20" builtinId="8"/>
    <cellStyle name="Input" xfId="2" builtinId="20"/>
    <cellStyle name="Neutral" xfId="12" builtinId="28"/>
    <cellStyle name="Normal" xfId="0" builtinId="0"/>
    <cellStyle name="Normal 2" xfId="11" xr:uid="{00000000-0005-0000-0000-00000D000000}"/>
    <cellStyle name="Normal 2 2" xfId="16" xr:uid="{00000000-0005-0000-0000-00000E000000}"/>
    <cellStyle name="Normal 3" xfId="13" xr:uid="{00000000-0005-0000-0000-00000F000000}"/>
    <cellStyle name="Normal 4" xfId="18" xr:uid="{00000000-0005-0000-0000-000010000000}"/>
    <cellStyle name="Normal 6" xfId="19" xr:uid="{00000000-0005-0000-0000-000011000000}"/>
    <cellStyle name="Normal 7" xfId="17" xr:uid="{00000000-0005-0000-0000-000012000000}"/>
    <cellStyle name="Output" xfId="6" builtinId="21"/>
    <cellStyle name="Percent"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4.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externalLink" Target="externalLinks/externalLink2.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sz="1400"/>
              <a:t>Linear Regression Model for Dive R1895 from Quantifying Number Oscula per Number of Pixels</a:t>
            </a:r>
          </a:p>
        </c:rich>
      </c:tx>
      <c:overlay val="0"/>
    </c:title>
    <c:autoTitleDeleted val="0"/>
    <c:plotArea>
      <c:layout/>
      <c:scatterChart>
        <c:scatterStyle val="lineMarker"/>
        <c:varyColors val="0"/>
        <c:ser>
          <c:idx val="0"/>
          <c:order val="0"/>
          <c:spPr>
            <a:ln w="28575">
              <a:noFill/>
            </a:ln>
          </c:spPr>
          <c:trendline>
            <c:spPr>
              <a:ln>
                <a:solidFill>
                  <a:schemeClr val="accent2"/>
                </a:solidFill>
              </a:ln>
            </c:spPr>
            <c:trendlineType val="linear"/>
            <c:dispRSqr val="1"/>
            <c:dispEq val="1"/>
            <c:trendlineLbl>
              <c:numFmt formatCode="General" sourceLinked="0"/>
            </c:trendlineLbl>
          </c:trendline>
          <c:xVal>
            <c:numRef>
              <c:f>'[2]STN3(Peleponesus, HS)'!$G$67:$G$76</c:f>
              <c:numCache>
                <c:formatCode>General</c:formatCode>
                <c:ptCount val="10"/>
                <c:pt idx="0">
                  <c:v>32</c:v>
                </c:pt>
                <c:pt idx="1">
                  <c:v>64</c:v>
                </c:pt>
                <c:pt idx="2">
                  <c:v>103</c:v>
                </c:pt>
                <c:pt idx="3">
                  <c:v>203</c:v>
                </c:pt>
                <c:pt idx="4">
                  <c:v>246</c:v>
                </c:pt>
                <c:pt idx="5">
                  <c:v>272</c:v>
                </c:pt>
                <c:pt idx="6">
                  <c:v>299</c:v>
                </c:pt>
                <c:pt idx="7">
                  <c:v>639</c:v>
                </c:pt>
                <c:pt idx="8">
                  <c:v>501</c:v>
                </c:pt>
                <c:pt idx="9">
                  <c:v>546</c:v>
                </c:pt>
              </c:numCache>
            </c:numRef>
          </c:xVal>
          <c:yVal>
            <c:numRef>
              <c:f>'[2]STN3(Peleponesus, HS)'!$H$67:$H$76</c:f>
              <c:numCache>
                <c:formatCode>General</c:formatCode>
                <c:ptCount val="10"/>
                <c:pt idx="0">
                  <c:v>60862</c:v>
                </c:pt>
                <c:pt idx="1">
                  <c:v>205644</c:v>
                </c:pt>
                <c:pt idx="2">
                  <c:v>279892</c:v>
                </c:pt>
                <c:pt idx="3">
                  <c:v>370824</c:v>
                </c:pt>
                <c:pt idx="4">
                  <c:v>436505</c:v>
                </c:pt>
                <c:pt idx="5">
                  <c:v>1026369</c:v>
                </c:pt>
                <c:pt idx="6">
                  <c:v>1275261</c:v>
                </c:pt>
                <c:pt idx="7">
                  <c:v>1354103</c:v>
                </c:pt>
                <c:pt idx="8">
                  <c:v>1714707</c:v>
                </c:pt>
                <c:pt idx="9">
                  <c:v>2297150</c:v>
                </c:pt>
              </c:numCache>
            </c:numRef>
          </c:yVal>
          <c:smooth val="0"/>
          <c:extLst>
            <c:ext xmlns:c16="http://schemas.microsoft.com/office/drawing/2014/chart" uri="{C3380CC4-5D6E-409C-BE32-E72D297353CC}">
              <c16:uniqueId val="{00000000-276D-4D85-938C-A059FB3335F8}"/>
            </c:ext>
          </c:extLst>
        </c:ser>
        <c:dLbls>
          <c:showLegendKey val="0"/>
          <c:showVal val="0"/>
          <c:showCatName val="0"/>
          <c:showSerName val="0"/>
          <c:showPercent val="0"/>
          <c:showBubbleSize val="0"/>
        </c:dLbls>
        <c:axId val="873709568"/>
        <c:axId val="873715904"/>
      </c:scatterChart>
      <c:valAx>
        <c:axId val="873709568"/>
        <c:scaling>
          <c:orientation val="minMax"/>
        </c:scaling>
        <c:delete val="0"/>
        <c:axPos val="b"/>
        <c:title>
          <c:tx>
            <c:rich>
              <a:bodyPr/>
              <a:lstStyle/>
              <a:p>
                <a:pPr>
                  <a:defRPr/>
                </a:pPr>
                <a:r>
                  <a:rPr lang="en-US"/>
                  <a:t>Number of Oscula</a:t>
                </a:r>
              </a:p>
            </c:rich>
          </c:tx>
          <c:overlay val="0"/>
        </c:title>
        <c:numFmt formatCode="General" sourceLinked="1"/>
        <c:majorTickMark val="out"/>
        <c:minorTickMark val="none"/>
        <c:tickLblPos val="nextTo"/>
        <c:crossAx val="873715904"/>
        <c:crosses val="autoZero"/>
        <c:crossBetween val="midCat"/>
      </c:valAx>
      <c:valAx>
        <c:axId val="873715904"/>
        <c:scaling>
          <c:orientation val="minMax"/>
        </c:scaling>
        <c:delete val="0"/>
        <c:axPos val="l"/>
        <c:title>
          <c:tx>
            <c:rich>
              <a:bodyPr rot="-5400000" vert="horz"/>
              <a:lstStyle/>
              <a:p>
                <a:pPr>
                  <a:defRPr/>
                </a:pPr>
                <a:r>
                  <a:rPr lang="en-US"/>
                  <a:t>Number of Pixels</a:t>
                </a:r>
              </a:p>
            </c:rich>
          </c:tx>
          <c:overlay val="0"/>
        </c:title>
        <c:numFmt formatCode="General" sourceLinked="1"/>
        <c:majorTickMark val="out"/>
        <c:minorTickMark val="none"/>
        <c:tickLblPos val="nextTo"/>
        <c:crossAx val="873709568"/>
        <c:crosses val="autoZero"/>
        <c:crossBetween val="midCat"/>
      </c:valAx>
    </c:plotArea>
    <c:plotVisOnly val="1"/>
    <c:dispBlanksAs val="gap"/>
    <c:showDLblsOverMax val="0"/>
  </c:chart>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n-US" sz="1400"/>
              <a:t>Linear Regression Model for Dive R1895 from Quantifying Number Oscula per Number of Pixels</a:t>
            </a:r>
          </a:p>
        </c:rich>
      </c:tx>
      <c:overlay val="0"/>
    </c:title>
    <c:autoTitleDeleted val="0"/>
    <c:plotArea>
      <c:layout/>
      <c:scatterChart>
        <c:scatterStyle val="lineMarker"/>
        <c:varyColors val="0"/>
        <c:ser>
          <c:idx val="0"/>
          <c:order val="0"/>
          <c:spPr>
            <a:ln w="28575">
              <a:noFill/>
            </a:ln>
          </c:spPr>
          <c:trendline>
            <c:spPr>
              <a:ln>
                <a:solidFill>
                  <a:schemeClr val="accent2"/>
                </a:solidFill>
              </a:ln>
            </c:spPr>
            <c:trendlineType val="linear"/>
            <c:dispRSqr val="1"/>
            <c:dispEq val="1"/>
            <c:trendlineLbl>
              <c:numFmt formatCode="General" sourceLinked="0"/>
            </c:trendlineLbl>
          </c:trendline>
          <c:xVal>
            <c:numRef>
              <c:f>'[2]STN3(Peleponesus, HS)'!$G$67:$G$71</c:f>
              <c:numCache>
                <c:formatCode>General</c:formatCode>
                <c:ptCount val="5"/>
                <c:pt idx="0">
                  <c:v>32</c:v>
                </c:pt>
                <c:pt idx="1">
                  <c:v>64</c:v>
                </c:pt>
                <c:pt idx="2">
                  <c:v>103</c:v>
                </c:pt>
                <c:pt idx="3">
                  <c:v>203</c:v>
                </c:pt>
                <c:pt idx="4">
                  <c:v>246</c:v>
                </c:pt>
              </c:numCache>
            </c:numRef>
          </c:xVal>
          <c:yVal>
            <c:numRef>
              <c:f>'[2]STN3(Peleponesus, HS)'!$H$67:$H$71</c:f>
              <c:numCache>
                <c:formatCode>General</c:formatCode>
                <c:ptCount val="5"/>
                <c:pt idx="0">
                  <c:v>60862</c:v>
                </c:pt>
                <c:pt idx="1">
                  <c:v>205644</c:v>
                </c:pt>
                <c:pt idx="2">
                  <c:v>279892</c:v>
                </c:pt>
                <c:pt idx="3">
                  <c:v>370824</c:v>
                </c:pt>
                <c:pt idx="4">
                  <c:v>436505</c:v>
                </c:pt>
              </c:numCache>
            </c:numRef>
          </c:yVal>
          <c:smooth val="0"/>
          <c:extLst>
            <c:ext xmlns:c16="http://schemas.microsoft.com/office/drawing/2014/chart" uri="{C3380CC4-5D6E-409C-BE32-E72D297353CC}">
              <c16:uniqueId val="{00000000-7487-405F-8905-7A72609AD572}"/>
            </c:ext>
          </c:extLst>
        </c:ser>
        <c:dLbls>
          <c:showLegendKey val="0"/>
          <c:showVal val="0"/>
          <c:showCatName val="0"/>
          <c:showSerName val="0"/>
          <c:showPercent val="0"/>
          <c:showBubbleSize val="0"/>
        </c:dLbls>
        <c:axId val="878682688"/>
        <c:axId val="878683840"/>
      </c:scatterChart>
      <c:valAx>
        <c:axId val="878682688"/>
        <c:scaling>
          <c:orientation val="minMax"/>
        </c:scaling>
        <c:delete val="0"/>
        <c:axPos val="b"/>
        <c:title>
          <c:tx>
            <c:rich>
              <a:bodyPr/>
              <a:lstStyle/>
              <a:p>
                <a:pPr>
                  <a:defRPr/>
                </a:pPr>
                <a:r>
                  <a:rPr lang="en-US"/>
                  <a:t>Number of Oscula</a:t>
                </a:r>
              </a:p>
            </c:rich>
          </c:tx>
          <c:overlay val="0"/>
        </c:title>
        <c:numFmt formatCode="General" sourceLinked="1"/>
        <c:majorTickMark val="out"/>
        <c:minorTickMark val="none"/>
        <c:tickLblPos val="nextTo"/>
        <c:crossAx val="878683840"/>
        <c:crosses val="autoZero"/>
        <c:crossBetween val="midCat"/>
      </c:valAx>
      <c:valAx>
        <c:axId val="878683840"/>
        <c:scaling>
          <c:orientation val="minMax"/>
        </c:scaling>
        <c:delete val="0"/>
        <c:axPos val="l"/>
        <c:title>
          <c:tx>
            <c:rich>
              <a:bodyPr rot="-5400000" vert="horz"/>
              <a:lstStyle/>
              <a:p>
                <a:pPr>
                  <a:defRPr/>
                </a:pPr>
                <a:r>
                  <a:rPr lang="en-US"/>
                  <a:t>Number of Pixels</a:t>
                </a:r>
              </a:p>
            </c:rich>
          </c:tx>
          <c:overlay val="0"/>
        </c:title>
        <c:numFmt formatCode="General" sourceLinked="1"/>
        <c:majorTickMark val="out"/>
        <c:minorTickMark val="none"/>
        <c:tickLblPos val="nextTo"/>
        <c:crossAx val="878682688"/>
        <c:crosses val="autoZero"/>
        <c:crossBetween val="midCat"/>
      </c:valAx>
    </c:plotArea>
    <c:plotVisOnly val="1"/>
    <c:dispBlanksAs val="gap"/>
    <c:showDLblsOverMax val="0"/>
  </c:chart>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strRef>
              <c:f>'Leys 2011 Head Loss'!$R$12</c:f>
              <c:strCache>
                <c:ptCount val="1"/>
                <c:pt idx="0">
                  <c:v>Relative  head (µm)</c:v>
                </c:pt>
              </c:strCache>
            </c:strRef>
          </c:tx>
          <c:xVal>
            <c:numRef>
              <c:f>'Leys 2011 Head Loss'!$H$13:$H$26</c:f>
              <c:numCache>
                <c:formatCode>0.00000</c:formatCode>
                <c:ptCount val="14"/>
                <c:pt idx="0">
                  <c:v>0</c:v>
                </c:pt>
                <c:pt idx="1">
                  <c:v>2.0945452456466264E-2</c:v>
                </c:pt>
                <c:pt idx="2">
                  <c:v>0.11562506933205662</c:v>
                </c:pt>
                <c:pt idx="3">
                  <c:v>0.52178130808084355</c:v>
                </c:pt>
                <c:pt idx="4">
                  <c:v>0.52283205232562102</c:v>
                </c:pt>
                <c:pt idx="5">
                  <c:v>0.52570785716185719</c:v>
                </c:pt>
                <c:pt idx="6">
                  <c:v>0.52572251512121904</c:v>
                </c:pt>
                <c:pt idx="7">
                  <c:v>0.52582873132358388</c:v>
                </c:pt>
                <c:pt idx="8">
                  <c:v>0.52584338928294572</c:v>
                </c:pt>
                <c:pt idx="9">
                  <c:v>0.528719194119182</c:v>
                </c:pt>
                <c:pt idx="10">
                  <c:v>0.52981815533554422</c:v>
                </c:pt>
                <c:pt idx="11">
                  <c:v>0.60734810002538275</c:v>
                </c:pt>
                <c:pt idx="12">
                  <c:v>0.6131335194383305</c:v>
                </c:pt>
                <c:pt idx="13">
                  <c:v>0.944046540320163</c:v>
                </c:pt>
              </c:numCache>
            </c:numRef>
          </c:xVal>
          <c:yVal>
            <c:numRef>
              <c:f>'Leys 2011 Head Loss'!$R$13:$R$26</c:f>
              <c:numCache>
                <c:formatCode>#,##0.0</c:formatCode>
                <c:ptCount val="14"/>
                <c:pt idx="0">
                  <c:v>51.578613898709371</c:v>
                </c:pt>
                <c:pt idx="1">
                  <c:v>46.172839530171331</c:v>
                </c:pt>
                <c:pt idx="2">
                  <c:v>45.533190470210691</c:v>
                </c:pt>
                <c:pt idx="3">
                  <c:v>45.226837134038945</c:v>
                </c:pt>
                <c:pt idx="4">
                  <c:v>44.643747788199803</c:v>
                </c:pt>
                <c:pt idx="5">
                  <c:v>26.432426936591224</c:v>
                </c:pt>
                <c:pt idx="6">
                  <c:v>24.590963866506872</c:v>
                </c:pt>
                <c:pt idx="7">
                  <c:v>6.3796430148982921</c:v>
                </c:pt>
                <c:pt idx="8">
                  <c:v>6.1862031250584852</c:v>
                </c:pt>
                <c:pt idx="9">
                  <c:v>6.1829576343792274</c:v>
                </c:pt>
                <c:pt idx="10">
                  <c:v>6.1565331098903542</c:v>
                </c:pt>
                <c:pt idx="11">
                  <c:v>6.1485145211941195</c:v>
                </c:pt>
                <c:pt idx="12">
                  <c:v>5.4057743685380188</c:v>
                </c:pt>
                <c:pt idx="13">
                  <c:v>-1.7763568394002505E-14</c:v>
                </c:pt>
              </c:numCache>
            </c:numRef>
          </c:yVal>
          <c:smooth val="0"/>
          <c:extLst>
            <c:ext xmlns:c16="http://schemas.microsoft.com/office/drawing/2014/chart" uri="{C3380CC4-5D6E-409C-BE32-E72D297353CC}">
              <c16:uniqueId val="{00000000-1999-4276-9E71-418B03C8AC1D}"/>
            </c:ext>
          </c:extLst>
        </c:ser>
        <c:dLbls>
          <c:showLegendKey val="0"/>
          <c:showVal val="0"/>
          <c:showCatName val="0"/>
          <c:showSerName val="0"/>
          <c:showPercent val="0"/>
          <c:showBubbleSize val="0"/>
        </c:dLbls>
        <c:axId val="47828928"/>
        <c:axId val="47829504"/>
      </c:scatterChart>
      <c:scatterChart>
        <c:scatterStyle val="lineMarker"/>
        <c:varyColors val="0"/>
        <c:ser>
          <c:idx val="1"/>
          <c:order val="1"/>
          <c:tx>
            <c:strRef>
              <c:f>'Leys 2011 Head Loss'!$M$12</c:f>
              <c:strCache>
                <c:ptCount val="1"/>
                <c:pt idx="0">
                  <c:v>Velocity (per opening, m/s) </c:v>
                </c:pt>
              </c:strCache>
            </c:strRef>
          </c:tx>
          <c:xVal>
            <c:numRef>
              <c:f>'Leys 2011 Head Loss'!$H$13:$H$26</c:f>
              <c:numCache>
                <c:formatCode>0.00000</c:formatCode>
                <c:ptCount val="14"/>
                <c:pt idx="0">
                  <c:v>0</c:v>
                </c:pt>
                <c:pt idx="1">
                  <c:v>2.0945452456466264E-2</c:v>
                </c:pt>
                <c:pt idx="2">
                  <c:v>0.11562506933205662</c:v>
                </c:pt>
                <c:pt idx="3">
                  <c:v>0.52178130808084355</c:v>
                </c:pt>
                <c:pt idx="4">
                  <c:v>0.52283205232562102</c:v>
                </c:pt>
                <c:pt idx="5">
                  <c:v>0.52570785716185719</c:v>
                </c:pt>
                <c:pt idx="6">
                  <c:v>0.52572251512121904</c:v>
                </c:pt>
                <c:pt idx="7">
                  <c:v>0.52582873132358388</c:v>
                </c:pt>
                <c:pt idx="8">
                  <c:v>0.52584338928294572</c:v>
                </c:pt>
                <c:pt idx="9">
                  <c:v>0.528719194119182</c:v>
                </c:pt>
                <c:pt idx="10">
                  <c:v>0.52981815533554422</c:v>
                </c:pt>
                <c:pt idx="11">
                  <c:v>0.60734810002538275</c:v>
                </c:pt>
                <c:pt idx="12">
                  <c:v>0.6131335194383305</c:v>
                </c:pt>
                <c:pt idx="13">
                  <c:v>0.944046540320163</c:v>
                </c:pt>
              </c:numCache>
            </c:numRef>
          </c:xVal>
          <c:yVal>
            <c:numRef>
              <c:f>'Leys 2011 Head Loss'!$M$13:$M$26</c:f>
              <c:numCache>
                <c:formatCode>0.00E+00</c:formatCode>
                <c:ptCount val="14"/>
                <c:pt idx="0">
                  <c:v>5.1113259281628469E-6</c:v>
                </c:pt>
                <c:pt idx="1">
                  <c:v>1.6721710354774055E-5</c:v>
                </c:pt>
                <c:pt idx="2">
                  <c:v>9.129833456682117E-6</c:v>
                </c:pt>
                <c:pt idx="3">
                  <c:v>5.6535846456040972E-7</c:v>
                </c:pt>
                <c:pt idx="4">
                  <c:v>2.2531088654418667E-7</c:v>
                </c:pt>
                <c:pt idx="5">
                  <c:v>8.2418374952458847E-7</c:v>
                </c:pt>
                <c:pt idx="6">
                  <c:v>8.4870234144763642E-8</c:v>
                </c:pt>
                <c:pt idx="7">
                  <c:v>8.2418374952458847E-7</c:v>
                </c:pt>
                <c:pt idx="8">
                  <c:v>1.559740993183679E-7</c:v>
                </c:pt>
                <c:pt idx="9">
                  <c:v>1.3228662685950939E-7</c:v>
                </c:pt>
                <c:pt idx="10">
                  <c:v>2.8190834117234794E-7</c:v>
                </c:pt>
                <c:pt idx="11">
                  <c:v>5.7472661122436892E-7</c:v>
                </c:pt>
                <c:pt idx="12">
                  <c:v>7.7758498007885821E-6</c:v>
                </c:pt>
                <c:pt idx="13">
                  <c:v>2.8295035534060306E-5</c:v>
                </c:pt>
              </c:numCache>
            </c:numRef>
          </c:yVal>
          <c:smooth val="0"/>
          <c:extLst>
            <c:ext xmlns:c16="http://schemas.microsoft.com/office/drawing/2014/chart" uri="{C3380CC4-5D6E-409C-BE32-E72D297353CC}">
              <c16:uniqueId val="{00000001-1999-4276-9E71-418B03C8AC1D}"/>
            </c:ext>
          </c:extLst>
        </c:ser>
        <c:dLbls>
          <c:showLegendKey val="0"/>
          <c:showVal val="0"/>
          <c:showCatName val="0"/>
          <c:showSerName val="0"/>
          <c:showPercent val="0"/>
          <c:showBubbleSize val="0"/>
        </c:dLbls>
        <c:axId val="47830656"/>
        <c:axId val="47830080"/>
      </c:scatterChart>
      <c:valAx>
        <c:axId val="47828928"/>
        <c:scaling>
          <c:orientation val="minMax"/>
        </c:scaling>
        <c:delete val="0"/>
        <c:axPos val="b"/>
        <c:numFmt formatCode="0.00000" sourceLinked="1"/>
        <c:majorTickMark val="out"/>
        <c:minorTickMark val="none"/>
        <c:tickLblPos val="nextTo"/>
        <c:crossAx val="47829504"/>
        <c:crosses val="autoZero"/>
        <c:crossBetween val="midCat"/>
      </c:valAx>
      <c:valAx>
        <c:axId val="47829504"/>
        <c:scaling>
          <c:orientation val="minMax"/>
        </c:scaling>
        <c:delete val="0"/>
        <c:axPos val="l"/>
        <c:majorGridlines/>
        <c:numFmt formatCode="#,##0.0" sourceLinked="1"/>
        <c:majorTickMark val="out"/>
        <c:minorTickMark val="none"/>
        <c:tickLblPos val="nextTo"/>
        <c:crossAx val="47828928"/>
        <c:crosses val="autoZero"/>
        <c:crossBetween val="midCat"/>
      </c:valAx>
      <c:valAx>
        <c:axId val="47830080"/>
        <c:scaling>
          <c:logBase val="10"/>
          <c:orientation val="minMax"/>
        </c:scaling>
        <c:delete val="0"/>
        <c:axPos val="r"/>
        <c:numFmt formatCode="0.00E+00" sourceLinked="1"/>
        <c:majorTickMark val="out"/>
        <c:minorTickMark val="none"/>
        <c:tickLblPos val="nextTo"/>
        <c:crossAx val="47830656"/>
        <c:crosses val="max"/>
        <c:crossBetween val="midCat"/>
      </c:valAx>
      <c:valAx>
        <c:axId val="47830656"/>
        <c:scaling>
          <c:orientation val="minMax"/>
        </c:scaling>
        <c:delete val="1"/>
        <c:axPos val="b"/>
        <c:numFmt formatCode="0.00000" sourceLinked="1"/>
        <c:majorTickMark val="out"/>
        <c:minorTickMark val="none"/>
        <c:tickLblPos val="nextTo"/>
        <c:crossAx val="47830080"/>
        <c:crosses val="autoZero"/>
        <c:crossBetween val="midCat"/>
      </c:valAx>
    </c:plotArea>
    <c:legend>
      <c:legendPos val="r"/>
      <c:overlay val="0"/>
    </c:legend>
    <c:plotVisOnly val="1"/>
    <c:dispBlanksAs val="gap"/>
    <c:showDLblsOverMax val="0"/>
  </c:chart>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smoothMarker"/>
        <c:varyColors val="0"/>
        <c:ser>
          <c:idx val="0"/>
          <c:order val="0"/>
          <c:spPr>
            <a:ln>
              <a:solidFill>
                <a:sysClr val="windowText" lastClr="000000"/>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Flows)'!$I$23:$I$37</c:f>
              <c:numCache>
                <c:formatCode>General</c:formatCode>
                <c:ptCount val="15"/>
                <c:pt idx="0">
                  <c:v>40.526247015773876</c:v>
                </c:pt>
                <c:pt idx="1">
                  <c:v>12.387659680022972</c:v>
                </c:pt>
                <c:pt idx="2">
                  <c:v>15.881998361522648</c:v>
                </c:pt>
                <c:pt idx="3">
                  <c:v>366.39206826755407</c:v>
                </c:pt>
                <c:pt idx="4">
                  <c:v>3.6651154155832066</c:v>
                </c:pt>
                <c:pt idx="5">
                  <c:v>251.33091651266218</c:v>
                </c:pt>
                <c:pt idx="6">
                  <c:v>2440.7009033288682</c:v>
                </c:pt>
                <c:pt idx="7">
                  <c:v>251.33091651266218</c:v>
                </c:pt>
                <c:pt idx="8">
                  <c:v>1328.0593255425424</c:v>
                </c:pt>
                <c:pt idx="9">
                  <c:v>1565.8639278998803</c:v>
                </c:pt>
                <c:pt idx="10">
                  <c:v>734.78796789562898</c:v>
                </c:pt>
                <c:pt idx="11">
                  <c:v>360.41981195471425</c:v>
                </c:pt>
                <c:pt idx="12">
                  <c:v>18.647479531471266</c:v>
                </c:pt>
                <c:pt idx="13">
                  <c:v>5.1245738788861201</c:v>
                </c:pt>
              </c:numCache>
            </c:numRef>
          </c:yVal>
          <c:smooth val="0"/>
          <c:extLst>
            <c:ext xmlns:c16="http://schemas.microsoft.com/office/drawing/2014/chart" uri="{C3380CC4-5D6E-409C-BE32-E72D297353CC}">
              <c16:uniqueId val="{00000000-F0B0-4E3A-97AA-A9FFA54B9763}"/>
            </c:ext>
          </c:extLst>
        </c:ser>
        <c:dLbls>
          <c:showLegendKey val="0"/>
          <c:showVal val="0"/>
          <c:showCatName val="0"/>
          <c:showSerName val="0"/>
          <c:showPercent val="0"/>
          <c:showBubbleSize val="0"/>
        </c:dLbls>
        <c:axId val="47921344"/>
        <c:axId val="47916160"/>
      </c:scatterChart>
      <c:valAx>
        <c:axId val="47921344"/>
        <c:scaling>
          <c:orientation val="minMax"/>
          <c:max val="100"/>
        </c:scaling>
        <c:delete val="0"/>
        <c:axPos val="b"/>
        <c:title>
          <c:tx>
            <c:rich>
              <a:bodyPr/>
              <a:lstStyle/>
              <a:p>
                <a:pPr>
                  <a:defRPr/>
                </a:pPr>
                <a:r>
                  <a:rPr lang="en-CA"/>
                  <a:t>Proportional Distance from Inhalent</a:t>
                </a:r>
                <a:r>
                  <a:rPr lang="en-CA" baseline="0"/>
                  <a:t> Surface</a:t>
                </a:r>
                <a:endParaRPr lang="en-CA"/>
              </a:p>
            </c:rich>
          </c:tx>
          <c:overlay val="0"/>
        </c:title>
        <c:numFmt formatCode="0.00" sourceLinked="1"/>
        <c:majorTickMark val="out"/>
        <c:minorTickMark val="none"/>
        <c:tickLblPos val="low"/>
        <c:crossAx val="47916160"/>
        <c:crosses val="autoZero"/>
        <c:crossBetween val="midCat"/>
      </c:valAx>
      <c:valAx>
        <c:axId val="47916160"/>
        <c:scaling>
          <c:logBase val="10"/>
          <c:orientation val="minMax"/>
        </c:scaling>
        <c:delete val="0"/>
        <c:axPos val="l"/>
        <c:majorGridlines>
          <c:spPr>
            <a:ln>
              <a:noFill/>
            </a:ln>
          </c:spPr>
        </c:majorGridlines>
        <c:title>
          <c:tx>
            <c:rich>
              <a:bodyPr rot="-5400000" vert="horz"/>
              <a:lstStyle/>
              <a:p>
                <a:pPr>
                  <a:defRPr/>
                </a:pPr>
                <a:r>
                  <a:rPr lang="en-CA"/>
                  <a:t>Xs area (100mm^3)</a:t>
                </a:r>
              </a:p>
            </c:rich>
          </c:tx>
          <c:overlay val="0"/>
        </c:title>
        <c:numFmt formatCode="General" sourceLinked="1"/>
        <c:majorTickMark val="out"/>
        <c:minorTickMark val="none"/>
        <c:tickLblPos val="nextTo"/>
        <c:crossAx val="47921344"/>
        <c:crosses val="autoZero"/>
        <c:crossBetween val="midCat"/>
      </c:valAx>
    </c:plotArea>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strRef>
              <c:f>' Head Loss (Low Ambient Flows)'!$L$22</c:f>
              <c:strCache>
                <c:ptCount val="1"/>
                <c:pt idx="0">
                  <c:v>Farrea Velocity (mm/s)</c:v>
                </c:pt>
              </c:strCache>
            </c:strRef>
          </c:tx>
          <c:spPr>
            <a:ln>
              <a:solidFill>
                <a:schemeClr val="tx1"/>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Flows)'!$L$23:$L$37</c:f>
              <c:numCache>
                <c:formatCode>General</c:formatCode>
                <c:ptCount val="15"/>
                <c:pt idx="0">
                  <c:v>9.8985046317779213E-2</c:v>
                </c:pt>
                <c:pt idx="1">
                  <c:v>0.32382972583685787</c:v>
                </c:pt>
                <c:pt idx="2">
                  <c:v>0.25258108876656166</c:v>
                </c:pt>
                <c:pt idx="3">
                  <c:v>1.0948633404948021E-2</c:v>
                </c:pt>
                <c:pt idx="4">
                  <c:v>1.0945064433404246</c:v>
                </c:pt>
                <c:pt idx="5">
                  <c:v>1.5960998724723296E-2</c:v>
                </c:pt>
                <c:pt idx="6">
                  <c:v>1.6435821498942658E-3</c:v>
                </c:pt>
                <c:pt idx="7">
                  <c:v>1.5960998724723296E-2</c:v>
                </c:pt>
                <c:pt idx="8">
                  <c:v>3.020567199664332E-3</c:v>
                </c:pt>
                <c:pt idx="9">
                  <c:v>2.5618397400100452E-3</c:v>
                </c:pt>
                <c:pt idx="10">
                  <c:v>5.4593877597515867E-3</c:v>
                </c:pt>
                <c:pt idx="11">
                  <c:v>1.1130055299085978E-2</c:v>
                </c:pt>
                <c:pt idx="12">
                  <c:v>0.21512250120301571</c:v>
                </c:pt>
                <c:pt idx="13">
                  <c:v>0.78279531776680689</c:v>
                </c:pt>
                <c:pt idx="14">
                  <c:v>14.76342648357048</c:v>
                </c:pt>
              </c:numCache>
            </c:numRef>
          </c:yVal>
          <c:smooth val="0"/>
          <c:extLst>
            <c:ext xmlns:c16="http://schemas.microsoft.com/office/drawing/2014/chart" uri="{C3380CC4-5D6E-409C-BE32-E72D297353CC}">
              <c16:uniqueId val="{00000000-62A1-4622-9987-FC4735D9067F}"/>
            </c:ext>
          </c:extLst>
        </c:ser>
        <c:dLbls>
          <c:showLegendKey val="0"/>
          <c:showVal val="0"/>
          <c:showCatName val="0"/>
          <c:showSerName val="0"/>
          <c:showPercent val="0"/>
          <c:showBubbleSize val="0"/>
        </c:dLbls>
        <c:axId val="875681408"/>
        <c:axId val="47917888"/>
      </c:scatterChart>
      <c:scatterChart>
        <c:scatterStyle val="lineMarker"/>
        <c:varyColors val="0"/>
        <c:ser>
          <c:idx val="1"/>
          <c:order val="1"/>
          <c:tx>
            <c:strRef>
              <c:f>' Head Loss (Low Ambient Flows)'!$V$22</c:f>
              <c:strCache>
                <c:ptCount val="1"/>
                <c:pt idx="0">
                  <c:v>Farrea Relative head</c:v>
                </c:pt>
              </c:strCache>
            </c:strRef>
          </c:tx>
          <c:spPr>
            <a:ln>
              <a:solidFill>
                <a:srgbClr val="FF0000"/>
              </a:solidFill>
              <a:prstDash val="sysDash"/>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Flows)'!$V$23:$V$37</c:f>
              <c:numCache>
                <c:formatCode>_(* #,##0.00_);_(* \(#,##0.00\);_(* "-"??_);_(@_)</c:formatCode>
                <c:ptCount val="15"/>
                <c:pt idx="0">
                  <c:v>1</c:v>
                </c:pt>
                <c:pt idx="1">
                  <c:v>0.99206898371996011</c:v>
                </c:pt>
                <c:pt idx="2">
                  <c:v>0.99067856537863563</c:v>
                </c:pt>
                <c:pt idx="3">
                  <c:v>0.98738313206127393</c:v>
                </c:pt>
                <c:pt idx="4">
                  <c:v>0.5522052155380377</c:v>
                </c:pt>
                <c:pt idx="5">
                  <c:v>0.29246824451256725</c:v>
                </c:pt>
                <c:pt idx="6">
                  <c:v>0.28262243104123663</c:v>
                </c:pt>
                <c:pt idx="7">
                  <c:v>2.2885460015766256E-2</c:v>
                </c:pt>
                <c:pt idx="8">
                  <c:v>2.2054065150184085E-2</c:v>
                </c:pt>
                <c:pt idx="9">
                  <c:v>2.1479830960986681E-2</c:v>
                </c:pt>
                <c:pt idx="10">
                  <c:v>2.1400268062146864E-2</c:v>
                </c:pt>
                <c:pt idx="11">
                  <c:v>2.1171181307759655E-2</c:v>
                </c:pt>
                <c:pt idx="12">
                  <c:v>1.9639299719621899E-2</c:v>
                </c:pt>
                <c:pt idx="13">
                  <c:v>4.6761190404651337E-4</c:v>
                </c:pt>
                <c:pt idx="14">
                  <c:v>-2.6422255388542052E-18</c:v>
                </c:pt>
              </c:numCache>
            </c:numRef>
          </c:yVal>
          <c:smooth val="0"/>
          <c:extLst>
            <c:ext xmlns:c16="http://schemas.microsoft.com/office/drawing/2014/chart" uri="{C3380CC4-5D6E-409C-BE32-E72D297353CC}">
              <c16:uniqueId val="{00000001-62A1-4622-9987-FC4735D9067F}"/>
            </c:ext>
          </c:extLst>
        </c:ser>
        <c:dLbls>
          <c:showLegendKey val="0"/>
          <c:showVal val="0"/>
          <c:showCatName val="0"/>
          <c:showSerName val="0"/>
          <c:showPercent val="0"/>
          <c:showBubbleSize val="0"/>
        </c:dLbls>
        <c:axId val="905324800"/>
        <c:axId val="873716480"/>
      </c:scatterChart>
      <c:valAx>
        <c:axId val="875681408"/>
        <c:scaling>
          <c:orientation val="minMax"/>
          <c:max val="100"/>
        </c:scaling>
        <c:delete val="0"/>
        <c:axPos val="b"/>
        <c:title>
          <c:tx>
            <c:rich>
              <a:bodyPr/>
              <a:lstStyle/>
              <a:p>
                <a:pPr>
                  <a:defRPr/>
                </a:pPr>
                <a:r>
                  <a:rPr lang="en-CA"/>
                  <a:t>Proportional Distance from Inhalent Surface</a:t>
                </a:r>
              </a:p>
            </c:rich>
          </c:tx>
          <c:overlay val="0"/>
        </c:title>
        <c:numFmt formatCode="0.00" sourceLinked="1"/>
        <c:majorTickMark val="out"/>
        <c:minorTickMark val="none"/>
        <c:tickLblPos val="nextTo"/>
        <c:crossAx val="47917888"/>
        <c:crossesAt val="0"/>
        <c:crossBetween val="midCat"/>
      </c:valAx>
      <c:valAx>
        <c:axId val="47917888"/>
        <c:scaling>
          <c:logBase val="10"/>
          <c:orientation val="minMax"/>
        </c:scaling>
        <c:delete val="0"/>
        <c:axPos val="l"/>
        <c:title>
          <c:tx>
            <c:rich>
              <a:bodyPr rot="-5400000" vert="horz"/>
              <a:lstStyle/>
              <a:p>
                <a:pPr>
                  <a:defRPr/>
                </a:pPr>
                <a:r>
                  <a:rPr lang="en-CA"/>
                  <a:t>Velocity of Water (mm/s)</a:t>
                </a:r>
              </a:p>
            </c:rich>
          </c:tx>
          <c:overlay val="0"/>
        </c:title>
        <c:numFmt formatCode="#,##0.00" sourceLinked="0"/>
        <c:majorTickMark val="out"/>
        <c:minorTickMark val="none"/>
        <c:tickLblPos val="nextTo"/>
        <c:crossAx val="875681408"/>
        <c:crosses val="autoZero"/>
        <c:crossBetween val="midCat"/>
      </c:valAx>
      <c:valAx>
        <c:axId val="873716480"/>
        <c:scaling>
          <c:orientation val="minMax"/>
        </c:scaling>
        <c:delete val="0"/>
        <c:axPos val="r"/>
        <c:numFmt formatCode="_(* #,##0.00_);_(* \(#,##0.00\);_(* &quot;-&quot;??_);_(@_)" sourceLinked="1"/>
        <c:majorTickMark val="out"/>
        <c:minorTickMark val="none"/>
        <c:tickLblPos val="nextTo"/>
        <c:crossAx val="905324800"/>
        <c:crosses val="max"/>
        <c:crossBetween val="midCat"/>
      </c:valAx>
      <c:valAx>
        <c:axId val="905324800"/>
        <c:scaling>
          <c:orientation val="minMax"/>
        </c:scaling>
        <c:delete val="1"/>
        <c:axPos val="b"/>
        <c:numFmt formatCode="0.00" sourceLinked="1"/>
        <c:majorTickMark val="out"/>
        <c:minorTickMark val="none"/>
        <c:tickLblPos val="nextTo"/>
        <c:crossAx val="873716480"/>
        <c:crosses val="autoZero"/>
        <c:crossBetween val="midCat"/>
      </c:valAx>
    </c:plotArea>
    <c:legend>
      <c:legendPos val="r"/>
      <c:overlay val="0"/>
    </c:legend>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strRef>
              <c:f>' Head Loss (Low Ambient Flows)'!$L$22</c:f>
              <c:strCache>
                <c:ptCount val="1"/>
                <c:pt idx="0">
                  <c:v>Farrea Velocity (mm/s)</c:v>
                </c:pt>
              </c:strCache>
            </c:strRef>
          </c:tx>
          <c:spPr>
            <a:ln>
              <a:solidFill>
                <a:schemeClr val="accent2">
                  <a:lumMod val="75000"/>
                </a:schemeClr>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Flows)'!$L$23:$L$37</c:f>
              <c:numCache>
                <c:formatCode>General</c:formatCode>
                <c:ptCount val="15"/>
                <c:pt idx="0">
                  <c:v>9.8985046317779213E-2</c:v>
                </c:pt>
                <c:pt idx="1">
                  <c:v>0.32382972583685787</c:v>
                </c:pt>
                <c:pt idx="2">
                  <c:v>0.25258108876656166</c:v>
                </c:pt>
                <c:pt idx="3">
                  <c:v>1.0948633404948021E-2</c:v>
                </c:pt>
                <c:pt idx="4">
                  <c:v>1.0945064433404246</c:v>
                </c:pt>
                <c:pt idx="5">
                  <c:v>1.5960998724723296E-2</c:v>
                </c:pt>
                <c:pt idx="6">
                  <c:v>1.6435821498942658E-3</c:v>
                </c:pt>
                <c:pt idx="7">
                  <c:v>1.5960998724723296E-2</c:v>
                </c:pt>
                <c:pt idx="8">
                  <c:v>3.020567199664332E-3</c:v>
                </c:pt>
                <c:pt idx="9">
                  <c:v>2.5618397400100452E-3</c:v>
                </c:pt>
                <c:pt idx="10">
                  <c:v>5.4593877597515867E-3</c:v>
                </c:pt>
                <c:pt idx="11">
                  <c:v>1.1130055299085978E-2</c:v>
                </c:pt>
                <c:pt idx="12">
                  <c:v>0.21512250120301571</c:v>
                </c:pt>
                <c:pt idx="13">
                  <c:v>0.78279531776680689</c:v>
                </c:pt>
                <c:pt idx="14">
                  <c:v>14.76342648357048</c:v>
                </c:pt>
              </c:numCache>
            </c:numRef>
          </c:yVal>
          <c:smooth val="0"/>
          <c:extLst>
            <c:ext xmlns:c16="http://schemas.microsoft.com/office/drawing/2014/chart" uri="{C3380CC4-5D6E-409C-BE32-E72D297353CC}">
              <c16:uniqueId val="{00000000-9588-43F5-A88D-1EC286B5AEF4}"/>
            </c:ext>
          </c:extLst>
        </c:ser>
        <c:ser>
          <c:idx val="3"/>
          <c:order val="3"/>
          <c:tx>
            <c:strRef>
              <c:f>' Head Loss (Low Ambient Flows)'!$AE$22</c:f>
              <c:strCache>
                <c:ptCount val="1"/>
                <c:pt idx="0">
                  <c:v>Cliona Velocity (mm/s)</c:v>
                </c:pt>
              </c:strCache>
            </c:strRef>
          </c:tx>
          <c:spPr>
            <a:ln>
              <a:solidFill>
                <a:schemeClr val="accent3">
                  <a:lumMod val="50000"/>
                </a:schemeClr>
              </a:solidFill>
            </a:ln>
          </c:spPr>
          <c:marker>
            <c:symbol val="none"/>
          </c:marker>
          <c:xVal>
            <c:numRef>
              <c:f>' Head Loss (Low Ambient Flows)'!$AC$23:$AC$36</c:f>
              <c:numCache>
                <c:formatCode>General</c:formatCode>
                <c:ptCount val="14"/>
                <c:pt idx="0">
                  <c:v>0</c:v>
                </c:pt>
                <c:pt idx="1">
                  <c:v>1.0587567876718442E-2</c:v>
                </c:pt>
                <c:pt idx="2">
                  <c:v>23.94818918143547</c:v>
                </c:pt>
                <c:pt idx="3">
                  <c:v>44.466959251923072</c:v>
                </c:pt>
                <c:pt idx="4">
                  <c:v>49.773384746327089</c:v>
                </c:pt>
                <c:pt idx="5">
                  <c:v>49.783972314203808</c:v>
                </c:pt>
                <c:pt idx="6">
                  <c:v>49.830301586219989</c:v>
                </c:pt>
                <c:pt idx="7">
                  <c:v>49.83240094967897</c:v>
                </c:pt>
                <c:pt idx="8">
                  <c:v>49.888458592396908</c:v>
                </c:pt>
                <c:pt idx="9">
                  <c:v>50.226615253672911</c:v>
                </c:pt>
                <c:pt idx="10">
                  <c:v>50.23720282154963</c:v>
                </c:pt>
                <c:pt idx="11">
                  <c:v>55.54362831595364</c:v>
                </c:pt>
                <c:pt idx="12">
                  <c:v>76.062398386441245</c:v>
                </c:pt>
                <c:pt idx="13">
                  <c:v>100</c:v>
                </c:pt>
              </c:numCache>
            </c:numRef>
          </c:xVal>
          <c:yVal>
            <c:numRef>
              <c:f>' Head Loss (Low Ambient Flows)'!$AE$23:$AE$36</c:f>
              <c:numCache>
                <c:formatCode>General</c:formatCode>
                <c:ptCount val="14"/>
                <c:pt idx="0">
                  <c:v>6.5658271785869848</c:v>
                </c:pt>
                <c:pt idx="1">
                  <c:v>5.5985985137647072</c:v>
                </c:pt>
                <c:pt idx="2">
                  <c:v>7.2157209792035548</c:v>
                </c:pt>
                <c:pt idx="3">
                  <c:v>10.835151482704052</c:v>
                </c:pt>
                <c:pt idx="4">
                  <c:v>1.0449495464821557</c:v>
                </c:pt>
                <c:pt idx="5">
                  <c:v>7.0229452131620226E-2</c:v>
                </c:pt>
                <c:pt idx="6">
                  <c:v>1.6912466963031655E-2</c:v>
                </c:pt>
                <c:pt idx="7">
                  <c:v>1.8187411945569106E-2</c:v>
                </c:pt>
                <c:pt idx="8">
                  <c:v>2.7495417355957077E-2</c:v>
                </c:pt>
                <c:pt idx="9">
                  <c:v>0.35559628550989414</c:v>
                </c:pt>
                <c:pt idx="10">
                  <c:v>10.835151482704052</c:v>
                </c:pt>
                <c:pt idx="11">
                  <c:v>7.2157209792035548</c:v>
                </c:pt>
                <c:pt idx="12">
                  <c:v>5.5985985137647072</c:v>
                </c:pt>
                <c:pt idx="13">
                  <c:v>110.40727649999999</c:v>
                </c:pt>
              </c:numCache>
            </c:numRef>
          </c:yVal>
          <c:smooth val="0"/>
          <c:extLst>
            <c:ext xmlns:c16="http://schemas.microsoft.com/office/drawing/2014/chart" uri="{C3380CC4-5D6E-409C-BE32-E72D297353CC}">
              <c16:uniqueId val="{00000001-9588-43F5-A88D-1EC286B5AEF4}"/>
            </c:ext>
          </c:extLst>
        </c:ser>
        <c:ser>
          <c:idx val="5"/>
          <c:order val="5"/>
          <c:tx>
            <c:strRef>
              <c:f>' Head Loss (Low Ambient Flows)'!$AG$22</c:f>
              <c:strCache>
                <c:ptCount val="1"/>
                <c:pt idx="0">
                  <c:v>Callyspongia Velocity (mm/s)</c:v>
                </c:pt>
              </c:strCache>
            </c:strRef>
          </c:tx>
          <c:spPr>
            <a:ln>
              <a:solidFill>
                <a:schemeClr val="tx2"/>
              </a:solidFill>
            </a:ln>
          </c:spPr>
          <c:marker>
            <c:symbol val="none"/>
          </c:marker>
          <c:xVal>
            <c:numRef>
              <c:f>' Head Loss (Low Ambient Flows)'!$AF$23:$AF$37</c:f>
              <c:numCache>
                <c:formatCode>General</c:formatCode>
                <c:ptCount val="15"/>
                <c:pt idx="0">
                  <c:v>0</c:v>
                </c:pt>
                <c:pt idx="1">
                  <c:v>1.1780645828687132E-2</c:v>
                </c:pt>
                <c:pt idx="2">
                  <c:v>3.0958786221618206</c:v>
                </c:pt>
                <c:pt idx="3">
                  <c:v>24.846060912417038</c:v>
                </c:pt>
                <c:pt idx="4">
                  <c:v>41.938729532363311</c:v>
                </c:pt>
                <c:pt idx="5">
                  <c:v>41.950510178191998</c:v>
                </c:pt>
                <c:pt idx="6">
                  <c:v>41.962290824020684</c:v>
                </c:pt>
                <c:pt idx="7">
                  <c:v>42.02375634363186</c:v>
                </c:pt>
                <c:pt idx="8">
                  <c:v>42.026315099905851</c:v>
                </c:pt>
                <c:pt idx="9">
                  <c:v>42.064781264665683</c:v>
                </c:pt>
                <c:pt idx="10">
                  <c:v>42.530082765721275</c:v>
                </c:pt>
                <c:pt idx="11">
                  <c:v>42.541863411549954</c:v>
                </c:pt>
                <c:pt idx="12">
                  <c:v>42.553644057378641</c:v>
                </c:pt>
                <c:pt idx="13">
                  <c:v>68.377330208513413</c:v>
                </c:pt>
                <c:pt idx="14">
                  <c:v>100</c:v>
                </c:pt>
              </c:numCache>
            </c:numRef>
          </c:xVal>
          <c:yVal>
            <c:numRef>
              <c:f>' Head Loss (Low Ambient Flows)'!$AG$23:$AG$37</c:f>
              <c:numCache>
                <c:formatCode>General</c:formatCode>
                <c:ptCount val="15"/>
                <c:pt idx="0">
                  <c:v>0.68308055269572165</c:v>
                </c:pt>
                <c:pt idx="1">
                  <c:v>0.40112750877695535</c:v>
                </c:pt>
                <c:pt idx="2">
                  <c:v>0.62339297810684036</c:v>
                </c:pt>
                <c:pt idx="3">
                  <c:v>3.2466683322456289</c:v>
                </c:pt>
                <c:pt idx="4">
                  <c:v>2.3900204331172401</c:v>
                </c:pt>
                <c:pt idx="5">
                  <c:v>0.15881193241658209</c:v>
                </c:pt>
                <c:pt idx="6">
                  <c:v>5.1490847099542852E-2</c:v>
                </c:pt>
                <c:pt idx="7">
                  <c:v>1.7819680263292229E-2</c:v>
                </c:pt>
                <c:pt idx="8">
                  <c:v>1.5485731915886038E-2</c:v>
                </c:pt>
                <c:pt idx="9">
                  <c:v>2.1576195532890294E-2</c:v>
                </c:pt>
                <c:pt idx="10">
                  <c:v>0.21761694605646056</c:v>
                </c:pt>
                <c:pt idx="11">
                  <c:v>16.949644506020775</c:v>
                </c:pt>
                <c:pt idx="12">
                  <c:v>3.048513583694715</c:v>
                </c:pt>
                <c:pt idx="13">
                  <c:v>2.88241927759299</c:v>
                </c:pt>
                <c:pt idx="14">
                  <c:v>59.332341400000004</c:v>
                </c:pt>
              </c:numCache>
            </c:numRef>
          </c:yVal>
          <c:smooth val="0"/>
          <c:extLst>
            <c:ext xmlns:c16="http://schemas.microsoft.com/office/drawing/2014/chart" uri="{C3380CC4-5D6E-409C-BE32-E72D297353CC}">
              <c16:uniqueId val="{00000002-9588-43F5-A88D-1EC286B5AEF4}"/>
            </c:ext>
          </c:extLst>
        </c:ser>
        <c:dLbls>
          <c:showLegendKey val="0"/>
          <c:showVal val="0"/>
          <c:showCatName val="0"/>
          <c:showSerName val="0"/>
          <c:showPercent val="0"/>
          <c:showBubbleSize val="0"/>
        </c:dLbls>
        <c:axId val="610853440"/>
        <c:axId val="610854592"/>
      </c:scatterChart>
      <c:scatterChart>
        <c:scatterStyle val="lineMarker"/>
        <c:varyColors val="0"/>
        <c:ser>
          <c:idx val="1"/>
          <c:order val="1"/>
          <c:tx>
            <c:strRef>
              <c:f>' Head Loss (Low Ambient Flows)'!$V$22</c:f>
              <c:strCache>
                <c:ptCount val="1"/>
                <c:pt idx="0">
                  <c:v>Farrea Relative head</c:v>
                </c:pt>
              </c:strCache>
            </c:strRef>
          </c:tx>
          <c:spPr>
            <a:ln>
              <a:solidFill>
                <a:srgbClr val="FF0000"/>
              </a:solidFill>
              <a:prstDash val="sysDash"/>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Flows)'!$V$23:$V$37</c:f>
              <c:numCache>
                <c:formatCode>_(* #,##0.00_);_(* \(#,##0.00\);_(* "-"??_);_(@_)</c:formatCode>
                <c:ptCount val="15"/>
                <c:pt idx="0">
                  <c:v>1</c:v>
                </c:pt>
                <c:pt idx="1">
                  <c:v>0.99206898371996011</c:v>
                </c:pt>
                <c:pt idx="2">
                  <c:v>0.99067856537863563</c:v>
                </c:pt>
                <c:pt idx="3">
                  <c:v>0.98738313206127393</c:v>
                </c:pt>
                <c:pt idx="4">
                  <c:v>0.5522052155380377</c:v>
                </c:pt>
                <c:pt idx="5">
                  <c:v>0.29246824451256725</c:v>
                </c:pt>
                <c:pt idx="6">
                  <c:v>0.28262243104123663</c:v>
                </c:pt>
                <c:pt idx="7">
                  <c:v>2.2885460015766256E-2</c:v>
                </c:pt>
                <c:pt idx="8">
                  <c:v>2.2054065150184085E-2</c:v>
                </c:pt>
                <c:pt idx="9">
                  <c:v>2.1479830960986681E-2</c:v>
                </c:pt>
                <c:pt idx="10">
                  <c:v>2.1400268062146864E-2</c:v>
                </c:pt>
                <c:pt idx="11">
                  <c:v>2.1171181307759655E-2</c:v>
                </c:pt>
                <c:pt idx="12">
                  <c:v>1.9639299719621899E-2</c:v>
                </c:pt>
                <c:pt idx="13">
                  <c:v>4.6761190404651337E-4</c:v>
                </c:pt>
                <c:pt idx="14">
                  <c:v>-2.6422255388542052E-18</c:v>
                </c:pt>
              </c:numCache>
            </c:numRef>
          </c:yVal>
          <c:smooth val="0"/>
          <c:extLst>
            <c:ext xmlns:c16="http://schemas.microsoft.com/office/drawing/2014/chart" uri="{C3380CC4-5D6E-409C-BE32-E72D297353CC}">
              <c16:uniqueId val="{00000003-9588-43F5-A88D-1EC286B5AEF4}"/>
            </c:ext>
          </c:extLst>
        </c:ser>
        <c:ser>
          <c:idx val="2"/>
          <c:order val="2"/>
          <c:tx>
            <c:strRef>
              <c:f>' Head Loss (Low Ambient Flows)'!$AD$22</c:f>
              <c:strCache>
                <c:ptCount val="1"/>
                <c:pt idx="0">
                  <c:v>Cliona Relative head</c:v>
                </c:pt>
              </c:strCache>
            </c:strRef>
          </c:tx>
          <c:spPr>
            <a:ln>
              <a:prstDash val="sysDash"/>
            </a:ln>
          </c:spPr>
          <c:marker>
            <c:symbol val="none"/>
          </c:marker>
          <c:xVal>
            <c:numRef>
              <c:f>' Head Loss (Low Ambient Flows)'!$AC$23:$AC$36</c:f>
              <c:numCache>
                <c:formatCode>General</c:formatCode>
                <c:ptCount val="14"/>
                <c:pt idx="0">
                  <c:v>0</c:v>
                </c:pt>
                <c:pt idx="1">
                  <c:v>1.0587567876718442E-2</c:v>
                </c:pt>
                <c:pt idx="2">
                  <c:v>23.94818918143547</c:v>
                </c:pt>
                <c:pt idx="3">
                  <c:v>44.466959251923072</c:v>
                </c:pt>
                <c:pt idx="4">
                  <c:v>49.773384746327089</c:v>
                </c:pt>
                <c:pt idx="5">
                  <c:v>49.783972314203808</c:v>
                </c:pt>
                <c:pt idx="6">
                  <c:v>49.830301586219989</c:v>
                </c:pt>
                <c:pt idx="7">
                  <c:v>49.83240094967897</c:v>
                </c:pt>
                <c:pt idx="8">
                  <c:v>49.888458592396908</c:v>
                </c:pt>
                <c:pt idx="9">
                  <c:v>50.226615253672911</c:v>
                </c:pt>
                <c:pt idx="10">
                  <c:v>50.23720282154963</c:v>
                </c:pt>
                <c:pt idx="11">
                  <c:v>55.54362831595364</c:v>
                </c:pt>
                <c:pt idx="12">
                  <c:v>76.062398386441245</c:v>
                </c:pt>
                <c:pt idx="13">
                  <c:v>100</c:v>
                </c:pt>
              </c:numCache>
            </c:numRef>
          </c:xVal>
          <c:yVal>
            <c:numRef>
              <c:f>' Head Loss (Low Ambient Flows)'!$AD$23:$AD$36</c:f>
              <c:numCache>
                <c:formatCode>_(* #,##0.00_);_(* \(#,##0.00\);_(* "-"??_);_(@_)</c:formatCode>
                <c:ptCount val="14"/>
                <c:pt idx="0">
                  <c:v>1</c:v>
                </c:pt>
                <c:pt idx="1">
                  <c:v>0.97927154530716942</c:v>
                </c:pt>
                <c:pt idx="2">
                  <c:v>0.88415452175450204</c:v>
                </c:pt>
                <c:pt idx="3">
                  <c:v>0.67145222955656314</c:v>
                </c:pt>
                <c:pt idx="4">
                  <c:v>0.60404917729245289</c:v>
                </c:pt>
                <c:pt idx="5">
                  <c:v>0.51140941110997773</c:v>
                </c:pt>
                <c:pt idx="6">
                  <c:v>0.3459516691414331</c:v>
                </c:pt>
                <c:pt idx="7">
                  <c:v>0.34310137037012162</c:v>
                </c:pt>
                <c:pt idx="8">
                  <c:v>0.34261346233300866</c:v>
                </c:pt>
                <c:pt idx="9">
                  <c:v>0.3285924879469016</c:v>
                </c:pt>
                <c:pt idx="10">
                  <c:v>0.11589019574896266</c:v>
                </c:pt>
                <c:pt idx="11">
                  <c:v>2.0773172196295386E-2</c:v>
                </c:pt>
                <c:pt idx="12">
                  <c:v>4.4717503464828447E-5</c:v>
                </c:pt>
                <c:pt idx="13">
                  <c:v>-6.7099972556145947E-19</c:v>
                </c:pt>
              </c:numCache>
            </c:numRef>
          </c:yVal>
          <c:smooth val="0"/>
          <c:extLst>
            <c:ext xmlns:c16="http://schemas.microsoft.com/office/drawing/2014/chart" uri="{C3380CC4-5D6E-409C-BE32-E72D297353CC}">
              <c16:uniqueId val="{00000004-9588-43F5-A88D-1EC286B5AEF4}"/>
            </c:ext>
          </c:extLst>
        </c:ser>
        <c:ser>
          <c:idx val="4"/>
          <c:order val="4"/>
          <c:tx>
            <c:strRef>
              <c:f>' Head Loss (Low Ambient Flows)'!$AH$22</c:f>
              <c:strCache>
                <c:ptCount val="1"/>
                <c:pt idx="0">
                  <c:v>Callyspongia Relative head</c:v>
                </c:pt>
              </c:strCache>
            </c:strRef>
          </c:tx>
          <c:spPr>
            <a:ln>
              <a:prstDash val="sysDash"/>
            </a:ln>
          </c:spPr>
          <c:marker>
            <c:symbol val="none"/>
          </c:marker>
          <c:xVal>
            <c:numRef>
              <c:f>' Head Loss (Low Ambient Flows)'!$AF$23:$AF$37</c:f>
              <c:numCache>
                <c:formatCode>General</c:formatCode>
                <c:ptCount val="15"/>
                <c:pt idx="0">
                  <c:v>0</c:v>
                </c:pt>
                <c:pt idx="1">
                  <c:v>1.1780645828687132E-2</c:v>
                </c:pt>
                <c:pt idx="2">
                  <c:v>3.0958786221618206</c:v>
                </c:pt>
                <c:pt idx="3">
                  <c:v>24.846060912417038</c:v>
                </c:pt>
                <c:pt idx="4">
                  <c:v>41.938729532363311</c:v>
                </c:pt>
                <c:pt idx="5">
                  <c:v>41.950510178191998</c:v>
                </c:pt>
                <c:pt idx="6">
                  <c:v>41.962290824020684</c:v>
                </c:pt>
                <c:pt idx="7">
                  <c:v>42.02375634363186</c:v>
                </c:pt>
                <c:pt idx="8">
                  <c:v>42.026315099905851</c:v>
                </c:pt>
                <c:pt idx="9">
                  <c:v>42.064781264665683</c:v>
                </c:pt>
                <c:pt idx="10">
                  <c:v>42.530082765721275</c:v>
                </c:pt>
                <c:pt idx="11">
                  <c:v>42.541863411549954</c:v>
                </c:pt>
                <c:pt idx="12">
                  <c:v>42.553644057378641</c:v>
                </c:pt>
                <c:pt idx="13">
                  <c:v>68.377330208513413</c:v>
                </c:pt>
                <c:pt idx="14">
                  <c:v>100</c:v>
                </c:pt>
              </c:numCache>
            </c:numRef>
          </c:xVal>
          <c:yVal>
            <c:numRef>
              <c:f>' Head Loss (Low Ambient Flows)'!$AH$23:$AH$37</c:f>
              <c:numCache>
                <c:formatCode>_(* #,##0.00_);_(* \(#,##0.00\);_(* "-"??_);_(@_)</c:formatCode>
                <c:ptCount val="15"/>
                <c:pt idx="0">
                  <c:v>1</c:v>
                </c:pt>
                <c:pt idx="1">
                  <c:v>0.99855143231652543</c:v>
                </c:pt>
                <c:pt idx="2">
                  <c:v>0.99513582837465897</c:v>
                </c:pt>
                <c:pt idx="3">
                  <c:v>0.9343595876572427</c:v>
                </c:pt>
                <c:pt idx="4">
                  <c:v>0.93374882886221966</c:v>
                </c:pt>
                <c:pt idx="5">
                  <c:v>0.87692010107231488</c:v>
                </c:pt>
                <c:pt idx="6">
                  <c:v>0.33044393865119215</c:v>
                </c:pt>
                <c:pt idx="7">
                  <c:v>0.16416998442193234</c:v>
                </c:pt>
                <c:pt idx="8">
                  <c:v>0.16052648829088703</c:v>
                </c:pt>
                <c:pt idx="9">
                  <c:v>0.15945494130501794</c:v>
                </c:pt>
                <c:pt idx="10">
                  <c:v>0.13841163394105668</c:v>
                </c:pt>
                <c:pt idx="11">
                  <c:v>0.13543988147066102</c:v>
                </c:pt>
                <c:pt idx="12">
                  <c:v>3.2980442738812871E-2</c:v>
                </c:pt>
                <c:pt idx="13">
                  <c:v>4.4695874403730478E-5</c:v>
                </c:pt>
                <c:pt idx="14">
                  <c:v>8.4322835957765238E-19</c:v>
                </c:pt>
              </c:numCache>
            </c:numRef>
          </c:yVal>
          <c:smooth val="0"/>
          <c:extLst>
            <c:ext xmlns:c16="http://schemas.microsoft.com/office/drawing/2014/chart" uri="{C3380CC4-5D6E-409C-BE32-E72D297353CC}">
              <c16:uniqueId val="{00000005-9588-43F5-A88D-1EC286B5AEF4}"/>
            </c:ext>
          </c:extLst>
        </c:ser>
        <c:dLbls>
          <c:showLegendKey val="0"/>
          <c:showVal val="0"/>
          <c:showCatName val="0"/>
          <c:showSerName val="0"/>
          <c:showPercent val="0"/>
          <c:showBubbleSize val="0"/>
        </c:dLbls>
        <c:axId val="610856320"/>
        <c:axId val="610855744"/>
      </c:scatterChart>
      <c:valAx>
        <c:axId val="610853440"/>
        <c:scaling>
          <c:orientation val="minMax"/>
          <c:max val="100"/>
        </c:scaling>
        <c:delete val="0"/>
        <c:axPos val="b"/>
        <c:title>
          <c:tx>
            <c:rich>
              <a:bodyPr/>
              <a:lstStyle/>
              <a:p>
                <a:pPr>
                  <a:defRPr/>
                </a:pPr>
                <a:r>
                  <a:rPr lang="en-CA"/>
                  <a:t>Proportional Distance from Inhalent Surface</a:t>
                </a:r>
              </a:p>
            </c:rich>
          </c:tx>
          <c:overlay val="0"/>
        </c:title>
        <c:numFmt formatCode="0.00" sourceLinked="1"/>
        <c:majorTickMark val="out"/>
        <c:minorTickMark val="none"/>
        <c:tickLblPos val="nextTo"/>
        <c:crossAx val="610854592"/>
        <c:crossesAt val="0"/>
        <c:crossBetween val="midCat"/>
      </c:valAx>
      <c:valAx>
        <c:axId val="610854592"/>
        <c:scaling>
          <c:logBase val="10"/>
          <c:orientation val="minMax"/>
        </c:scaling>
        <c:delete val="0"/>
        <c:axPos val="l"/>
        <c:title>
          <c:tx>
            <c:rich>
              <a:bodyPr rot="-5400000" vert="horz"/>
              <a:lstStyle/>
              <a:p>
                <a:pPr>
                  <a:defRPr/>
                </a:pPr>
                <a:r>
                  <a:rPr lang="en-CA"/>
                  <a:t>Velocity of Water (mm/s)</a:t>
                </a:r>
              </a:p>
            </c:rich>
          </c:tx>
          <c:overlay val="0"/>
        </c:title>
        <c:numFmt formatCode="#,##0.00" sourceLinked="0"/>
        <c:majorTickMark val="out"/>
        <c:minorTickMark val="none"/>
        <c:tickLblPos val="nextTo"/>
        <c:crossAx val="610853440"/>
        <c:crosses val="autoZero"/>
        <c:crossBetween val="midCat"/>
      </c:valAx>
      <c:valAx>
        <c:axId val="610855744"/>
        <c:scaling>
          <c:orientation val="minMax"/>
        </c:scaling>
        <c:delete val="0"/>
        <c:axPos val="r"/>
        <c:numFmt formatCode="_(* #,##0.00_);_(* \(#,##0.00\);_(* &quot;-&quot;??_);_(@_)" sourceLinked="1"/>
        <c:majorTickMark val="out"/>
        <c:minorTickMark val="none"/>
        <c:tickLblPos val="nextTo"/>
        <c:crossAx val="610856320"/>
        <c:crosses val="max"/>
        <c:crossBetween val="midCat"/>
      </c:valAx>
      <c:valAx>
        <c:axId val="610856320"/>
        <c:scaling>
          <c:orientation val="minMax"/>
        </c:scaling>
        <c:delete val="1"/>
        <c:axPos val="b"/>
        <c:numFmt formatCode="0.00" sourceLinked="1"/>
        <c:majorTickMark val="out"/>
        <c:minorTickMark val="none"/>
        <c:tickLblPos val="nextTo"/>
        <c:crossAx val="610855744"/>
        <c:crosses val="autoZero"/>
        <c:crossBetween val="midCat"/>
      </c:valAx>
    </c:plotArea>
    <c:legend>
      <c:legendPos val="r"/>
      <c:overlay val="0"/>
    </c:legend>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smoothMarker"/>
        <c:varyColors val="0"/>
        <c:ser>
          <c:idx val="0"/>
          <c:order val="0"/>
          <c:spPr>
            <a:ln>
              <a:solidFill>
                <a:sysClr val="windowText" lastClr="000000"/>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Flows)'!$I$23:$I$37</c:f>
              <c:numCache>
                <c:formatCode>General</c:formatCode>
                <c:ptCount val="15"/>
                <c:pt idx="0">
                  <c:v>40.526247015773876</c:v>
                </c:pt>
                <c:pt idx="1">
                  <c:v>12.387659680022972</c:v>
                </c:pt>
                <c:pt idx="2">
                  <c:v>15.881998361522648</c:v>
                </c:pt>
                <c:pt idx="3">
                  <c:v>366.39206826755407</c:v>
                </c:pt>
                <c:pt idx="4">
                  <c:v>3.6651154155832066</c:v>
                </c:pt>
                <c:pt idx="5">
                  <c:v>251.33091651266218</c:v>
                </c:pt>
                <c:pt idx="6">
                  <c:v>2440.7009033288682</c:v>
                </c:pt>
                <c:pt idx="7">
                  <c:v>251.33091651266218</c:v>
                </c:pt>
                <c:pt idx="8">
                  <c:v>1328.0593255425424</c:v>
                </c:pt>
                <c:pt idx="9">
                  <c:v>1565.8639278998803</c:v>
                </c:pt>
                <c:pt idx="10">
                  <c:v>734.78796789562898</c:v>
                </c:pt>
                <c:pt idx="11">
                  <c:v>360.41981195471425</c:v>
                </c:pt>
                <c:pt idx="12">
                  <c:v>18.647479531471266</c:v>
                </c:pt>
                <c:pt idx="13">
                  <c:v>5.1245738788861201</c:v>
                </c:pt>
              </c:numCache>
            </c:numRef>
          </c:yVal>
          <c:smooth val="0"/>
          <c:extLst>
            <c:ext xmlns:c16="http://schemas.microsoft.com/office/drawing/2014/chart" uri="{C3380CC4-5D6E-409C-BE32-E72D297353CC}">
              <c16:uniqueId val="{00000000-E418-4ADA-9B73-93053B6D79F5}"/>
            </c:ext>
          </c:extLst>
        </c:ser>
        <c:dLbls>
          <c:showLegendKey val="0"/>
          <c:showVal val="0"/>
          <c:showCatName val="0"/>
          <c:showSerName val="0"/>
          <c:showPercent val="0"/>
          <c:showBubbleSize val="0"/>
        </c:dLbls>
        <c:axId val="875681984"/>
        <c:axId val="875682560"/>
      </c:scatterChart>
      <c:valAx>
        <c:axId val="875681984"/>
        <c:scaling>
          <c:orientation val="minMax"/>
          <c:max val="100"/>
        </c:scaling>
        <c:delete val="0"/>
        <c:axPos val="b"/>
        <c:title>
          <c:tx>
            <c:rich>
              <a:bodyPr/>
              <a:lstStyle/>
              <a:p>
                <a:pPr>
                  <a:defRPr/>
                </a:pPr>
                <a:r>
                  <a:rPr lang="en-CA"/>
                  <a:t>Proportional Distance from Inhalent</a:t>
                </a:r>
                <a:r>
                  <a:rPr lang="en-CA" baseline="0"/>
                  <a:t> Surface</a:t>
                </a:r>
                <a:endParaRPr lang="en-CA"/>
              </a:p>
            </c:rich>
          </c:tx>
          <c:overlay val="0"/>
        </c:title>
        <c:numFmt formatCode="0.00" sourceLinked="1"/>
        <c:majorTickMark val="out"/>
        <c:minorTickMark val="none"/>
        <c:tickLblPos val="low"/>
        <c:crossAx val="875682560"/>
        <c:crosses val="autoZero"/>
        <c:crossBetween val="midCat"/>
      </c:valAx>
      <c:valAx>
        <c:axId val="875682560"/>
        <c:scaling>
          <c:logBase val="10"/>
          <c:orientation val="minMax"/>
        </c:scaling>
        <c:delete val="0"/>
        <c:axPos val="l"/>
        <c:majorGridlines>
          <c:spPr>
            <a:ln>
              <a:noFill/>
            </a:ln>
          </c:spPr>
        </c:majorGridlines>
        <c:title>
          <c:tx>
            <c:rich>
              <a:bodyPr rot="-5400000" vert="horz"/>
              <a:lstStyle/>
              <a:p>
                <a:pPr>
                  <a:defRPr/>
                </a:pPr>
                <a:r>
                  <a:rPr lang="en-CA"/>
                  <a:t>Xs area (100mm^3)</a:t>
                </a:r>
              </a:p>
            </c:rich>
          </c:tx>
          <c:overlay val="0"/>
        </c:title>
        <c:numFmt formatCode="General" sourceLinked="1"/>
        <c:majorTickMark val="out"/>
        <c:minorTickMark val="none"/>
        <c:tickLblPos val="nextTo"/>
        <c:crossAx val="875681984"/>
        <c:crosses val="autoZero"/>
        <c:crossBetween val="midCat"/>
      </c:valAx>
    </c:plotArea>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strRef>
              <c:f>' Head Loss (Low Ambient Flows)'!$L$22</c:f>
              <c:strCache>
                <c:ptCount val="1"/>
                <c:pt idx="0">
                  <c:v>Farrea Velocity (mm/s)</c:v>
                </c:pt>
              </c:strCache>
            </c:strRef>
          </c:tx>
          <c:spPr>
            <a:ln>
              <a:solidFill>
                <a:schemeClr val="tx1"/>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Flows)'!$L$23:$L$37</c:f>
              <c:numCache>
                <c:formatCode>General</c:formatCode>
                <c:ptCount val="15"/>
                <c:pt idx="0">
                  <c:v>9.8985046317779213E-2</c:v>
                </c:pt>
                <c:pt idx="1">
                  <c:v>0.32382972583685787</c:v>
                </c:pt>
                <c:pt idx="2">
                  <c:v>0.25258108876656166</c:v>
                </c:pt>
                <c:pt idx="3">
                  <c:v>1.0948633404948021E-2</c:v>
                </c:pt>
                <c:pt idx="4">
                  <c:v>1.0945064433404246</c:v>
                </c:pt>
                <c:pt idx="5">
                  <c:v>1.5960998724723296E-2</c:v>
                </c:pt>
                <c:pt idx="6">
                  <c:v>1.6435821498942658E-3</c:v>
                </c:pt>
                <c:pt idx="7">
                  <c:v>1.5960998724723296E-2</c:v>
                </c:pt>
                <c:pt idx="8">
                  <c:v>3.020567199664332E-3</c:v>
                </c:pt>
                <c:pt idx="9">
                  <c:v>2.5618397400100452E-3</c:v>
                </c:pt>
                <c:pt idx="10">
                  <c:v>5.4593877597515867E-3</c:v>
                </c:pt>
                <c:pt idx="11">
                  <c:v>1.1130055299085978E-2</c:v>
                </c:pt>
                <c:pt idx="12">
                  <c:v>0.21512250120301571</c:v>
                </c:pt>
                <c:pt idx="13">
                  <c:v>0.78279531776680689</c:v>
                </c:pt>
                <c:pt idx="14">
                  <c:v>14.76342648357048</c:v>
                </c:pt>
              </c:numCache>
            </c:numRef>
          </c:yVal>
          <c:smooth val="0"/>
          <c:extLst>
            <c:ext xmlns:c16="http://schemas.microsoft.com/office/drawing/2014/chart" uri="{C3380CC4-5D6E-409C-BE32-E72D297353CC}">
              <c16:uniqueId val="{00000000-2B93-4168-95AA-E1E95FBC9C8B}"/>
            </c:ext>
          </c:extLst>
        </c:ser>
        <c:dLbls>
          <c:showLegendKey val="0"/>
          <c:showVal val="0"/>
          <c:showCatName val="0"/>
          <c:showSerName val="0"/>
          <c:showPercent val="0"/>
          <c:showBubbleSize val="0"/>
        </c:dLbls>
        <c:axId val="878686144"/>
        <c:axId val="878687296"/>
      </c:scatterChart>
      <c:scatterChart>
        <c:scatterStyle val="lineMarker"/>
        <c:varyColors val="0"/>
        <c:ser>
          <c:idx val="1"/>
          <c:order val="1"/>
          <c:tx>
            <c:strRef>
              <c:f>' Head Loss (Low Ambient Flows)'!$V$22</c:f>
              <c:strCache>
                <c:ptCount val="1"/>
                <c:pt idx="0">
                  <c:v>Farrea Relative head</c:v>
                </c:pt>
              </c:strCache>
            </c:strRef>
          </c:tx>
          <c:spPr>
            <a:ln>
              <a:solidFill>
                <a:srgbClr val="FF0000"/>
              </a:solidFill>
              <a:prstDash val="sysDash"/>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Flows)'!$V$23:$V$37</c:f>
              <c:numCache>
                <c:formatCode>_(* #,##0.00_);_(* \(#,##0.00\);_(* "-"??_);_(@_)</c:formatCode>
                <c:ptCount val="15"/>
                <c:pt idx="0">
                  <c:v>1</c:v>
                </c:pt>
                <c:pt idx="1">
                  <c:v>0.99206898371996011</c:v>
                </c:pt>
                <c:pt idx="2">
                  <c:v>0.99067856537863563</c:v>
                </c:pt>
                <c:pt idx="3">
                  <c:v>0.98738313206127393</c:v>
                </c:pt>
                <c:pt idx="4">
                  <c:v>0.5522052155380377</c:v>
                </c:pt>
                <c:pt idx="5">
                  <c:v>0.29246824451256725</c:v>
                </c:pt>
                <c:pt idx="6">
                  <c:v>0.28262243104123663</c:v>
                </c:pt>
                <c:pt idx="7">
                  <c:v>2.2885460015766256E-2</c:v>
                </c:pt>
                <c:pt idx="8">
                  <c:v>2.2054065150184085E-2</c:v>
                </c:pt>
                <c:pt idx="9">
                  <c:v>2.1479830960986681E-2</c:v>
                </c:pt>
                <c:pt idx="10">
                  <c:v>2.1400268062146864E-2</c:v>
                </c:pt>
                <c:pt idx="11">
                  <c:v>2.1171181307759655E-2</c:v>
                </c:pt>
                <c:pt idx="12">
                  <c:v>1.9639299719621899E-2</c:v>
                </c:pt>
                <c:pt idx="13">
                  <c:v>4.6761190404651337E-4</c:v>
                </c:pt>
                <c:pt idx="14">
                  <c:v>-2.6422255388542052E-18</c:v>
                </c:pt>
              </c:numCache>
            </c:numRef>
          </c:yVal>
          <c:smooth val="0"/>
          <c:extLst>
            <c:ext xmlns:c16="http://schemas.microsoft.com/office/drawing/2014/chart" uri="{C3380CC4-5D6E-409C-BE32-E72D297353CC}">
              <c16:uniqueId val="{00000001-2B93-4168-95AA-E1E95FBC9C8B}"/>
            </c:ext>
          </c:extLst>
        </c:ser>
        <c:dLbls>
          <c:showLegendKey val="0"/>
          <c:showVal val="0"/>
          <c:showCatName val="0"/>
          <c:showSerName val="0"/>
          <c:showPercent val="0"/>
          <c:showBubbleSize val="0"/>
        </c:dLbls>
        <c:axId val="878688448"/>
        <c:axId val="878687872"/>
      </c:scatterChart>
      <c:valAx>
        <c:axId val="878686144"/>
        <c:scaling>
          <c:orientation val="minMax"/>
          <c:max val="100"/>
        </c:scaling>
        <c:delete val="0"/>
        <c:axPos val="b"/>
        <c:title>
          <c:tx>
            <c:rich>
              <a:bodyPr/>
              <a:lstStyle/>
              <a:p>
                <a:pPr>
                  <a:defRPr/>
                </a:pPr>
                <a:r>
                  <a:rPr lang="en-CA"/>
                  <a:t>Proportional Distance from Inhalent Surface</a:t>
                </a:r>
              </a:p>
            </c:rich>
          </c:tx>
          <c:overlay val="0"/>
        </c:title>
        <c:numFmt formatCode="0.00" sourceLinked="1"/>
        <c:majorTickMark val="out"/>
        <c:minorTickMark val="none"/>
        <c:tickLblPos val="nextTo"/>
        <c:crossAx val="878687296"/>
        <c:crossesAt val="0"/>
        <c:crossBetween val="midCat"/>
      </c:valAx>
      <c:valAx>
        <c:axId val="878687296"/>
        <c:scaling>
          <c:logBase val="10"/>
          <c:orientation val="minMax"/>
        </c:scaling>
        <c:delete val="0"/>
        <c:axPos val="l"/>
        <c:title>
          <c:tx>
            <c:rich>
              <a:bodyPr rot="-5400000" vert="horz"/>
              <a:lstStyle/>
              <a:p>
                <a:pPr>
                  <a:defRPr/>
                </a:pPr>
                <a:r>
                  <a:rPr lang="en-CA"/>
                  <a:t>Velocity of Water (mm/s)</a:t>
                </a:r>
              </a:p>
            </c:rich>
          </c:tx>
          <c:overlay val="0"/>
        </c:title>
        <c:numFmt formatCode="#,##0.00" sourceLinked="0"/>
        <c:majorTickMark val="out"/>
        <c:minorTickMark val="none"/>
        <c:tickLblPos val="nextTo"/>
        <c:crossAx val="878686144"/>
        <c:crosses val="autoZero"/>
        <c:crossBetween val="midCat"/>
      </c:valAx>
      <c:valAx>
        <c:axId val="878687872"/>
        <c:scaling>
          <c:orientation val="minMax"/>
        </c:scaling>
        <c:delete val="0"/>
        <c:axPos val="r"/>
        <c:numFmt formatCode="_(* #,##0.00_);_(* \(#,##0.00\);_(* &quot;-&quot;??_);_(@_)" sourceLinked="1"/>
        <c:majorTickMark val="out"/>
        <c:minorTickMark val="none"/>
        <c:tickLblPos val="nextTo"/>
        <c:crossAx val="878688448"/>
        <c:crosses val="max"/>
        <c:crossBetween val="midCat"/>
      </c:valAx>
      <c:valAx>
        <c:axId val="878688448"/>
        <c:scaling>
          <c:orientation val="minMax"/>
        </c:scaling>
        <c:delete val="1"/>
        <c:axPos val="b"/>
        <c:numFmt formatCode="0.00" sourceLinked="1"/>
        <c:majorTickMark val="out"/>
        <c:minorTickMark val="none"/>
        <c:tickLblPos val="nextTo"/>
        <c:crossAx val="878687872"/>
        <c:crosses val="autoZero"/>
        <c:crossBetween val="midCat"/>
      </c:valAx>
    </c:plotArea>
    <c:legend>
      <c:legendPos val="r"/>
      <c:overlay val="0"/>
    </c:legend>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scatterChart>
        <c:scatterStyle val="lineMarker"/>
        <c:varyColors val="0"/>
        <c:ser>
          <c:idx val="0"/>
          <c:order val="0"/>
          <c:tx>
            <c:strRef>
              <c:f>' Head Loss (Low Ambient Flows)'!$L$22</c:f>
              <c:strCache>
                <c:ptCount val="1"/>
                <c:pt idx="0">
                  <c:v>Farrea Velocity (mm/s)</c:v>
                </c:pt>
              </c:strCache>
            </c:strRef>
          </c:tx>
          <c:spPr>
            <a:ln>
              <a:solidFill>
                <a:schemeClr val="accent2">
                  <a:lumMod val="75000"/>
                </a:schemeClr>
              </a:solidFill>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Flows)'!$L$23:$L$37</c:f>
              <c:numCache>
                <c:formatCode>General</c:formatCode>
                <c:ptCount val="15"/>
                <c:pt idx="0">
                  <c:v>9.8985046317779213E-2</c:v>
                </c:pt>
                <c:pt idx="1">
                  <c:v>0.32382972583685787</c:v>
                </c:pt>
                <c:pt idx="2">
                  <c:v>0.25258108876656166</c:v>
                </c:pt>
                <c:pt idx="3">
                  <c:v>1.0948633404948021E-2</c:v>
                </c:pt>
                <c:pt idx="4">
                  <c:v>1.0945064433404246</c:v>
                </c:pt>
                <c:pt idx="5">
                  <c:v>1.5960998724723296E-2</c:v>
                </c:pt>
                <c:pt idx="6">
                  <c:v>1.6435821498942658E-3</c:v>
                </c:pt>
                <c:pt idx="7">
                  <c:v>1.5960998724723296E-2</c:v>
                </c:pt>
                <c:pt idx="8">
                  <c:v>3.020567199664332E-3</c:v>
                </c:pt>
                <c:pt idx="9">
                  <c:v>2.5618397400100452E-3</c:v>
                </c:pt>
                <c:pt idx="10">
                  <c:v>5.4593877597515867E-3</c:v>
                </c:pt>
                <c:pt idx="11">
                  <c:v>1.1130055299085978E-2</c:v>
                </c:pt>
                <c:pt idx="12">
                  <c:v>0.21512250120301571</c:v>
                </c:pt>
                <c:pt idx="13">
                  <c:v>0.78279531776680689</c:v>
                </c:pt>
                <c:pt idx="14">
                  <c:v>14.76342648357048</c:v>
                </c:pt>
              </c:numCache>
            </c:numRef>
          </c:yVal>
          <c:smooth val="0"/>
          <c:extLst>
            <c:ext xmlns:c16="http://schemas.microsoft.com/office/drawing/2014/chart" uri="{C3380CC4-5D6E-409C-BE32-E72D297353CC}">
              <c16:uniqueId val="{00000000-3F8E-4C49-AE48-6CFB5C446F1B}"/>
            </c:ext>
          </c:extLst>
        </c:ser>
        <c:ser>
          <c:idx val="3"/>
          <c:order val="3"/>
          <c:tx>
            <c:strRef>
              <c:f>' Head Loss (Low Ambient Flows)'!$AE$22</c:f>
              <c:strCache>
                <c:ptCount val="1"/>
                <c:pt idx="0">
                  <c:v>Cliona Velocity (mm/s)</c:v>
                </c:pt>
              </c:strCache>
            </c:strRef>
          </c:tx>
          <c:spPr>
            <a:ln>
              <a:solidFill>
                <a:schemeClr val="accent3">
                  <a:lumMod val="50000"/>
                </a:schemeClr>
              </a:solidFill>
            </a:ln>
          </c:spPr>
          <c:marker>
            <c:symbol val="none"/>
          </c:marker>
          <c:xVal>
            <c:numRef>
              <c:f>' Head Loss (Low Ambient Flows)'!$AC$23:$AC$36</c:f>
              <c:numCache>
                <c:formatCode>General</c:formatCode>
                <c:ptCount val="14"/>
                <c:pt idx="0">
                  <c:v>0</c:v>
                </c:pt>
                <c:pt idx="1">
                  <c:v>1.0587567876718442E-2</c:v>
                </c:pt>
                <c:pt idx="2">
                  <c:v>23.94818918143547</c:v>
                </c:pt>
                <c:pt idx="3">
                  <c:v>44.466959251923072</c:v>
                </c:pt>
                <c:pt idx="4">
                  <c:v>49.773384746327089</c:v>
                </c:pt>
                <c:pt idx="5">
                  <c:v>49.783972314203808</c:v>
                </c:pt>
                <c:pt idx="6">
                  <c:v>49.830301586219989</c:v>
                </c:pt>
                <c:pt idx="7">
                  <c:v>49.83240094967897</c:v>
                </c:pt>
                <c:pt idx="8">
                  <c:v>49.888458592396908</c:v>
                </c:pt>
                <c:pt idx="9">
                  <c:v>50.226615253672911</c:v>
                </c:pt>
                <c:pt idx="10">
                  <c:v>50.23720282154963</c:v>
                </c:pt>
                <c:pt idx="11">
                  <c:v>55.54362831595364</c:v>
                </c:pt>
                <c:pt idx="12">
                  <c:v>76.062398386441245</c:v>
                </c:pt>
                <c:pt idx="13">
                  <c:v>100</c:v>
                </c:pt>
              </c:numCache>
            </c:numRef>
          </c:xVal>
          <c:yVal>
            <c:numRef>
              <c:f>' Head Loss (Low Ambient Flows)'!$AE$23:$AE$36</c:f>
              <c:numCache>
                <c:formatCode>General</c:formatCode>
                <c:ptCount val="14"/>
                <c:pt idx="0">
                  <c:v>6.5658271785869848</c:v>
                </c:pt>
                <c:pt idx="1">
                  <c:v>5.5985985137647072</c:v>
                </c:pt>
                <c:pt idx="2">
                  <c:v>7.2157209792035548</c:v>
                </c:pt>
                <c:pt idx="3">
                  <c:v>10.835151482704052</c:v>
                </c:pt>
                <c:pt idx="4">
                  <c:v>1.0449495464821557</c:v>
                </c:pt>
                <c:pt idx="5">
                  <c:v>7.0229452131620226E-2</c:v>
                </c:pt>
                <c:pt idx="6">
                  <c:v>1.6912466963031655E-2</c:v>
                </c:pt>
                <c:pt idx="7">
                  <c:v>1.8187411945569106E-2</c:v>
                </c:pt>
                <c:pt idx="8">
                  <c:v>2.7495417355957077E-2</c:v>
                </c:pt>
                <c:pt idx="9">
                  <c:v>0.35559628550989414</c:v>
                </c:pt>
                <c:pt idx="10">
                  <c:v>10.835151482704052</c:v>
                </c:pt>
                <c:pt idx="11">
                  <c:v>7.2157209792035548</c:v>
                </c:pt>
                <c:pt idx="12">
                  <c:v>5.5985985137647072</c:v>
                </c:pt>
                <c:pt idx="13">
                  <c:v>110.40727649999999</c:v>
                </c:pt>
              </c:numCache>
            </c:numRef>
          </c:yVal>
          <c:smooth val="0"/>
          <c:extLst>
            <c:ext xmlns:c16="http://schemas.microsoft.com/office/drawing/2014/chart" uri="{C3380CC4-5D6E-409C-BE32-E72D297353CC}">
              <c16:uniqueId val="{00000001-3F8E-4C49-AE48-6CFB5C446F1B}"/>
            </c:ext>
          </c:extLst>
        </c:ser>
        <c:ser>
          <c:idx val="5"/>
          <c:order val="5"/>
          <c:tx>
            <c:strRef>
              <c:f>' Head Loss (Low Ambient Flows)'!$AG$22</c:f>
              <c:strCache>
                <c:ptCount val="1"/>
                <c:pt idx="0">
                  <c:v>Callyspongia Velocity (mm/s)</c:v>
                </c:pt>
              </c:strCache>
            </c:strRef>
          </c:tx>
          <c:spPr>
            <a:ln>
              <a:solidFill>
                <a:schemeClr val="tx2"/>
              </a:solidFill>
            </a:ln>
          </c:spPr>
          <c:marker>
            <c:symbol val="none"/>
          </c:marker>
          <c:xVal>
            <c:numRef>
              <c:f>' Head Loss (Low Ambient Flows)'!$AF$23:$AF$37</c:f>
              <c:numCache>
                <c:formatCode>General</c:formatCode>
                <c:ptCount val="15"/>
                <c:pt idx="0">
                  <c:v>0</c:v>
                </c:pt>
                <c:pt idx="1">
                  <c:v>1.1780645828687132E-2</c:v>
                </c:pt>
                <c:pt idx="2">
                  <c:v>3.0958786221618206</c:v>
                </c:pt>
                <c:pt idx="3">
                  <c:v>24.846060912417038</c:v>
                </c:pt>
                <c:pt idx="4">
                  <c:v>41.938729532363311</c:v>
                </c:pt>
                <c:pt idx="5">
                  <c:v>41.950510178191998</c:v>
                </c:pt>
                <c:pt idx="6">
                  <c:v>41.962290824020684</c:v>
                </c:pt>
                <c:pt idx="7">
                  <c:v>42.02375634363186</c:v>
                </c:pt>
                <c:pt idx="8">
                  <c:v>42.026315099905851</c:v>
                </c:pt>
                <c:pt idx="9">
                  <c:v>42.064781264665683</c:v>
                </c:pt>
                <c:pt idx="10">
                  <c:v>42.530082765721275</c:v>
                </c:pt>
                <c:pt idx="11">
                  <c:v>42.541863411549954</c:v>
                </c:pt>
                <c:pt idx="12">
                  <c:v>42.553644057378641</c:v>
                </c:pt>
                <c:pt idx="13">
                  <c:v>68.377330208513413</c:v>
                </c:pt>
                <c:pt idx="14">
                  <c:v>100</c:v>
                </c:pt>
              </c:numCache>
            </c:numRef>
          </c:xVal>
          <c:yVal>
            <c:numRef>
              <c:f>' Head Loss (Low Ambient Flows)'!$AG$23:$AG$37</c:f>
              <c:numCache>
                <c:formatCode>General</c:formatCode>
                <c:ptCount val="15"/>
                <c:pt idx="0">
                  <c:v>0.68308055269572165</c:v>
                </c:pt>
                <c:pt idx="1">
                  <c:v>0.40112750877695535</c:v>
                </c:pt>
                <c:pt idx="2">
                  <c:v>0.62339297810684036</c:v>
                </c:pt>
                <c:pt idx="3">
                  <c:v>3.2466683322456289</c:v>
                </c:pt>
                <c:pt idx="4">
                  <c:v>2.3900204331172401</c:v>
                </c:pt>
                <c:pt idx="5">
                  <c:v>0.15881193241658209</c:v>
                </c:pt>
                <c:pt idx="6">
                  <c:v>5.1490847099542852E-2</c:v>
                </c:pt>
                <c:pt idx="7">
                  <c:v>1.7819680263292229E-2</c:v>
                </c:pt>
                <c:pt idx="8">
                  <c:v>1.5485731915886038E-2</c:v>
                </c:pt>
                <c:pt idx="9">
                  <c:v>2.1576195532890294E-2</c:v>
                </c:pt>
                <c:pt idx="10">
                  <c:v>0.21761694605646056</c:v>
                </c:pt>
                <c:pt idx="11">
                  <c:v>16.949644506020775</c:v>
                </c:pt>
                <c:pt idx="12">
                  <c:v>3.048513583694715</c:v>
                </c:pt>
                <c:pt idx="13">
                  <c:v>2.88241927759299</c:v>
                </c:pt>
                <c:pt idx="14">
                  <c:v>59.332341400000004</c:v>
                </c:pt>
              </c:numCache>
            </c:numRef>
          </c:yVal>
          <c:smooth val="0"/>
          <c:extLst>
            <c:ext xmlns:c16="http://schemas.microsoft.com/office/drawing/2014/chart" uri="{C3380CC4-5D6E-409C-BE32-E72D297353CC}">
              <c16:uniqueId val="{00000002-3F8E-4C49-AE48-6CFB5C446F1B}"/>
            </c:ext>
          </c:extLst>
        </c:ser>
        <c:dLbls>
          <c:showLegendKey val="0"/>
          <c:showVal val="0"/>
          <c:showCatName val="0"/>
          <c:showSerName val="0"/>
          <c:showPercent val="0"/>
          <c:showBubbleSize val="0"/>
        </c:dLbls>
        <c:axId val="880412352"/>
        <c:axId val="880412928"/>
      </c:scatterChart>
      <c:scatterChart>
        <c:scatterStyle val="lineMarker"/>
        <c:varyColors val="0"/>
        <c:ser>
          <c:idx val="1"/>
          <c:order val="1"/>
          <c:tx>
            <c:strRef>
              <c:f>' Head Loss (Low Ambient Flows)'!$V$22</c:f>
              <c:strCache>
                <c:ptCount val="1"/>
                <c:pt idx="0">
                  <c:v>Farrea Relative head</c:v>
                </c:pt>
              </c:strCache>
            </c:strRef>
          </c:tx>
          <c:spPr>
            <a:ln>
              <a:solidFill>
                <a:srgbClr val="FF0000"/>
              </a:solidFill>
              <a:prstDash val="sysDash"/>
            </a:ln>
          </c:spPr>
          <c:marker>
            <c:symbol val="none"/>
          </c:marker>
          <c:xVal>
            <c:numRef>
              <c:f>' Head Loss (Low Ambient Flows)'!$G$23:$G$37</c:f>
              <c:numCache>
                <c:formatCode>0.00</c:formatCode>
                <c:ptCount val="15"/>
                <c:pt idx="0">
                  <c:v>0</c:v>
                </c:pt>
                <c:pt idx="1">
                  <c:v>2.0945452456466263</c:v>
                </c:pt>
                <c:pt idx="2">
                  <c:v>11.562506933205661</c:v>
                </c:pt>
                <c:pt idx="3">
                  <c:v>52.178130808084354</c:v>
                </c:pt>
                <c:pt idx="4">
                  <c:v>52.283205232562104</c:v>
                </c:pt>
                <c:pt idx="5">
                  <c:v>52.570785716185718</c:v>
                </c:pt>
                <c:pt idx="6">
                  <c:v>52.572251512121902</c:v>
                </c:pt>
                <c:pt idx="7">
                  <c:v>52.582873132358387</c:v>
                </c:pt>
                <c:pt idx="8">
                  <c:v>52.584338928294571</c:v>
                </c:pt>
                <c:pt idx="9">
                  <c:v>52.871919411918199</c:v>
                </c:pt>
                <c:pt idx="10">
                  <c:v>52.981815533554425</c:v>
                </c:pt>
                <c:pt idx="11">
                  <c:v>60.734810002538275</c:v>
                </c:pt>
                <c:pt idx="12">
                  <c:v>61.313351943833048</c:v>
                </c:pt>
                <c:pt idx="13">
                  <c:v>94.404654032016296</c:v>
                </c:pt>
                <c:pt idx="14">
                  <c:v>100</c:v>
                </c:pt>
              </c:numCache>
            </c:numRef>
          </c:xVal>
          <c:yVal>
            <c:numRef>
              <c:f>' Head Loss (Low Ambient Flows)'!$V$23:$V$37</c:f>
              <c:numCache>
                <c:formatCode>_(* #,##0.00_);_(* \(#,##0.00\);_(* "-"??_);_(@_)</c:formatCode>
                <c:ptCount val="15"/>
                <c:pt idx="0">
                  <c:v>1</c:v>
                </c:pt>
                <c:pt idx="1">
                  <c:v>0.99206898371996011</c:v>
                </c:pt>
                <c:pt idx="2">
                  <c:v>0.99067856537863563</c:v>
                </c:pt>
                <c:pt idx="3">
                  <c:v>0.98738313206127393</c:v>
                </c:pt>
                <c:pt idx="4">
                  <c:v>0.5522052155380377</c:v>
                </c:pt>
                <c:pt idx="5">
                  <c:v>0.29246824451256725</c:v>
                </c:pt>
                <c:pt idx="6">
                  <c:v>0.28262243104123663</c:v>
                </c:pt>
                <c:pt idx="7">
                  <c:v>2.2885460015766256E-2</c:v>
                </c:pt>
                <c:pt idx="8">
                  <c:v>2.2054065150184085E-2</c:v>
                </c:pt>
                <c:pt idx="9">
                  <c:v>2.1479830960986681E-2</c:v>
                </c:pt>
                <c:pt idx="10">
                  <c:v>2.1400268062146864E-2</c:v>
                </c:pt>
                <c:pt idx="11">
                  <c:v>2.1171181307759655E-2</c:v>
                </c:pt>
                <c:pt idx="12">
                  <c:v>1.9639299719621899E-2</c:v>
                </c:pt>
                <c:pt idx="13">
                  <c:v>4.6761190404651337E-4</c:v>
                </c:pt>
                <c:pt idx="14">
                  <c:v>-2.6422255388542052E-18</c:v>
                </c:pt>
              </c:numCache>
            </c:numRef>
          </c:yVal>
          <c:smooth val="0"/>
          <c:extLst>
            <c:ext xmlns:c16="http://schemas.microsoft.com/office/drawing/2014/chart" uri="{C3380CC4-5D6E-409C-BE32-E72D297353CC}">
              <c16:uniqueId val="{00000003-3F8E-4C49-AE48-6CFB5C446F1B}"/>
            </c:ext>
          </c:extLst>
        </c:ser>
        <c:ser>
          <c:idx val="2"/>
          <c:order val="2"/>
          <c:tx>
            <c:strRef>
              <c:f>' Head Loss (Low Ambient Flows)'!$AD$22</c:f>
              <c:strCache>
                <c:ptCount val="1"/>
                <c:pt idx="0">
                  <c:v>Cliona Relative head</c:v>
                </c:pt>
              </c:strCache>
            </c:strRef>
          </c:tx>
          <c:spPr>
            <a:ln>
              <a:prstDash val="sysDash"/>
            </a:ln>
          </c:spPr>
          <c:marker>
            <c:symbol val="none"/>
          </c:marker>
          <c:xVal>
            <c:numRef>
              <c:f>' Head Loss (Low Ambient Flows)'!$AC$23:$AC$36</c:f>
              <c:numCache>
                <c:formatCode>General</c:formatCode>
                <c:ptCount val="14"/>
                <c:pt idx="0">
                  <c:v>0</c:v>
                </c:pt>
                <c:pt idx="1">
                  <c:v>1.0587567876718442E-2</c:v>
                </c:pt>
                <c:pt idx="2">
                  <c:v>23.94818918143547</c:v>
                </c:pt>
                <c:pt idx="3">
                  <c:v>44.466959251923072</c:v>
                </c:pt>
                <c:pt idx="4">
                  <c:v>49.773384746327089</c:v>
                </c:pt>
                <c:pt idx="5">
                  <c:v>49.783972314203808</c:v>
                </c:pt>
                <c:pt idx="6">
                  <c:v>49.830301586219989</c:v>
                </c:pt>
                <c:pt idx="7">
                  <c:v>49.83240094967897</c:v>
                </c:pt>
                <c:pt idx="8">
                  <c:v>49.888458592396908</c:v>
                </c:pt>
                <c:pt idx="9">
                  <c:v>50.226615253672911</c:v>
                </c:pt>
                <c:pt idx="10">
                  <c:v>50.23720282154963</c:v>
                </c:pt>
                <c:pt idx="11">
                  <c:v>55.54362831595364</c:v>
                </c:pt>
                <c:pt idx="12">
                  <c:v>76.062398386441245</c:v>
                </c:pt>
                <c:pt idx="13">
                  <c:v>100</c:v>
                </c:pt>
              </c:numCache>
            </c:numRef>
          </c:xVal>
          <c:yVal>
            <c:numRef>
              <c:f>' Head Loss (Low Ambient Flows)'!$AD$23:$AD$36</c:f>
              <c:numCache>
                <c:formatCode>_(* #,##0.00_);_(* \(#,##0.00\);_(* "-"??_);_(@_)</c:formatCode>
                <c:ptCount val="14"/>
                <c:pt idx="0">
                  <c:v>1</c:v>
                </c:pt>
                <c:pt idx="1">
                  <c:v>0.97927154530716942</c:v>
                </c:pt>
                <c:pt idx="2">
                  <c:v>0.88415452175450204</c:v>
                </c:pt>
                <c:pt idx="3">
                  <c:v>0.67145222955656314</c:v>
                </c:pt>
                <c:pt idx="4">
                  <c:v>0.60404917729245289</c:v>
                </c:pt>
                <c:pt idx="5">
                  <c:v>0.51140941110997773</c:v>
                </c:pt>
                <c:pt idx="6">
                  <c:v>0.3459516691414331</c:v>
                </c:pt>
                <c:pt idx="7">
                  <c:v>0.34310137037012162</c:v>
                </c:pt>
                <c:pt idx="8">
                  <c:v>0.34261346233300866</c:v>
                </c:pt>
                <c:pt idx="9">
                  <c:v>0.3285924879469016</c:v>
                </c:pt>
                <c:pt idx="10">
                  <c:v>0.11589019574896266</c:v>
                </c:pt>
                <c:pt idx="11">
                  <c:v>2.0773172196295386E-2</c:v>
                </c:pt>
                <c:pt idx="12">
                  <c:v>4.4717503464828447E-5</c:v>
                </c:pt>
                <c:pt idx="13">
                  <c:v>-6.7099972556145947E-19</c:v>
                </c:pt>
              </c:numCache>
            </c:numRef>
          </c:yVal>
          <c:smooth val="0"/>
          <c:extLst>
            <c:ext xmlns:c16="http://schemas.microsoft.com/office/drawing/2014/chart" uri="{C3380CC4-5D6E-409C-BE32-E72D297353CC}">
              <c16:uniqueId val="{00000004-3F8E-4C49-AE48-6CFB5C446F1B}"/>
            </c:ext>
          </c:extLst>
        </c:ser>
        <c:ser>
          <c:idx val="4"/>
          <c:order val="4"/>
          <c:tx>
            <c:strRef>
              <c:f>' Head Loss (Low Ambient Flows)'!$AH$22</c:f>
              <c:strCache>
                <c:ptCount val="1"/>
                <c:pt idx="0">
                  <c:v>Callyspongia Relative head</c:v>
                </c:pt>
              </c:strCache>
            </c:strRef>
          </c:tx>
          <c:spPr>
            <a:ln>
              <a:prstDash val="sysDash"/>
            </a:ln>
          </c:spPr>
          <c:marker>
            <c:symbol val="none"/>
          </c:marker>
          <c:xVal>
            <c:numRef>
              <c:f>' Head Loss (Low Ambient Flows)'!$AF$23:$AF$37</c:f>
              <c:numCache>
                <c:formatCode>General</c:formatCode>
                <c:ptCount val="15"/>
                <c:pt idx="0">
                  <c:v>0</c:v>
                </c:pt>
                <c:pt idx="1">
                  <c:v>1.1780645828687132E-2</c:v>
                </c:pt>
                <c:pt idx="2">
                  <c:v>3.0958786221618206</c:v>
                </c:pt>
                <c:pt idx="3">
                  <c:v>24.846060912417038</c:v>
                </c:pt>
                <c:pt idx="4">
                  <c:v>41.938729532363311</c:v>
                </c:pt>
                <c:pt idx="5">
                  <c:v>41.950510178191998</c:v>
                </c:pt>
                <c:pt idx="6">
                  <c:v>41.962290824020684</c:v>
                </c:pt>
                <c:pt idx="7">
                  <c:v>42.02375634363186</c:v>
                </c:pt>
                <c:pt idx="8">
                  <c:v>42.026315099905851</c:v>
                </c:pt>
                <c:pt idx="9">
                  <c:v>42.064781264665683</c:v>
                </c:pt>
                <c:pt idx="10">
                  <c:v>42.530082765721275</c:v>
                </c:pt>
                <c:pt idx="11">
                  <c:v>42.541863411549954</c:v>
                </c:pt>
                <c:pt idx="12">
                  <c:v>42.553644057378641</c:v>
                </c:pt>
                <c:pt idx="13">
                  <c:v>68.377330208513413</c:v>
                </c:pt>
                <c:pt idx="14">
                  <c:v>100</c:v>
                </c:pt>
              </c:numCache>
            </c:numRef>
          </c:xVal>
          <c:yVal>
            <c:numRef>
              <c:f>' Head Loss (Low Ambient Flows)'!$AH$23:$AH$37</c:f>
              <c:numCache>
                <c:formatCode>_(* #,##0.00_);_(* \(#,##0.00\);_(* "-"??_);_(@_)</c:formatCode>
                <c:ptCount val="15"/>
                <c:pt idx="0">
                  <c:v>1</c:v>
                </c:pt>
                <c:pt idx="1">
                  <c:v>0.99855143231652543</c:v>
                </c:pt>
                <c:pt idx="2">
                  <c:v>0.99513582837465897</c:v>
                </c:pt>
                <c:pt idx="3">
                  <c:v>0.9343595876572427</c:v>
                </c:pt>
                <c:pt idx="4">
                  <c:v>0.93374882886221966</c:v>
                </c:pt>
                <c:pt idx="5">
                  <c:v>0.87692010107231488</c:v>
                </c:pt>
                <c:pt idx="6">
                  <c:v>0.33044393865119215</c:v>
                </c:pt>
                <c:pt idx="7">
                  <c:v>0.16416998442193234</c:v>
                </c:pt>
                <c:pt idx="8">
                  <c:v>0.16052648829088703</c:v>
                </c:pt>
                <c:pt idx="9">
                  <c:v>0.15945494130501794</c:v>
                </c:pt>
                <c:pt idx="10">
                  <c:v>0.13841163394105668</c:v>
                </c:pt>
                <c:pt idx="11">
                  <c:v>0.13543988147066102</c:v>
                </c:pt>
                <c:pt idx="12">
                  <c:v>3.2980442738812871E-2</c:v>
                </c:pt>
                <c:pt idx="13">
                  <c:v>4.4695874403730478E-5</c:v>
                </c:pt>
                <c:pt idx="14">
                  <c:v>8.4322835957765238E-19</c:v>
                </c:pt>
              </c:numCache>
            </c:numRef>
          </c:yVal>
          <c:smooth val="0"/>
          <c:extLst>
            <c:ext xmlns:c16="http://schemas.microsoft.com/office/drawing/2014/chart" uri="{C3380CC4-5D6E-409C-BE32-E72D297353CC}">
              <c16:uniqueId val="{00000005-3F8E-4C49-AE48-6CFB5C446F1B}"/>
            </c:ext>
          </c:extLst>
        </c:ser>
        <c:dLbls>
          <c:showLegendKey val="0"/>
          <c:showVal val="0"/>
          <c:showCatName val="0"/>
          <c:showSerName val="0"/>
          <c:showPercent val="0"/>
          <c:showBubbleSize val="0"/>
        </c:dLbls>
        <c:axId val="880414080"/>
        <c:axId val="880413504"/>
      </c:scatterChart>
      <c:valAx>
        <c:axId val="880412352"/>
        <c:scaling>
          <c:orientation val="minMax"/>
          <c:max val="100"/>
        </c:scaling>
        <c:delete val="0"/>
        <c:axPos val="b"/>
        <c:title>
          <c:tx>
            <c:rich>
              <a:bodyPr/>
              <a:lstStyle/>
              <a:p>
                <a:pPr>
                  <a:defRPr/>
                </a:pPr>
                <a:r>
                  <a:rPr lang="en-CA"/>
                  <a:t>Proportional Distance from Inhalent Surface</a:t>
                </a:r>
              </a:p>
            </c:rich>
          </c:tx>
          <c:overlay val="0"/>
        </c:title>
        <c:numFmt formatCode="0.00" sourceLinked="1"/>
        <c:majorTickMark val="out"/>
        <c:minorTickMark val="none"/>
        <c:tickLblPos val="nextTo"/>
        <c:crossAx val="880412928"/>
        <c:crossesAt val="0"/>
        <c:crossBetween val="midCat"/>
      </c:valAx>
      <c:valAx>
        <c:axId val="880412928"/>
        <c:scaling>
          <c:logBase val="10"/>
          <c:orientation val="minMax"/>
        </c:scaling>
        <c:delete val="0"/>
        <c:axPos val="l"/>
        <c:title>
          <c:tx>
            <c:rich>
              <a:bodyPr rot="-5400000" vert="horz"/>
              <a:lstStyle/>
              <a:p>
                <a:pPr>
                  <a:defRPr/>
                </a:pPr>
                <a:r>
                  <a:rPr lang="en-CA"/>
                  <a:t>Velocity of Water (mm/s)</a:t>
                </a:r>
              </a:p>
            </c:rich>
          </c:tx>
          <c:overlay val="0"/>
        </c:title>
        <c:numFmt formatCode="#,##0.00" sourceLinked="0"/>
        <c:majorTickMark val="out"/>
        <c:minorTickMark val="none"/>
        <c:tickLblPos val="nextTo"/>
        <c:crossAx val="880412352"/>
        <c:crosses val="autoZero"/>
        <c:crossBetween val="midCat"/>
      </c:valAx>
      <c:valAx>
        <c:axId val="880413504"/>
        <c:scaling>
          <c:orientation val="minMax"/>
        </c:scaling>
        <c:delete val="0"/>
        <c:axPos val="r"/>
        <c:numFmt formatCode="_(* #,##0.00_);_(* \(#,##0.00\);_(* &quot;-&quot;??_);_(@_)" sourceLinked="1"/>
        <c:majorTickMark val="out"/>
        <c:minorTickMark val="none"/>
        <c:tickLblPos val="nextTo"/>
        <c:crossAx val="880414080"/>
        <c:crosses val="max"/>
        <c:crossBetween val="midCat"/>
      </c:valAx>
      <c:valAx>
        <c:axId val="880414080"/>
        <c:scaling>
          <c:orientation val="minMax"/>
        </c:scaling>
        <c:delete val="1"/>
        <c:axPos val="b"/>
        <c:numFmt formatCode="0.00" sourceLinked="1"/>
        <c:majorTickMark val="out"/>
        <c:minorTickMark val="none"/>
        <c:tickLblPos val="nextTo"/>
        <c:crossAx val="880413504"/>
        <c:crosses val="autoZero"/>
        <c:crossBetween val="midCat"/>
      </c:valAx>
    </c:plotArea>
    <c:legend>
      <c:legendPos val="r"/>
      <c:overlay val="0"/>
    </c:legend>
    <c:plotVisOnly val="1"/>
    <c:dispBlanksAs val="gap"/>
    <c:showDLblsOverMax val="0"/>
  </c:chart>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tif"/><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2" Type="http://schemas.openxmlformats.org/officeDocument/2006/relationships/image" Target="../media/image7.tif"/><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1.jpeg"/><Relationship Id="rId7" Type="http://schemas.openxmlformats.org/officeDocument/2006/relationships/image" Target="../media/image15.png"/><Relationship Id="rId2" Type="http://schemas.openxmlformats.org/officeDocument/2006/relationships/image" Target="../media/image10.jpeg"/><Relationship Id="rId1" Type="http://schemas.openxmlformats.org/officeDocument/2006/relationships/image" Target="../media/image9.jpe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6.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jpeg"/></Relationships>
</file>

<file path=xl/drawings/_rels/drawing7.xml.rels><?xml version="1.0" encoding="UTF-8" standalone="yes"?>
<Relationships xmlns="http://schemas.openxmlformats.org/package/2006/relationships"><Relationship Id="rId3" Type="http://schemas.openxmlformats.org/officeDocument/2006/relationships/image" Target="../media/image21.jpeg"/><Relationship Id="rId2" Type="http://schemas.openxmlformats.org/officeDocument/2006/relationships/image" Target="../media/image20.jpeg"/><Relationship Id="rId1" Type="http://schemas.openxmlformats.org/officeDocument/2006/relationships/image" Target="../media/image1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29.png"/><Relationship Id="rId13" Type="http://schemas.openxmlformats.org/officeDocument/2006/relationships/image" Target="../media/image34.png"/><Relationship Id="rId18" Type="http://schemas.openxmlformats.org/officeDocument/2006/relationships/hyperlink" Target="https://mail.google.com/mail/u/0/?ui=2&amp;ik=a0901a267a&amp;view=att&amp;th=15a065d02b194f53&amp;attid=0.1&amp;disp=safe&amp;zw" TargetMode="External"/><Relationship Id="rId3" Type="http://schemas.openxmlformats.org/officeDocument/2006/relationships/image" Target="../media/image24.tiff"/><Relationship Id="rId21" Type="http://schemas.openxmlformats.org/officeDocument/2006/relationships/image" Target="../media/image41.png"/><Relationship Id="rId7" Type="http://schemas.openxmlformats.org/officeDocument/2006/relationships/image" Target="../media/image28.png"/><Relationship Id="rId12" Type="http://schemas.openxmlformats.org/officeDocument/2006/relationships/image" Target="../media/image33.gif"/><Relationship Id="rId17" Type="http://schemas.openxmlformats.org/officeDocument/2006/relationships/image" Target="../media/image38.png"/><Relationship Id="rId2" Type="http://schemas.openxmlformats.org/officeDocument/2006/relationships/image" Target="../media/image23.tiff"/><Relationship Id="rId16" Type="http://schemas.openxmlformats.org/officeDocument/2006/relationships/image" Target="../media/image37.png"/><Relationship Id="rId20" Type="http://schemas.openxmlformats.org/officeDocument/2006/relationships/image" Target="../media/image40.jpeg"/><Relationship Id="rId1" Type="http://schemas.openxmlformats.org/officeDocument/2006/relationships/image" Target="../media/image22.tiff"/><Relationship Id="rId6" Type="http://schemas.openxmlformats.org/officeDocument/2006/relationships/image" Target="../media/image27.png"/><Relationship Id="rId11" Type="http://schemas.openxmlformats.org/officeDocument/2006/relationships/image" Target="../media/image32.gif"/><Relationship Id="rId5" Type="http://schemas.openxmlformats.org/officeDocument/2006/relationships/image" Target="../media/image26.png"/><Relationship Id="rId15" Type="http://schemas.openxmlformats.org/officeDocument/2006/relationships/image" Target="../media/image36.png"/><Relationship Id="rId23" Type="http://schemas.openxmlformats.org/officeDocument/2006/relationships/image" Target="../media/image43.jpg"/><Relationship Id="rId10" Type="http://schemas.openxmlformats.org/officeDocument/2006/relationships/image" Target="../media/image31.png"/><Relationship Id="rId19" Type="http://schemas.openxmlformats.org/officeDocument/2006/relationships/image" Target="../media/image39.gif"/><Relationship Id="rId4" Type="http://schemas.openxmlformats.org/officeDocument/2006/relationships/image" Target="../media/image25.png"/><Relationship Id="rId9" Type="http://schemas.openxmlformats.org/officeDocument/2006/relationships/image" Target="../media/image30.png"/><Relationship Id="rId14" Type="http://schemas.openxmlformats.org/officeDocument/2006/relationships/image" Target="../media/image35.tif"/><Relationship Id="rId22" Type="http://schemas.openxmlformats.org/officeDocument/2006/relationships/image" Target="../media/image42.tif"/></Relationships>
</file>

<file path=xl/drawings/_rels/drawing9.xml.rels><?xml version="1.0" encoding="UTF-8" standalone="yes"?>
<Relationships xmlns="http://schemas.openxmlformats.org/package/2006/relationships"><Relationship Id="rId8" Type="http://schemas.openxmlformats.org/officeDocument/2006/relationships/image" Target="../media/image51.png"/><Relationship Id="rId3" Type="http://schemas.openxmlformats.org/officeDocument/2006/relationships/image" Target="../media/image46.jpeg"/><Relationship Id="rId7" Type="http://schemas.openxmlformats.org/officeDocument/2006/relationships/image" Target="../media/image50.png"/><Relationship Id="rId2" Type="http://schemas.openxmlformats.org/officeDocument/2006/relationships/image" Target="../media/image45.jpeg"/><Relationship Id="rId1" Type="http://schemas.openxmlformats.org/officeDocument/2006/relationships/image" Target="../media/image44.jpeg"/><Relationship Id="rId6" Type="http://schemas.openxmlformats.org/officeDocument/2006/relationships/image" Target="../media/image49.png"/><Relationship Id="rId5" Type="http://schemas.openxmlformats.org/officeDocument/2006/relationships/image" Target="../media/image48.jpeg"/><Relationship Id="rId4" Type="http://schemas.openxmlformats.org/officeDocument/2006/relationships/image" Target="../media/image4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9.png"/><Relationship Id="rId3" Type="http://schemas.openxmlformats.org/officeDocument/2006/relationships/image" Target="../media/image54.jpeg"/><Relationship Id="rId7" Type="http://schemas.openxmlformats.org/officeDocument/2006/relationships/image" Target="../media/image58.png"/><Relationship Id="rId2" Type="http://schemas.openxmlformats.org/officeDocument/2006/relationships/image" Target="../media/image53.jpg"/><Relationship Id="rId1" Type="http://schemas.openxmlformats.org/officeDocument/2006/relationships/image" Target="../media/image52.jpeg"/><Relationship Id="rId6" Type="http://schemas.openxmlformats.org/officeDocument/2006/relationships/image" Target="../media/image57.png"/><Relationship Id="rId5" Type="http://schemas.openxmlformats.org/officeDocument/2006/relationships/image" Target="../media/image56.png"/><Relationship Id="rId4" Type="http://schemas.openxmlformats.org/officeDocument/2006/relationships/image" Target="../media/image55.png"/><Relationship Id="rId9" Type="http://schemas.openxmlformats.org/officeDocument/2006/relationships/image" Target="../media/image60.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3.gif"/><Relationship Id="rId2" Type="http://schemas.openxmlformats.org/officeDocument/2006/relationships/image" Target="../media/image32.gif"/><Relationship Id="rId1" Type="http://schemas.openxmlformats.org/officeDocument/2006/relationships/image" Target="../media/image61.png"/></Relationships>
</file>

<file path=xl/drawings/_rels/drawing12.xml.rels><?xml version="1.0" encoding="UTF-8" standalone="yes"?>
<Relationships xmlns="http://schemas.openxmlformats.org/package/2006/relationships"><Relationship Id="rId1" Type="http://schemas.openxmlformats.org/officeDocument/2006/relationships/chart" Target="../charts/chart3.xml"/></Relationships>
</file>

<file path=xl/drawings/_rels/drawing13.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chart" Target="../charts/chart4.xml"/></Relationships>
</file>

<file path=xl/drawings/_rels/drawing14.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s>
</file>

<file path=xl/drawings/drawing1.xml><?xml version="1.0" encoding="utf-8"?>
<xdr:wsDr xmlns:xdr="http://schemas.openxmlformats.org/drawingml/2006/spreadsheetDrawing" xmlns:a="http://schemas.openxmlformats.org/drawingml/2006/main">
  <xdr:twoCellAnchor>
    <xdr:from>
      <xdr:col>8</xdr:col>
      <xdr:colOff>335896</xdr:colOff>
      <xdr:row>65</xdr:row>
      <xdr:rowOff>66675</xdr:rowOff>
    </xdr:from>
    <xdr:to>
      <xdr:col>18</xdr:col>
      <xdr:colOff>582706</xdr:colOff>
      <xdr:row>90</xdr:row>
      <xdr:rowOff>179294</xdr:rowOff>
    </xdr:to>
    <xdr:graphicFrame macro="">
      <xdr:nvGraphicFramePr>
        <xdr:cNvPr id="2" name="Chart 1">
          <a:extLst>
            <a:ext uri="{FF2B5EF4-FFF2-40B4-BE49-F238E27FC236}">
              <a16:creationId xmlns:a16="http://schemas.microsoft.com/office/drawing/2014/main" id="{00000000-0008-0000-0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369794</xdr:colOff>
      <xdr:row>93</xdr:row>
      <xdr:rowOff>67236</xdr:rowOff>
    </xdr:from>
    <xdr:to>
      <xdr:col>19</xdr:col>
      <xdr:colOff>11486</xdr:colOff>
      <xdr:row>119</xdr:row>
      <xdr:rowOff>90208</xdr:rowOff>
    </xdr:to>
    <xdr:graphicFrame macro="">
      <xdr:nvGraphicFramePr>
        <xdr:cNvPr id="3" name="Chart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495300</xdr:colOff>
      <xdr:row>2</xdr:row>
      <xdr:rowOff>2381</xdr:rowOff>
    </xdr:from>
    <xdr:to>
      <xdr:col>15</xdr:col>
      <xdr:colOff>276225</xdr:colOff>
      <xdr:row>27</xdr:row>
      <xdr:rowOff>47625</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76675" y="383381"/>
          <a:ext cx="6486525" cy="4864894"/>
        </a:xfrm>
        <a:prstGeom prst="rect">
          <a:avLst/>
        </a:prstGeom>
      </xdr:spPr>
    </xdr:pic>
    <xdr:clientData/>
  </xdr:twoCellAnchor>
  <xdr:twoCellAnchor editAs="oneCell">
    <xdr:from>
      <xdr:col>15</xdr:col>
      <xdr:colOff>333375</xdr:colOff>
      <xdr:row>1</xdr:row>
      <xdr:rowOff>187778</xdr:rowOff>
    </xdr:from>
    <xdr:to>
      <xdr:col>25</xdr:col>
      <xdr:colOff>438150</xdr:colOff>
      <xdr:row>26</xdr:row>
      <xdr:rowOff>92528</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63400" y="378278"/>
          <a:ext cx="6200775" cy="4724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171451</xdr:colOff>
      <xdr:row>5</xdr:row>
      <xdr:rowOff>9525</xdr:rowOff>
    </xdr:from>
    <xdr:to>
      <xdr:col>10</xdr:col>
      <xdr:colOff>593726</xdr:colOff>
      <xdr:row>23</xdr:row>
      <xdr:rowOff>161925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9951" y="971550"/>
          <a:ext cx="4813300" cy="3609975"/>
        </a:xfrm>
        <a:prstGeom prst="rect">
          <a:avLst/>
        </a:prstGeom>
      </xdr:spPr>
    </xdr:pic>
    <xdr:clientData/>
  </xdr:twoCellAnchor>
  <xdr:twoCellAnchor editAs="oneCell">
    <xdr:from>
      <xdr:col>19</xdr:col>
      <xdr:colOff>11430</xdr:colOff>
      <xdr:row>7</xdr:row>
      <xdr:rowOff>1906</xdr:rowOff>
    </xdr:from>
    <xdr:to>
      <xdr:col>26</xdr:col>
      <xdr:colOff>554355</xdr:colOff>
      <xdr:row>25</xdr:row>
      <xdr:rowOff>151925</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164050" y="1495426"/>
          <a:ext cx="4810125" cy="3464719"/>
        </a:xfrm>
        <a:prstGeom prst="rect">
          <a:avLst/>
        </a:prstGeom>
      </xdr:spPr>
    </xdr:pic>
    <xdr:clientData/>
  </xdr:twoCellAnchor>
  <xdr:twoCellAnchor editAs="oneCell">
    <xdr:from>
      <xdr:col>3</xdr:col>
      <xdr:colOff>171450</xdr:colOff>
      <xdr:row>24</xdr:row>
      <xdr:rowOff>71436</xdr:rowOff>
    </xdr:from>
    <xdr:to>
      <xdr:col>10</xdr:col>
      <xdr:colOff>155575</xdr:colOff>
      <xdr:row>41</xdr:row>
      <xdr:rowOff>76200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219950" y="4691061"/>
          <a:ext cx="4375150" cy="3281364"/>
        </a:xfrm>
        <a:prstGeom prst="rect">
          <a:avLst/>
        </a:prstGeom>
      </xdr:spPr>
    </xdr:pic>
    <xdr:clientData/>
  </xdr:twoCellAnchor>
  <xdr:twoCellAnchor editAs="oneCell">
    <xdr:from>
      <xdr:col>10</xdr:col>
      <xdr:colOff>600075</xdr:colOff>
      <xdr:row>6</xdr:row>
      <xdr:rowOff>65246</xdr:rowOff>
    </xdr:from>
    <xdr:to>
      <xdr:col>18</xdr:col>
      <xdr:colOff>457199</xdr:colOff>
      <xdr:row>24</xdr:row>
      <xdr:rowOff>165734</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266295" y="1368266"/>
          <a:ext cx="4733924" cy="3407568"/>
        </a:xfrm>
        <a:prstGeom prst="rect">
          <a:avLst/>
        </a:prstGeom>
      </xdr:spPr>
    </xdr:pic>
    <xdr:clientData/>
  </xdr:twoCellAnchor>
  <xdr:twoCellAnchor editAs="oneCell">
    <xdr:from>
      <xdr:col>3</xdr:col>
      <xdr:colOff>198120</xdr:colOff>
      <xdr:row>43</xdr:row>
      <xdr:rowOff>34290</xdr:rowOff>
    </xdr:from>
    <xdr:to>
      <xdr:col>11</xdr:col>
      <xdr:colOff>38100</xdr:colOff>
      <xdr:row>63</xdr:row>
      <xdr:rowOff>22860</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452360" y="8721090"/>
          <a:ext cx="4861560" cy="364617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644650</xdr:colOff>
      <xdr:row>12</xdr:row>
      <xdr:rowOff>19050</xdr:rowOff>
    </xdr:from>
    <xdr:to>
      <xdr:col>11</xdr:col>
      <xdr:colOff>114798</xdr:colOff>
      <xdr:row>37</xdr:row>
      <xdr:rowOff>171450</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454900" y="2895600"/>
          <a:ext cx="6585323" cy="4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452120</xdr:colOff>
      <xdr:row>92</xdr:row>
      <xdr:rowOff>182880</xdr:rowOff>
    </xdr:from>
    <xdr:to>
      <xdr:col>7</xdr:col>
      <xdr:colOff>1082040</xdr:colOff>
      <xdr:row>115</xdr:row>
      <xdr:rowOff>15240</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07200" y="18341340"/>
          <a:ext cx="5415280" cy="406146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27</xdr:row>
      <xdr:rowOff>176250</xdr:rowOff>
    </xdr:from>
    <xdr:to>
      <xdr:col>1</xdr:col>
      <xdr:colOff>2485975</xdr:colOff>
      <xdr:row>48</xdr:row>
      <xdr:rowOff>76200</xdr:rowOff>
    </xdr:to>
    <xdr:pic>
      <xdr:nvPicPr>
        <xdr:cNvPr id="5" name="Picture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5529300"/>
          <a:ext cx="5200600" cy="3900450"/>
        </a:xfrm>
        <a:prstGeom prst="rect">
          <a:avLst/>
        </a:prstGeom>
      </xdr:spPr>
    </xdr:pic>
    <xdr:clientData/>
  </xdr:twoCellAnchor>
  <xdr:twoCellAnchor editAs="oneCell">
    <xdr:from>
      <xdr:col>7</xdr:col>
      <xdr:colOff>14300</xdr:colOff>
      <xdr:row>29</xdr:row>
      <xdr:rowOff>76200</xdr:rowOff>
    </xdr:from>
    <xdr:to>
      <xdr:col>13</xdr:col>
      <xdr:colOff>14250</xdr:colOff>
      <xdr:row>49</xdr:row>
      <xdr:rowOff>166650</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691825" y="5810250"/>
          <a:ext cx="5200600" cy="3900450"/>
        </a:xfrm>
        <a:prstGeom prst="rect">
          <a:avLst/>
        </a:prstGeom>
      </xdr:spPr>
    </xdr:pic>
    <xdr:clientData/>
  </xdr:twoCellAnchor>
  <xdr:twoCellAnchor editAs="oneCell">
    <xdr:from>
      <xdr:col>3</xdr:col>
      <xdr:colOff>419100</xdr:colOff>
      <xdr:row>28</xdr:row>
      <xdr:rowOff>161925</xdr:rowOff>
    </xdr:from>
    <xdr:to>
      <xdr:col>6</xdr:col>
      <xdr:colOff>1549399</xdr:colOff>
      <xdr:row>48</xdr:row>
      <xdr:rowOff>114300</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362575" y="5705475"/>
          <a:ext cx="5016499" cy="3762375"/>
        </a:xfrm>
        <a:prstGeom prst="rect">
          <a:avLst/>
        </a:prstGeom>
      </xdr:spPr>
    </xdr:pic>
    <xdr:clientData/>
  </xdr:twoCellAnchor>
  <xdr:twoCellAnchor editAs="oneCell">
    <xdr:from>
      <xdr:col>3</xdr:col>
      <xdr:colOff>95250</xdr:colOff>
      <xdr:row>52</xdr:row>
      <xdr:rowOff>138112</xdr:rowOff>
    </xdr:from>
    <xdr:to>
      <xdr:col>6</xdr:col>
      <xdr:colOff>590550</xdr:colOff>
      <xdr:row>70</xdr:row>
      <xdr:rowOff>2858</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210300" y="10253662"/>
          <a:ext cx="4381500" cy="3286126"/>
        </a:xfrm>
        <a:prstGeom prst="rect">
          <a:avLst/>
        </a:prstGeom>
      </xdr:spPr>
    </xdr:pic>
    <xdr:clientData/>
  </xdr:twoCellAnchor>
  <xdr:twoCellAnchor editAs="oneCell">
    <xdr:from>
      <xdr:col>6</xdr:col>
      <xdr:colOff>1028699</xdr:colOff>
      <xdr:row>52</xdr:row>
      <xdr:rowOff>177994</xdr:rowOff>
    </xdr:from>
    <xdr:to>
      <xdr:col>10</xdr:col>
      <xdr:colOff>1097505</xdr:colOff>
      <xdr:row>69</xdr:row>
      <xdr:rowOff>84342</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029949" y="10293544"/>
          <a:ext cx="4193131" cy="3144848"/>
        </a:xfrm>
        <a:prstGeom prst="rect">
          <a:avLst/>
        </a:prstGeom>
      </xdr:spPr>
    </xdr:pic>
    <xdr:clientData/>
  </xdr:twoCellAnchor>
  <xdr:twoCellAnchor editAs="oneCell">
    <xdr:from>
      <xdr:col>10</xdr:col>
      <xdr:colOff>1233450</xdr:colOff>
      <xdr:row>52</xdr:row>
      <xdr:rowOff>147600</xdr:rowOff>
    </xdr:from>
    <xdr:to>
      <xdr:col>15</xdr:col>
      <xdr:colOff>276224</xdr:colOff>
      <xdr:row>69</xdr:row>
      <xdr:rowOff>95249</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359025" y="10263150"/>
          <a:ext cx="3186149" cy="3186149"/>
        </a:xfrm>
        <a:prstGeom prst="rect">
          <a:avLst/>
        </a:prstGeom>
      </xdr:spPr>
    </xdr:pic>
    <xdr:clientData/>
  </xdr:twoCellAnchor>
  <xdr:twoCellAnchor editAs="oneCell">
    <xdr:from>
      <xdr:col>3</xdr:col>
      <xdr:colOff>19050</xdr:colOff>
      <xdr:row>70</xdr:row>
      <xdr:rowOff>104775</xdr:rowOff>
    </xdr:from>
    <xdr:to>
      <xdr:col>6</xdr:col>
      <xdr:colOff>666750</xdr:colOff>
      <xdr:row>88</xdr:row>
      <xdr:rowOff>130175</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134100" y="13649325"/>
          <a:ext cx="4533900" cy="3454400"/>
        </a:xfrm>
        <a:prstGeom prst="rect">
          <a:avLst/>
        </a:prstGeom>
      </xdr:spPr>
    </xdr:pic>
    <xdr:clientData/>
  </xdr:twoCellAnchor>
  <xdr:twoCellAnchor editAs="oneCell">
    <xdr:from>
      <xdr:col>6</xdr:col>
      <xdr:colOff>857250</xdr:colOff>
      <xdr:row>70</xdr:row>
      <xdr:rowOff>93317</xdr:rowOff>
    </xdr:from>
    <xdr:to>
      <xdr:col>10</xdr:col>
      <xdr:colOff>1228725</xdr:colOff>
      <xdr:row>88</xdr:row>
      <xdr:rowOff>89688</xdr:rowOff>
    </xdr:to>
    <xdr:pic>
      <xdr:nvPicPr>
        <xdr:cNvPr id="9" name="Picture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858500" y="13637867"/>
          <a:ext cx="4495800" cy="342537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685800</xdr:colOff>
      <xdr:row>14</xdr:row>
      <xdr:rowOff>142875</xdr:rowOff>
    </xdr:from>
    <xdr:to>
      <xdr:col>6</xdr:col>
      <xdr:colOff>1144562</xdr:colOff>
      <xdr:row>46</xdr:row>
      <xdr:rowOff>114301</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733550" y="1857375"/>
          <a:ext cx="8088287" cy="6067426"/>
        </a:xfrm>
        <a:prstGeom prst="rect">
          <a:avLst/>
        </a:prstGeom>
      </xdr:spPr>
    </xdr:pic>
    <xdr:clientData/>
  </xdr:twoCellAnchor>
  <xdr:twoCellAnchor editAs="oneCell">
    <xdr:from>
      <xdr:col>13</xdr:col>
      <xdr:colOff>266699</xdr:colOff>
      <xdr:row>3</xdr:row>
      <xdr:rowOff>28574</xdr:rowOff>
    </xdr:from>
    <xdr:to>
      <xdr:col>30</xdr:col>
      <xdr:colOff>25400</xdr:colOff>
      <xdr:row>43</xdr:row>
      <xdr:rowOff>0</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916274" y="409574"/>
          <a:ext cx="10121901" cy="759142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652461</xdr:colOff>
      <xdr:row>13</xdr:row>
      <xdr:rowOff>23812</xdr:rowOff>
    </xdr:from>
    <xdr:to>
      <xdr:col>8</xdr:col>
      <xdr:colOff>923924</xdr:colOff>
      <xdr:row>34</xdr:row>
      <xdr:rowOff>1312</xdr:rowOff>
    </xdr:to>
    <xdr:pic>
      <xdr:nvPicPr>
        <xdr:cNvPr id="3" name="Picture 2">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310311" y="2690812"/>
          <a:ext cx="5262563" cy="397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742950</xdr:colOff>
      <xdr:row>41</xdr:row>
      <xdr:rowOff>76200</xdr:rowOff>
    </xdr:from>
    <xdr:to>
      <xdr:col>6</xdr:col>
      <xdr:colOff>120650</xdr:colOff>
      <xdr:row>58</xdr:row>
      <xdr:rowOff>114300</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19600" y="8077200"/>
          <a:ext cx="4368800" cy="3276600"/>
        </a:xfrm>
        <a:prstGeom prst="rect">
          <a:avLst/>
        </a:prstGeom>
      </xdr:spPr>
    </xdr:pic>
    <xdr:clientData/>
  </xdr:twoCellAnchor>
  <xdr:twoCellAnchor editAs="oneCell">
    <xdr:from>
      <xdr:col>6</xdr:col>
      <xdr:colOff>788200</xdr:colOff>
      <xdr:row>41</xdr:row>
      <xdr:rowOff>47624</xdr:rowOff>
    </xdr:from>
    <xdr:to>
      <xdr:col>11</xdr:col>
      <xdr:colOff>133350</xdr:colOff>
      <xdr:row>58</xdr:row>
      <xdr:rowOff>89887</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455950" y="8048624"/>
          <a:ext cx="4374350" cy="32807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381000</xdr:colOff>
      <xdr:row>12</xdr:row>
      <xdr:rowOff>180975</xdr:rowOff>
    </xdr:from>
    <xdr:to>
      <xdr:col>6</xdr:col>
      <xdr:colOff>352798</xdr:colOff>
      <xdr:row>33</xdr:row>
      <xdr:rowOff>19050</xdr:rowOff>
    </xdr:to>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52875" y="781050"/>
          <a:ext cx="5156200" cy="3867150"/>
        </a:xfrm>
        <a:prstGeom prst="rect">
          <a:avLst/>
        </a:prstGeom>
      </xdr:spPr>
    </xdr:pic>
    <xdr:clientData/>
  </xdr:twoCellAnchor>
  <xdr:twoCellAnchor editAs="oneCell">
    <xdr:from>
      <xdr:col>6</xdr:col>
      <xdr:colOff>369794</xdr:colOff>
      <xdr:row>12</xdr:row>
      <xdr:rowOff>136711</xdr:rowOff>
    </xdr:from>
    <xdr:to>
      <xdr:col>15</xdr:col>
      <xdr:colOff>64995</xdr:colOff>
      <xdr:row>32</xdr:row>
      <xdr:rowOff>173131</xdr:rowOff>
    </xdr:to>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597653" y="2826123"/>
          <a:ext cx="5181601" cy="3649197"/>
        </a:xfrm>
        <a:prstGeom prst="rect">
          <a:avLst/>
        </a:prstGeom>
      </xdr:spPr>
    </xdr:pic>
    <xdr:clientData/>
  </xdr:twoCellAnchor>
  <xdr:twoCellAnchor editAs="oneCell">
    <xdr:from>
      <xdr:col>15</xdr:col>
      <xdr:colOff>154081</xdr:colOff>
      <xdr:row>12</xdr:row>
      <xdr:rowOff>172010</xdr:rowOff>
    </xdr:from>
    <xdr:to>
      <xdr:col>23</xdr:col>
      <xdr:colOff>484282</xdr:colOff>
      <xdr:row>33</xdr:row>
      <xdr:rowOff>48185</xdr:rowOff>
    </xdr:to>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868340" y="2861422"/>
          <a:ext cx="5207001" cy="3668246"/>
        </a:xfrm>
        <a:prstGeom prst="rect">
          <a:avLst/>
        </a:prstGeom>
      </xdr:spPr>
    </xdr:pic>
    <xdr:clientData/>
  </xdr:twoCellAnchor>
  <xdr:twoCellAnchor editAs="oneCell">
    <xdr:from>
      <xdr:col>3</xdr:col>
      <xdr:colOff>219074</xdr:colOff>
      <xdr:row>35</xdr:row>
      <xdr:rowOff>123825</xdr:rowOff>
    </xdr:from>
    <xdr:to>
      <xdr:col>5</xdr:col>
      <xdr:colOff>101974</xdr:colOff>
      <xdr:row>53</xdr:row>
      <xdr:rowOff>28576</xdr:rowOff>
    </xdr:to>
    <xdr:pic>
      <xdr:nvPicPr>
        <xdr:cNvPr id="5" name="Picture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876674" y="5143500"/>
          <a:ext cx="4457701" cy="3343276"/>
        </a:xfrm>
        <a:prstGeom prst="rect">
          <a:avLst/>
        </a:prstGeom>
      </xdr:spPr>
    </xdr:pic>
    <xdr:clientData/>
  </xdr:twoCellAnchor>
  <xdr:twoCellAnchor editAs="oneCell">
    <xdr:from>
      <xdr:col>5</xdr:col>
      <xdr:colOff>396688</xdr:colOff>
      <xdr:row>36</xdr:row>
      <xdr:rowOff>139</xdr:rowOff>
    </xdr:from>
    <xdr:to>
      <xdr:col>13</xdr:col>
      <xdr:colOff>63313</xdr:colOff>
      <xdr:row>53</xdr:row>
      <xdr:rowOff>157442</xdr:rowOff>
    </xdr:to>
    <xdr:pic>
      <xdr:nvPicPr>
        <xdr:cNvPr id="6" name="Picture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014947" y="7055363"/>
          <a:ext cx="4543425" cy="3205303"/>
        </a:xfrm>
        <a:prstGeom prst="rect">
          <a:avLst/>
        </a:prstGeom>
      </xdr:spPr>
    </xdr:pic>
    <xdr:clientData/>
  </xdr:twoCellAnchor>
  <xdr:twoCellAnchor editAs="oneCell">
    <xdr:from>
      <xdr:col>3</xdr:col>
      <xdr:colOff>161924</xdr:colOff>
      <xdr:row>56</xdr:row>
      <xdr:rowOff>112059</xdr:rowOff>
    </xdr:from>
    <xdr:to>
      <xdr:col>4</xdr:col>
      <xdr:colOff>2865227</xdr:colOff>
      <xdr:row>73</xdr:row>
      <xdr:rowOff>9525</xdr:rowOff>
    </xdr:to>
    <xdr:pic>
      <xdr:nvPicPr>
        <xdr:cNvPr id="7" name="Picture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29424" y="10903324"/>
          <a:ext cx="4173515" cy="3147172"/>
        </a:xfrm>
        <a:prstGeom prst="rect">
          <a:avLst/>
        </a:prstGeom>
      </xdr:spPr>
    </xdr:pic>
    <xdr:clientData/>
  </xdr:twoCellAnchor>
  <xdr:twoCellAnchor editAs="oneCell">
    <xdr:from>
      <xdr:col>5</xdr:col>
      <xdr:colOff>2453</xdr:colOff>
      <xdr:row>57</xdr:row>
      <xdr:rowOff>101010</xdr:rowOff>
    </xdr:from>
    <xdr:to>
      <xdr:col>12</xdr:col>
      <xdr:colOff>78441</xdr:colOff>
      <xdr:row>74</xdr:row>
      <xdr:rowOff>94128</xdr:rowOff>
    </xdr:to>
    <xdr:pic>
      <xdr:nvPicPr>
        <xdr:cNvPr id="8" name="Picture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620712" y="10957269"/>
          <a:ext cx="4343188" cy="3041118"/>
        </a:xfrm>
        <a:prstGeom prst="rect">
          <a:avLst/>
        </a:prstGeom>
      </xdr:spPr>
    </xdr:pic>
    <xdr:clientData/>
  </xdr:twoCellAnchor>
  <xdr:twoCellAnchor editAs="oneCell">
    <xdr:from>
      <xdr:col>12</xdr:col>
      <xdr:colOff>322782</xdr:colOff>
      <xdr:row>57</xdr:row>
      <xdr:rowOff>174810</xdr:rowOff>
    </xdr:from>
    <xdr:to>
      <xdr:col>19</xdr:col>
      <xdr:colOff>398771</xdr:colOff>
      <xdr:row>74</xdr:row>
      <xdr:rowOff>167928</xdr:rowOff>
    </xdr:to>
    <xdr:pic>
      <xdr:nvPicPr>
        <xdr:cNvPr id="9" name="Picture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6208241" y="11031069"/>
          <a:ext cx="4343189" cy="3041118"/>
        </a:xfrm>
        <a:prstGeom prst="rect">
          <a:avLst/>
        </a:prstGeom>
      </xdr:spPr>
    </xdr:pic>
    <xdr:clientData/>
  </xdr:twoCellAnchor>
  <xdr:twoCellAnchor editAs="oneCell">
    <xdr:from>
      <xdr:col>4</xdr:col>
      <xdr:colOff>515470</xdr:colOff>
      <xdr:row>77</xdr:row>
      <xdr:rowOff>44823</xdr:rowOff>
    </xdr:from>
    <xdr:to>
      <xdr:col>11</xdr:col>
      <xdr:colOff>537881</xdr:colOff>
      <xdr:row>103</xdr:row>
      <xdr:rowOff>50426</xdr:rowOff>
    </xdr:to>
    <xdr:pic>
      <xdr:nvPicPr>
        <xdr:cNvPr id="10" name="Picture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919882" y="13144499"/>
          <a:ext cx="6656294" cy="4992221"/>
        </a:xfrm>
        <a:prstGeom prst="rect">
          <a:avLst/>
        </a:prstGeom>
      </xdr:spPr>
    </xdr:pic>
    <xdr:clientData/>
  </xdr:twoCellAnchor>
  <xdr:twoCellAnchor editAs="oneCell">
    <xdr:from>
      <xdr:col>14</xdr:col>
      <xdr:colOff>414618</xdr:colOff>
      <xdr:row>77</xdr:row>
      <xdr:rowOff>11205</xdr:rowOff>
    </xdr:from>
    <xdr:to>
      <xdr:col>25</xdr:col>
      <xdr:colOff>437028</xdr:colOff>
      <xdr:row>103</xdr:row>
      <xdr:rowOff>33616</xdr:rowOff>
    </xdr:to>
    <xdr:pic>
      <xdr:nvPicPr>
        <xdr:cNvPr id="11" name="Picture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5643412" y="13110881"/>
          <a:ext cx="6678705" cy="5009029"/>
        </a:xfrm>
        <a:prstGeom prst="rect">
          <a:avLst/>
        </a:prstGeom>
      </xdr:spPr>
    </xdr:pic>
    <xdr:clientData/>
  </xdr:twoCellAnchor>
  <xdr:twoCellAnchor editAs="oneCell">
    <xdr:from>
      <xdr:col>2</xdr:col>
      <xdr:colOff>840441</xdr:colOff>
      <xdr:row>307</xdr:row>
      <xdr:rowOff>2</xdr:rowOff>
    </xdr:from>
    <xdr:to>
      <xdr:col>4</xdr:col>
      <xdr:colOff>526677</xdr:colOff>
      <xdr:row>313</xdr:row>
      <xdr:rowOff>81245</xdr:rowOff>
    </xdr:to>
    <xdr:pic>
      <xdr:nvPicPr>
        <xdr:cNvPr id="12" name="Picture 11" descr="http://keisan.casio.com/has10/mimetex.cgi?\normal%20Circular\%20truncated\%20cone\\%3Cbr%20/%3E(1)\%20volume:\hspace%7b10%7d%20V=%7b\large\frac%7b1%7d%7b3%7d%7d\pi(%7br_1%7d%5e2+r_1r_2+%7br_2%7d%5e2)h\\%3Cbr%20/%3E(2)\%20lateral\%20area:\\%3Cbr%20/%3E\hspace%7b90%7d%20F=\pi(r_1+r_2)\sqrt%7b(r_1-r_2)%5e2+h%5e2%7d\\%3Cbr%20/%3E(3)\%20surface\%20area:\\%3Cbr%20/%3E\hspace%7b90%7d%20S=F+\pi(%7br_1%7d%5e2+%7br_2%7d%5e2)\\">
          <a:extLst>
            <a:ext uri="{FF2B5EF4-FFF2-40B4-BE49-F238E27FC236}">
              <a16:creationId xmlns:a16="http://schemas.microsoft.com/office/drawing/2014/main" id="{00000000-0008-0000-07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927912" y="55794090"/>
          <a:ext cx="2817159" cy="1224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1019734</xdr:colOff>
      <xdr:row>298</xdr:row>
      <xdr:rowOff>156883</xdr:rowOff>
    </xdr:from>
    <xdr:to>
      <xdr:col>3</xdr:col>
      <xdr:colOff>821390</xdr:colOff>
      <xdr:row>305</xdr:row>
      <xdr:rowOff>28576</xdr:rowOff>
    </xdr:to>
    <xdr:pic>
      <xdr:nvPicPr>
        <xdr:cNvPr id="13" name="Picture 12" descr="Volume of a circular truncated cone">
          <a:extLst>
            <a:ext uri="{FF2B5EF4-FFF2-40B4-BE49-F238E27FC236}">
              <a16:creationId xmlns:a16="http://schemas.microsoft.com/office/drawing/2014/main" id="{00000000-0008-0000-07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107205" y="54236471"/>
          <a:ext cx="1381686" cy="1205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324970</xdr:colOff>
      <xdr:row>139</xdr:row>
      <xdr:rowOff>112060</xdr:rowOff>
    </xdr:from>
    <xdr:to>
      <xdr:col>15</xdr:col>
      <xdr:colOff>145673</xdr:colOff>
      <xdr:row>174</xdr:row>
      <xdr:rowOff>89647</xdr:rowOff>
    </xdr:to>
    <xdr:pic>
      <xdr:nvPicPr>
        <xdr:cNvPr id="14" name="Picture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933764" y="23756472"/>
          <a:ext cx="8875057" cy="6656293"/>
        </a:xfrm>
        <a:prstGeom prst="rect">
          <a:avLst/>
        </a:prstGeom>
      </xdr:spPr>
    </xdr:pic>
    <xdr:clientData/>
  </xdr:twoCellAnchor>
  <xdr:twoCellAnchor editAs="oneCell">
    <xdr:from>
      <xdr:col>3</xdr:col>
      <xdr:colOff>661147</xdr:colOff>
      <xdr:row>179</xdr:row>
      <xdr:rowOff>179294</xdr:rowOff>
    </xdr:from>
    <xdr:to>
      <xdr:col>15</xdr:col>
      <xdr:colOff>118782</xdr:colOff>
      <xdr:row>219</xdr:row>
      <xdr:rowOff>91888</xdr:rowOff>
    </xdr:to>
    <xdr:pic>
      <xdr:nvPicPr>
        <xdr:cNvPr id="15" name="Picture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7328647" y="31488529"/>
          <a:ext cx="10058400" cy="7543800"/>
        </a:xfrm>
        <a:prstGeom prst="rect">
          <a:avLst/>
        </a:prstGeom>
      </xdr:spPr>
    </xdr:pic>
    <xdr:clientData/>
  </xdr:twoCellAnchor>
  <xdr:twoCellAnchor editAs="oneCell">
    <xdr:from>
      <xdr:col>4</xdr:col>
      <xdr:colOff>717177</xdr:colOff>
      <xdr:row>258</xdr:row>
      <xdr:rowOff>67234</xdr:rowOff>
    </xdr:from>
    <xdr:to>
      <xdr:col>12</xdr:col>
      <xdr:colOff>380999</xdr:colOff>
      <xdr:row>285</xdr:row>
      <xdr:rowOff>100851</xdr:rowOff>
    </xdr:to>
    <xdr:pic>
      <xdr:nvPicPr>
        <xdr:cNvPr id="16" name="Picture 15">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8325971" y="46481999"/>
          <a:ext cx="6902823" cy="5177117"/>
        </a:xfrm>
        <a:prstGeom prst="rect">
          <a:avLst/>
        </a:prstGeom>
      </xdr:spPr>
    </xdr:pic>
    <xdr:clientData/>
  </xdr:twoCellAnchor>
  <xdr:twoCellAnchor editAs="oneCell">
    <xdr:from>
      <xdr:col>3</xdr:col>
      <xdr:colOff>123265</xdr:colOff>
      <xdr:row>317</xdr:row>
      <xdr:rowOff>33618</xdr:rowOff>
    </xdr:from>
    <xdr:to>
      <xdr:col>8</xdr:col>
      <xdr:colOff>302559</xdr:colOff>
      <xdr:row>342</xdr:row>
      <xdr:rowOff>168088</xdr:rowOff>
    </xdr:to>
    <xdr:pic>
      <xdr:nvPicPr>
        <xdr:cNvPr id="17" name="Picture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790765" y="57766324"/>
          <a:ext cx="6544235" cy="4908176"/>
        </a:xfrm>
        <a:prstGeom prst="rect">
          <a:avLst/>
        </a:prstGeom>
      </xdr:spPr>
    </xdr:pic>
    <xdr:clientData/>
  </xdr:twoCellAnchor>
  <xdr:twoCellAnchor editAs="oneCell">
    <xdr:from>
      <xdr:col>10</xdr:col>
      <xdr:colOff>56028</xdr:colOff>
      <xdr:row>317</xdr:row>
      <xdr:rowOff>22413</xdr:rowOff>
    </xdr:from>
    <xdr:to>
      <xdr:col>20</xdr:col>
      <xdr:colOff>536015</xdr:colOff>
      <xdr:row>342</xdr:row>
      <xdr:rowOff>147079</xdr:rowOff>
    </xdr:to>
    <xdr:pic>
      <xdr:nvPicPr>
        <xdr:cNvPr id="18" name="Picture 17">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3693587" y="57755119"/>
          <a:ext cx="6531163" cy="4898372"/>
        </a:xfrm>
        <a:prstGeom prst="rect">
          <a:avLst/>
        </a:prstGeom>
      </xdr:spPr>
    </xdr:pic>
    <xdr:clientData/>
  </xdr:twoCellAnchor>
  <xdr:twoCellAnchor editAs="oneCell">
    <xdr:from>
      <xdr:col>5</xdr:col>
      <xdr:colOff>0</xdr:colOff>
      <xdr:row>298</xdr:row>
      <xdr:rowOff>0</xdr:rowOff>
    </xdr:from>
    <xdr:to>
      <xdr:col>5</xdr:col>
      <xdr:colOff>304800</xdr:colOff>
      <xdr:row>299</xdr:row>
      <xdr:rowOff>121920</xdr:rowOff>
    </xdr:to>
    <xdr:sp macro="" textlink="">
      <xdr:nvSpPr>
        <xdr:cNvPr id="17409" name=":ow" descr="https://mail.google.com/mail/u/0/?ui=2&amp;ik=a0901a267a&amp;view=fimg&amp;th=15a065d02b194f53&amp;attid=0.1&amp;disp=thd&amp;attbid=ANGjdJ-P3dX3ODe3-wTM-Izisl7D1qPC3n_OomhYWG-dPAqYZAaHmZXjmSFXMbJHaCm3M2sYe0-D0LBquhShpffAtu7ODv4jCDasQOdO0yF7HOmK6Yk8LeheB5Vyw5k&amp;sz=w180-h120-df-p-nu&amp;ats=1486165444359&amp;rm=15a065d02b194f53&amp;zw">
          <a:hlinkClick xmlns:r="http://schemas.openxmlformats.org/officeDocument/2006/relationships" r:id="rId18" tgtFrame="_blank"/>
          <a:extLst>
            <a:ext uri="{FF2B5EF4-FFF2-40B4-BE49-F238E27FC236}">
              <a16:creationId xmlns:a16="http://schemas.microsoft.com/office/drawing/2014/main" id="{00000000-0008-0000-0700-000001440000}"/>
            </a:ext>
          </a:extLst>
        </xdr:cNvPr>
        <xdr:cNvSpPr>
          <a:spLocks noChangeAspect="1" noChangeArrowheads="1"/>
        </xdr:cNvSpPr>
      </xdr:nvSpPr>
      <xdr:spPr bwMode="auto">
        <a:xfrm>
          <a:off x="11513820" y="54787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299</xdr:row>
      <xdr:rowOff>0</xdr:rowOff>
    </xdr:from>
    <xdr:to>
      <xdr:col>5</xdr:col>
      <xdr:colOff>7620</xdr:colOff>
      <xdr:row>299</xdr:row>
      <xdr:rowOff>7620</xdr:rowOff>
    </xdr:to>
    <xdr:pic>
      <xdr:nvPicPr>
        <xdr:cNvPr id="20" name="Picture 19" descr="https://ssl.gstatic.com/ui/v1/icons/mail/images/cleardot.gif">
          <a:hlinkClick xmlns:r="http://schemas.openxmlformats.org/officeDocument/2006/relationships" r:id="rId18" tgtFrame="_blank"/>
          <a:extLst>
            <a:ext uri="{FF2B5EF4-FFF2-40B4-BE49-F238E27FC236}">
              <a16:creationId xmlns:a16="http://schemas.microsoft.com/office/drawing/2014/main" id="{00000000-0008-0000-07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1513820" y="54970680"/>
          <a:ext cx="7620" cy="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1345451</xdr:colOff>
      <xdr:row>288</xdr:row>
      <xdr:rowOff>152406</xdr:rowOff>
    </xdr:from>
    <xdr:to>
      <xdr:col>7</xdr:col>
      <xdr:colOff>121206</xdr:colOff>
      <xdr:row>311</xdr:row>
      <xdr:rowOff>97868</xdr:rowOff>
    </xdr:to>
    <xdr:pic>
      <xdr:nvPicPr>
        <xdr:cNvPr id="19" name="Picture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rot="5400000">
          <a:off x="9259139" y="52607048"/>
          <a:ext cx="4105085" cy="3078814"/>
        </a:xfrm>
        <a:prstGeom prst="rect">
          <a:avLst/>
        </a:prstGeom>
      </xdr:spPr>
    </xdr:pic>
    <xdr:clientData/>
  </xdr:twoCellAnchor>
  <xdr:twoCellAnchor editAs="oneCell">
    <xdr:from>
      <xdr:col>7</xdr:col>
      <xdr:colOff>358589</xdr:colOff>
      <xdr:row>290</xdr:row>
      <xdr:rowOff>26896</xdr:rowOff>
    </xdr:from>
    <xdr:to>
      <xdr:col>15</xdr:col>
      <xdr:colOff>528919</xdr:colOff>
      <xdr:row>311</xdr:row>
      <xdr:rowOff>152277</xdr:rowOff>
    </xdr:to>
    <xdr:pic>
      <xdr:nvPicPr>
        <xdr:cNvPr id="22" name="Picture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3088471" y="52353884"/>
          <a:ext cx="5047130" cy="3899522"/>
        </a:xfrm>
        <a:prstGeom prst="rect">
          <a:avLst/>
        </a:prstGeom>
      </xdr:spPr>
    </xdr:pic>
    <xdr:clientData/>
  </xdr:twoCellAnchor>
  <xdr:twoCellAnchor editAs="oneCell">
    <xdr:from>
      <xdr:col>4</xdr:col>
      <xdr:colOff>477110</xdr:colOff>
      <xdr:row>118</xdr:row>
      <xdr:rowOff>159514</xdr:rowOff>
    </xdr:from>
    <xdr:to>
      <xdr:col>8</xdr:col>
      <xdr:colOff>131333</xdr:colOff>
      <xdr:row>136</xdr:row>
      <xdr:rowOff>49306</xdr:rowOff>
    </xdr:to>
    <xdr:pic>
      <xdr:nvPicPr>
        <xdr:cNvPr id="25" name="Picture 2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9011510" y="21988573"/>
          <a:ext cx="4566882" cy="3170874"/>
        </a:xfrm>
        <a:prstGeom prst="rect">
          <a:avLst/>
        </a:prstGeom>
      </xdr:spPr>
    </xdr:pic>
    <xdr:clientData/>
  </xdr:twoCellAnchor>
  <xdr:twoCellAnchor editAs="oneCell">
    <xdr:from>
      <xdr:col>8</xdr:col>
      <xdr:colOff>322729</xdr:colOff>
      <xdr:row>117</xdr:row>
      <xdr:rowOff>83436</xdr:rowOff>
    </xdr:from>
    <xdr:to>
      <xdr:col>15</xdr:col>
      <xdr:colOff>601821</xdr:colOff>
      <xdr:row>134</xdr:row>
      <xdr:rowOff>178687</xdr:rowOff>
    </xdr:to>
    <xdr:pic>
      <xdr:nvPicPr>
        <xdr:cNvPr id="26" name="Picture 25">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3769788" y="21733201"/>
          <a:ext cx="4546292" cy="317911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16</xdr:col>
      <xdr:colOff>581025</xdr:colOff>
      <xdr:row>11</xdr:row>
      <xdr:rowOff>47625</xdr:rowOff>
    </xdr:from>
    <xdr:to>
      <xdr:col>24</xdr:col>
      <xdr:colOff>212725</xdr:colOff>
      <xdr:row>29</xdr:row>
      <xdr:rowOff>0</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058900" y="2324100"/>
          <a:ext cx="4508500" cy="3381375"/>
        </a:xfrm>
        <a:prstGeom prst="rect">
          <a:avLst/>
        </a:prstGeom>
      </xdr:spPr>
    </xdr:pic>
    <xdr:clientData/>
  </xdr:twoCellAnchor>
  <xdr:twoCellAnchor editAs="oneCell">
    <xdr:from>
      <xdr:col>24</xdr:col>
      <xdr:colOff>466725</xdr:colOff>
      <xdr:row>10</xdr:row>
      <xdr:rowOff>95250</xdr:rowOff>
    </xdr:from>
    <xdr:to>
      <xdr:col>33</xdr:col>
      <xdr:colOff>47625</xdr:colOff>
      <xdr:row>30</xdr:row>
      <xdr:rowOff>95250</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821400" y="2190750"/>
          <a:ext cx="5067300" cy="3800475"/>
        </a:xfrm>
        <a:prstGeom prst="rect">
          <a:avLst/>
        </a:prstGeom>
      </xdr:spPr>
    </xdr:pic>
    <xdr:clientData/>
  </xdr:twoCellAnchor>
  <xdr:twoCellAnchor editAs="oneCell">
    <xdr:from>
      <xdr:col>9</xdr:col>
      <xdr:colOff>590550</xdr:colOff>
      <xdr:row>15</xdr:row>
      <xdr:rowOff>142875</xdr:rowOff>
    </xdr:from>
    <xdr:to>
      <xdr:col>16</xdr:col>
      <xdr:colOff>523875</xdr:colOff>
      <xdr:row>32</xdr:row>
      <xdr:rowOff>54769</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01225" y="3181350"/>
          <a:ext cx="4200525" cy="3150394"/>
        </a:xfrm>
        <a:prstGeom prst="rect">
          <a:avLst/>
        </a:prstGeom>
      </xdr:spPr>
    </xdr:pic>
    <xdr:clientData/>
  </xdr:twoCellAnchor>
  <xdr:twoCellAnchor editAs="oneCell">
    <xdr:from>
      <xdr:col>4</xdr:col>
      <xdr:colOff>219074</xdr:colOff>
      <xdr:row>13</xdr:row>
      <xdr:rowOff>178593</xdr:rowOff>
    </xdr:from>
    <xdr:to>
      <xdr:col>9</xdr:col>
      <xdr:colOff>514349</xdr:colOff>
      <xdr:row>32</xdr:row>
      <xdr:rowOff>66674</xdr:rowOff>
    </xdr:to>
    <xdr:pic>
      <xdr:nvPicPr>
        <xdr:cNvPr id="5" name="Picture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48249" y="2836068"/>
          <a:ext cx="4676775" cy="3507581"/>
        </a:xfrm>
        <a:prstGeom prst="rect">
          <a:avLst/>
        </a:prstGeom>
      </xdr:spPr>
    </xdr:pic>
    <xdr:clientData/>
  </xdr:twoCellAnchor>
  <xdr:twoCellAnchor editAs="oneCell">
    <xdr:from>
      <xdr:col>0</xdr:col>
      <xdr:colOff>0</xdr:colOff>
      <xdr:row>12</xdr:row>
      <xdr:rowOff>180975</xdr:rowOff>
    </xdr:from>
    <xdr:to>
      <xdr:col>2</xdr:col>
      <xdr:colOff>1323976</xdr:colOff>
      <xdr:row>32</xdr:row>
      <xdr:rowOff>1</xdr:rowOff>
    </xdr:to>
    <xdr:pic>
      <xdr:nvPicPr>
        <xdr:cNvPr id="6" name="Picture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647950"/>
          <a:ext cx="4838701" cy="3629026"/>
        </a:xfrm>
        <a:prstGeom prst="rect">
          <a:avLst/>
        </a:prstGeom>
      </xdr:spPr>
    </xdr:pic>
    <xdr:clientData/>
  </xdr:twoCellAnchor>
  <xdr:twoCellAnchor editAs="oneCell">
    <xdr:from>
      <xdr:col>4</xdr:col>
      <xdr:colOff>0</xdr:colOff>
      <xdr:row>38</xdr:row>
      <xdr:rowOff>0</xdr:rowOff>
    </xdr:from>
    <xdr:to>
      <xdr:col>11</xdr:col>
      <xdr:colOff>435000</xdr:colOff>
      <xdr:row>61</xdr:row>
      <xdr:rowOff>145275</xdr:rowOff>
    </xdr:to>
    <xdr:pic>
      <xdr:nvPicPr>
        <xdr:cNvPr id="7" name="Picture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05375" y="7458075"/>
          <a:ext cx="6035700" cy="4526775"/>
        </a:xfrm>
        <a:prstGeom prst="rect">
          <a:avLst/>
        </a:prstGeom>
      </xdr:spPr>
    </xdr:pic>
    <xdr:clientData/>
  </xdr:twoCellAnchor>
  <xdr:twoCellAnchor editAs="oneCell">
    <xdr:from>
      <xdr:col>3</xdr:col>
      <xdr:colOff>1245375</xdr:colOff>
      <xdr:row>62</xdr:row>
      <xdr:rowOff>7125</xdr:rowOff>
    </xdr:from>
    <xdr:to>
      <xdr:col>11</xdr:col>
      <xdr:colOff>404025</xdr:colOff>
      <xdr:row>85</xdr:row>
      <xdr:rowOff>152400</xdr:rowOff>
    </xdr:to>
    <xdr:pic>
      <xdr:nvPicPr>
        <xdr:cNvPr id="8" name="Picture 7">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874400" y="12037200"/>
          <a:ext cx="6035700" cy="4526775"/>
        </a:xfrm>
        <a:prstGeom prst="rect">
          <a:avLst/>
        </a:prstGeom>
      </xdr:spPr>
    </xdr:pic>
    <xdr:clientData/>
  </xdr:twoCellAnchor>
  <xdr:twoCellAnchor editAs="oneCell">
    <xdr:from>
      <xdr:col>12</xdr:col>
      <xdr:colOff>128550</xdr:colOff>
      <xdr:row>37</xdr:row>
      <xdr:rowOff>99975</xdr:rowOff>
    </xdr:from>
    <xdr:to>
      <xdr:col>22</xdr:col>
      <xdr:colOff>68250</xdr:colOff>
      <xdr:row>61</xdr:row>
      <xdr:rowOff>54750</xdr:rowOff>
    </xdr:to>
    <xdr:pic>
      <xdr:nvPicPr>
        <xdr:cNvPr id="9" name="Picture 8">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244225" y="7367550"/>
          <a:ext cx="6035700" cy="45267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1548968</xdr:colOff>
      <xdr:row>20</xdr:row>
      <xdr:rowOff>97168</xdr:rowOff>
    </xdr:from>
    <xdr:to>
      <xdr:col>9</xdr:col>
      <xdr:colOff>889000</xdr:colOff>
      <xdr:row>47</xdr:row>
      <xdr:rowOff>56030</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0556" y="3907168"/>
          <a:ext cx="6803149" cy="5102362"/>
        </a:xfrm>
        <a:prstGeom prst="rect">
          <a:avLst/>
        </a:prstGeom>
      </xdr:spPr>
    </xdr:pic>
    <xdr:clientData/>
  </xdr:twoCellAnchor>
  <xdr:twoCellAnchor editAs="oneCell">
    <xdr:from>
      <xdr:col>0</xdr:col>
      <xdr:colOff>0</xdr:colOff>
      <xdr:row>20</xdr:row>
      <xdr:rowOff>112695</xdr:rowOff>
    </xdr:from>
    <xdr:to>
      <xdr:col>2</xdr:col>
      <xdr:colOff>1123473</xdr:colOff>
      <xdr:row>47</xdr:row>
      <xdr:rowOff>89646</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3922695"/>
          <a:ext cx="6827267" cy="5120451"/>
        </a:xfrm>
        <a:prstGeom prst="rect">
          <a:avLst/>
        </a:prstGeom>
      </xdr:spPr>
    </xdr:pic>
    <xdr:clientData/>
  </xdr:twoCellAnchor>
  <xdr:twoCellAnchor editAs="oneCell">
    <xdr:from>
      <xdr:col>9</xdr:col>
      <xdr:colOff>986117</xdr:colOff>
      <xdr:row>20</xdr:row>
      <xdr:rowOff>128226</xdr:rowOff>
    </xdr:from>
    <xdr:to>
      <xdr:col>19</xdr:col>
      <xdr:colOff>109177</xdr:colOff>
      <xdr:row>47</xdr:row>
      <xdr:rowOff>67235</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760823" y="3938226"/>
          <a:ext cx="6776678" cy="5082509"/>
        </a:xfrm>
        <a:prstGeom prst="rect">
          <a:avLst/>
        </a:prstGeom>
      </xdr:spPr>
    </xdr:pic>
    <xdr:clientData/>
  </xdr:twoCellAnchor>
  <xdr:twoCellAnchor editAs="oneCell">
    <xdr:from>
      <xdr:col>4</xdr:col>
      <xdr:colOff>0</xdr:colOff>
      <xdr:row>54</xdr:row>
      <xdr:rowOff>0</xdr:rowOff>
    </xdr:from>
    <xdr:to>
      <xdr:col>8</xdr:col>
      <xdr:colOff>681951</xdr:colOff>
      <xdr:row>79</xdr:row>
      <xdr:rowOff>375</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664824" y="10443882"/>
          <a:ext cx="6251274" cy="4762875"/>
        </a:xfrm>
        <a:prstGeom prst="rect">
          <a:avLst/>
        </a:prstGeom>
      </xdr:spPr>
    </xdr:pic>
    <xdr:clientData/>
  </xdr:twoCellAnchor>
  <xdr:twoCellAnchor editAs="oneCell">
    <xdr:from>
      <xdr:col>12</xdr:col>
      <xdr:colOff>452560</xdr:colOff>
      <xdr:row>80</xdr:row>
      <xdr:rowOff>183617</xdr:rowOff>
    </xdr:from>
    <xdr:to>
      <xdr:col>23</xdr:col>
      <xdr:colOff>47540</xdr:colOff>
      <xdr:row>106</xdr:row>
      <xdr:rowOff>4698</xdr:rowOff>
    </xdr:to>
    <xdr:pic>
      <xdr:nvPicPr>
        <xdr:cNvPr id="6" name="Picture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8998295" y="15580499"/>
          <a:ext cx="6251274" cy="4762875"/>
        </a:xfrm>
        <a:prstGeom prst="rect">
          <a:avLst/>
        </a:prstGeom>
      </xdr:spPr>
    </xdr:pic>
    <xdr:clientData/>
  </xdr:twoCellAnchor>
  <xdr:twoCellAnchor editAs="oneCell">
    <xdr:from>
      <xdr:col>7</xdr:col>
      <xdr:colOff>1017177</xdr:colOff>
      <xdr:row>80</xdr:row>
      <xdr:rowOff>154324</xdr:rowOff>
    </xdr:from>
    <xdr:to>
      <xdr:col>12</xdr:col>
      <xdr:colOff>343216</xdr:colOff>
      <xdr:row>105</xdr:row>
      <xdr:rowOff>154699</xdr:rowOff>
    </xdr:to>
    <xdr:pic>
      <xdr:nvPicPr>
        <xdr:cNvPr id="7" name="Picture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637677" y="15551206"/>
          <a:ext cx="6251274" cy="4762875"/>
        </a:xfrm>
        <a:prstGeom prst="rect">
          <a:avLst/>
        </a:prstGeom>
      </xdr:spPr>
    </xdr:pic>
    <xdr:clientData/>
  </xdr:twoCellAnchor>
  <xdr:twoCellAnchor editAs="oneCell">
    <xdr:from>
      <xdr:col>8</xdr:col>
      <xdr:colOff>987882</xdr:colOff>
      <xdr:row>53</xdr:row>
      <xdr:rowOff>125029</xdr:rowOff>
    </xdr:from>
    <xdr:to>
      <xdr:col>12</xdr:col>
      <xdr:colOff>506824</xdr:colOff>
      <xdr:row>79</xdr:row>
      <xdr:rowOff>2559</xdr:rowOff>
    </xdr:to>
    <xdr:pic>
      <xdr:nvPicPr>
        <xdr:cNvPr id="8" name="Pictur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4222029" y="10378411"/>
          <a:ext cx="4830530" cy="4830530"/>
        </a:xfrm>
        <a:prstGeom prst="rect">
          <a:avLst/>
        </a:prstGeom>
      </xdr:spPr>
    </xdr:pic>
    <xdr:clientData/>
  </xdr:twoCellAnchor>
  <xdr:twoCellAnchor editAs="oneCell">
    <xdr:from>
      <xdr:col>4</xdr:col>
      <xdr:colOff>62117</xdr:colOff>
      <xdr:row>80</xdr:row>
      <xdr:rowOff>140559</xdr:rowOff>
    </xdr:from>
    <xdr:to>
      <xdr:col>7</xdr:col>
      <xdr:colOff>936971</xdr:colOff>
      <xdr:row>106</xdr:row>
      <xdr:rowOff>18089</xdr:rowOff>
    </xdr:to>
    <xdr:pic>
      <xdr:nvPicPr>
        <xdr:cNvPr id="9" name="Picture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726941" y="15537441"/>
          <a:ext cx="4830530" cy="4830530"/>
        </a:xfrm>
        <a:prstGeom prst="rect">
          <a:avLst/>
        </a:prstGeom>
      </xdr:spPr>
    </xdr:pic>
    <xdr:clientData/>
  </xdr:twoCellAnchor>
  <xdr:twoCellAnchor editAs="oneCell">
    <xdr:from>
      <xdr:col>13</xdr:col>
      <xdr:colOff>223324</xdr:colOff>
      <xdr:row>53</xdr:row>
      <xdr:rowOff>156088</xdr:rowOff>
    </xdr:from>
    <xdr:to>
      <xdr:col>21</xdr:col>
      <xdr:colOff>212913</xdr:colOff>
      <xdr:row>79</xdr:row>
      <xdr:rowOff>33618</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374177" y="10409470"/>
          <a:ext cx="4830530" cy="483053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0</xdr:colOff>
      <xdr:row>6</xdr:row>
      <xdr:rowOff>0</xdr:rowOff>
    </xdr:from>
    <xdr:to>
      <xdr:col>10</xdr:col>
      <xdr:colOff>476250</xdr:colOff>
      <xdr:row>19</xdr:row>
      <xdr:rowOff>152400</xdr:rowOff>
    </xdr:to>
    <xdr:pic>
      <xdr:nvPicPr>
        <xdr:cNvPr id="2" name="Picture 1" descr="http://www.1728.org/quadtrp8.png">
          <a:extLst>
            <a:ext uri="{FF2B5EF4-FFF2-40B4-BE49-F238E27FC236}">
              <a16:creationId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629400" y="1143000"/>
          <a:ext cx="2914650"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xdr:row>
      <xdr:rowOff>0</xdr:rowOff>
    </xdr:from>
    <xdr:to>
      <xdr:col>16</xdr:col>
      <xdr:colOff>381000</xdr:colOff>
      <xdr:row>17</xdr:row>
      <xdr:rowOff>76200</xdr:rowOff>
    </xdr:to>
    <xdr:pic>
      <xdr:nvPicPr>
        <xdr:cNvPr id="3" name="Picture 2" descr="http://keisan.casio.com/has10/mimetex.cgi?\normal%20Circular\%20truncated\%20cone\\%3Cbr%20/%3E(1)\%20volume:\hspace%7b10%7d%20V=%7b\large\frac%7b1%7d%7b3%7d%7d\pi(%7br_1%7d%5e2+r_1r_2+%7br_2%7d%5e2)h\\%3Cbr%20/%3E(2)\%20lateral\%20area:\\%3Cbr%20/%3E\hspace%7b90%7d%20F=\pi(r_1+r_2)\sqrt%7b(r_1-r_2)%5e2+h%5e2%7d\\%3Cbr%20/%3E(3)\%20surface\%20area:\\%3Cbr%20/%3E\hspace%7b90%7d%20S=F+\pi(%7br_1%7d%5e2+%7br_2%7d%5e2)\\">
          <a:extLst>
            <a:ext uri="{FF2B5EF4-FFF2-40B4-BE49-F238E27FC236}">
              <a16:creationId xmlns:a16="http://schemas.microsoft.com/office/drawing/2014/main" id="{00000000-0008-0000-0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287000" y="2095500"/>
          <a:ext cx="28194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66675</xdr:colOff>
      <xdr:row>3</xdr:row>
      <xdr:rowOff>114300</xdr:rowOff>
    </xdr:from>
    <xdr:to>
      <xdr:col>14</xdr:col>
      <xdr:colOff>238125</xdr:colOff>
      <xdr:row>9</xdr:row>
      <xdr:rowOff>171450</xdr:rowOff>
    </xdr:to>
    <xdr:pic>
      <xdr:nvPicPr>
        <xdr:cNvPr id="4" name="Picture 3" descr="Volume of a circular truncated cone">
          <a:extLst>
            <a:ext uri="{FF2B5EF4-FFF2-40B4-BE49-F238E27FC236}">
              <a16:creationId xmlns:a16="http://schemas.microsoft.com/office/drawing/2014/main" id="{00000000-0008-0000-0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862435" y="1409700"/>
          <a:ext cx="1390650" cy="1154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19</xdr:col>
      <xdr:colOff>66675</xdr:colOff>
      <xdr:row>11</xdr:row>
      <xdr:rowOff>495300</xdr:rowOff>
    </xdr:from>
    <xdr:to>
      <xdr:col>33</xdr:col>
      <xdr:colOff>167641</xdr:colOff>
      <xdr:row>29</xdr:row>
      <xdr:rowOff>114300</xdr:rowOff>
    </xdr:to>
    <xdr:graphicFrame macro="">
      <xdr:nvGraphicFramePr>
        <xdr:cNvPr id="5" name="Chart 4">
          <a:extLst>
            <a:ext uri="{FF2B5EF4-FFF2-40B4-BE49-F238E27FC236}">
              <a16:creationId xmlns:a16="http://schemas.microsoft.com/office/drawing/2014/main" id="{00000000-0008-0000-0B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11</xdr:col>
      <xdr:colOff>403860</xdr:colOff>
      <xdr:row>42</xdr:row>
      <xdr:rowOff>49530</xdr:rowOff>
    </xdr:from>
    <xdr:to>
      <xdr:col>17</xdr:col>
      <xdr:colOff>388620</xdr:colOff>
      <xdr:row>64</xdr:row>
      <xdr:rowOff>137160</xdr:rowOff>
    </xdr:to>
    <xdr:graphicFrame macro="">
      <xdr:nvGraphicFramePr>
        <xdr:cNvPr id="6" name="Chart 5">
          <a:extLst>
            <a:ext uri="{FF2B5EF4-FFF2-40B4-BE49-F238E27FC236}">
              <a16:creationId xmlns:a16="http://schemas.microsoft.com/office/drawing/2014/main" id="{00000000-0008-0000-0C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17</xdr:col>
      <xdr:colOff>678180</xdr:colOff>
      <xdr:row>42</xdr:row>
      <xdr:rowOff>64770</xdr:rowOff>
    </xdr:from>
    <xdr:to>
      <xdr:col>25</xdr:col>
      <xdr:colOff>762000</xdr:colOff>
      <xdr:row>65</xdr:row>
      <xdr:rowOff>60960</xdr:rowOff>
    </xdr:to>
    <xdr:graphicFrame macro="">
      <xdr:nvGraphicFramePr>
        <xdr:cNvPr id="7" name="Chart 6">
          <a:extLst>
            <a:ext uri="{FF2B5EF4-FFF2-40B4-BE49-F238E27FC236}">
              <a16:creationId xmlns:a16="http://schemas.microsoft.com/office/drawing/2014/main" id="{00000000-0008-0000-0C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xdr:col>
      <xdr:colOff>426720</xdr:colOff>
      <xdr:row>39</xdr:row>
      <xdr:rowOff>30480</xdr:rowOff>
    </xdr:from>
    <xdr:to>
      <xdr:col>36</xdr:col>
      <xdr:colOff>510540</xdr:colOff>
      <xdr:row>62</xdr:row>
      <xdr:rowOff>11430</xdr:rowOff>
    </xdr:to>
    <xdr:graphicFrame macro="">
      <xdr:nvGraphicFramePr>
        <xdr:cNvPr id="5" name="Chart 4">
          <a:extLst>
            <a:ext uri="{FF2B5EF4-FFF2-40B4-BE49-F238E27FC236}">
              <a16:creationId xmlns:a16="http://schemas.microsoft.com/office/drawing/2014/main" id="{00000000-0008-0000-0C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11</xdr:col>
      <xdr:colOff>403860</xdr:colOff>
      <xdr:row>42</xdr:row>
      <xdr:rowOff>49530</xdr:rowOff>
    </xdr:from>
    <xdr:to>
      <xdr:col>17</xdr:col>
      <xdr:colOff>388620</xdr:colOff>
      <xdr:row>64</xdr:row>
      <xdr:rowOff>137160</xdr:rowOff>
    </xdr:to>
    <xdr:graphicFrame macro="">
      <xdr:nvGraphicFramePr>
        <xdr:cNvPr id="2" name="Chart 1">
          <a:extLst>
            <a:ext uri="{FF2B5EF4-FFF2-40B4-BE49-F238E27FC236}">
              <a16:creationId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17</xdr:col>
      <xdr:colOff>678180</xdr:colOff>
      <xdr:row>42</xdr:row>
      <xdr:rowOff>64770</xdr:rowOff>
    </xdr:from>
    <xdr:to>
      <xdr:col>25</xdr:col>
      <xdr:colOff>762000</xdr:colOff>
      <xdr:row>65</xdr:row>
      <xdr:rowOff>60960</xdr:rowOff>
    </xdr:to>
    <xdr:graphicFrame macro="">
      <xdr:nvGraphicFramePr>
        <xdr:cNvPr id="3" name="Chart 2">
          <a:extLst>
            <a:ext uri="{FF2B5EF4-FFF2-40B4-BE49-F238E27FC236}">
              <a16:creationId xmlns:a16="http://schemas.microsoft.com/office/drawing/2014/main" id="{00000000-0008-0000-0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xdr:col>
      <xdr:colOff>426720</xdr:colOff>
      <xdr:row>39</xdr:row>
      <xdr:rowOff>30480</xdr:rowOff>
    </xdr:from>
    <xdr:to>
      <xdr:col>36</xdr:col>
      <xdr:colOff>510540</xdr:colOff>
      <xdr:row>62</xdr:row>
      <xdr:rowOff>11430</xdr:rowOff>
    </xdr:to>
    <xdr:graphicFrame macro="">
      <xdr:nvGraphicFramePr>
        <xdr:cNvPr id="4" name="Chart 3">
          <a:extLst>
            <a:ext uri="{FF2B5EF4-FFF2-40B4-BE49-F238E27FC236}">
              <a16:creationId xmlns:a16="http://schemas.microsoft.com/office/drawing/2014/main" id="{00000000-0008-0000-0D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Sally%20Leys/Downloads/Copy%20of%20Measurements%20of%20AV%20canal%20system-2011-09-19%20(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wnloads/Lauren_Oscula_Analysis_Winter201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Evgeni/Research%20Cruises/Hecate%20Strait%202015/Files%20For%20Hecate%20Paper/Figure%202/Farrea%20Hecate%202015%20Summary.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sleys/Downloads/Callyspongia%20-%20Measurements%20of%20canal%20system-v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Table 1."/>
      <sheetName val="Table 3. Predicted passive"/>
      <sheetName val="Sup. Table 2. Sponge sizes"/>
      <sheetName val="Active pumping"/>
      <sheetName val="Ostia"/>
      <sheetName val="Subdermal space"/>
      <sheetName val="incurrent canals"/>
      <sheetName val="prosopyle"/>
      <sheetName val="collars "/>
      <sheetName val="Flagellated chambers"/>
      <sheetName val="excurrent canals"/>
      <sheetName val="Table 1. for sigma plot"/>
      <sheetName val="Recalc of mesh DH"/>
      <sheetName val="Comparison table for paper"/>
    </sheetNames>
    <sheetDataSet>
      <sheetData sheetId="0" refreshError="1"/>
      <sheetData sheetId="1" refreshError="1"/>
      <sheetData sheetId="2" refreshError="1"/>
      <sheetData sheetId="3" refreshError="1">
        <row r="17">
          <cell r="E17">
            <v>4.4733679854839021</v>
          </cell>
          <cell r="F17">
            <v>0.30442857142857138</v>
          </cell>
        </row>
      </sheetData>
      <sheetData sheetId="4" refreshError="1"/>
      <sheetData sheetId="5" refreshError="1"/>
      <sheetData sheetId="6" refreshError="1"/>
      <sheetData sheetId="7" refreshError="1"/>
      <sheetData sheetId="8" refreshError="1"/>
      <sheetData sheetId="9" refreshError="1">
        <row r="28">
          <cell r="L28">
            <v>2.5133091651266217</v>
          </cell>
        </row>
        <row r="34">
          <cell r="B34">
            <v>9.4999999999999998E-3</v>
          </cell>
        </row>
      </sheetData>
      <sheetData sheetId="10" refreshError="1"/>
      <sheetData sheetId="11" refreshError="1"/>
      <sheetData sheetId="12" refreshError="1"/>
      <sheetData sheetId="13" refreshError="1"/>
      <sheetData sheetId="14" refreshError="1">
        <row r="16">
          <cell r="B16" t="str">
            <v>Ostia</v>
          </cell>
        </row>
        <row r="17">
          <cell r="B17" t="str">
            <v>Subdermal spaces</v>
          </cell>
        </row>
        <row r="18">
          <cell r="B18" t="str">
            <v>Apertures of Inhalent canals</v>
          </cell>
        </row>
        <row r="19">
          <cell r="B19" t="str">
            <v>Prosopyles</v>
          </cell>
        </row>
        <row r="20">
          <cell r="B20" t="str">
            <v>Pre-collar slit</v>
          </cell>
        </row>
        <row r="21">
          <cell r="B21" t="str">
            <v xml:space="preserve">Glycocalyx mesh </v>
          </cell>
        </row>
        <row r="22">
          <cell r="B22" t="str">
            <v>Collar slits</v>
          </cell>
        </row>
        <row r="23">
          <cell r="B23" t="str">
            <v xml:space="preserve">Glycocalyx mesh </v>
          </cell>
        </row>
        <row r="24">
          <cell r="B24" t="str">
            <v>Post-collar slit</v>
          </cell>
        </row>
        <row r="25">
          <cell r="B25" t="str">
            <v>Collar apertures (2 retic AV)</v>
          </cell>
        </row>
        <row r="26">
          <cell r="B26" t="str">
            <v>Chamber</v>
          </cell>
        </row>
        <row r="27">
          <cell r="B27" t="str">
            <v>Apopyles</v>
          </cell>
        </row>
        <row r="28">
          <cell r="B28" t="str">
            <v>Apertures of exhalent canals</v>
          </cell>
        </row>
        <row r="29">
          <cell r="B29" t="str">
            <v>Atrial subdermal space (AV)</v>
          </cell>
        </row>
        <row r="31">
          <cell r="B31" t="str">
            <v>Osculum</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TN3(Peleponesus, HS)"/>
      <sheetName val="STN3(Peleponesus, HS) (2)"/>
      <sheetName val="STN2(Hecate Strait)"/>
      <sheetName val="Sheet3"/>
    </sheetNames>
    <sheetDataSet>
      <sheetData sheetId="0">
        <row r="67">
          <cell r="G67">
            <v>32</v>
          </cell>
          <cell r="H67">
            <v>60862</v>
          </cell>
        </row>
        <row r="68">
          <cell r="G68">
            <v>64</v>
          </cell>
          <cell r="H68">
            <v>205644</v>
          </cell>
        </row>
        <row r="69">
          <cell r="G69">
            <v>103</v>
          </cell>
          <cell r="H69">
            <v>279892</v>
          </cell>
        </row>
        <row r="70">
          <cell r="G70">
            <v>203</v>
          </cell>
          <cell r="H70">
            <v>370824</v>
          </cell>
        </row>
        <row r="71">
          <cell r="G71">
            <v>246</v>
          </cell>
          <cell r="H71">
            <v>436505</v>
          </cell>
        </row>
        <row r="72">
          <cell r="G72">
            <v>272</v>
          </cell>
          <cell r="H72">
            <v>1026369</v>
          </cell>
        </row>
        <row r="73">
          <cell r="G73">
            <v>299</v>
          </cell>
          <cell r="H73">
            <v>1275261</v>
          </cell>
        </row>
        <row r="74">
          <cell r="G74">
            <v>639</v>
          </cell>
          <cell r="H74">
            <v>1354103</v>
          </cell>
        </row>
        <row r="75">
          <cell r="G75">
            <v>501</v>
          </cell>
          <cell r="H75">
            <v>1714707</v>
          </cell>
        </row>
        <row r="76">
          <cell r="G76">
            <v>546</v>
          </cell>
          <cell r="H76">
            <v>2297150</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ector"/>
      <sheetName val="Aqd SL"/>
      <sheetName val="Aqd LZ"/>
      <sheetName val="T10-11"/>
      <sheetName val="T12-13"/>
      <sheetName val="Compiled Data Set"/>
      <sheetName val="Moving Med. and Std.Dev. Graph"/>
      <sheetName val="Final Graph (moving Std. Dev.)"/>
      <sheetName val="12-13 24h Graph"/>
      <sheetName val="High vs. Low Am 12-13"/>
      <sheetName val=" High vs Low Am 10-11"/>
      <sheetName val="12-13 High am=Top 25% "/>
      <sheetName val="10-11 High am=Top 25% "/>
      <sheetName val="OBS Maxminav"/>
    </sheetNames>
    <sheetDataSet>
      <sheetData sheetId="0"/>
      <sheetData sheetId="1"/>
      <sheetData sheetId="2"/>
      <sheetData sheetId="3"/>
      <sheetData sheetId="4"/>
      <sheetData sheetId="5"/>
      <sheetData sheetId="6"/>
      <sheetData sheetId="7"/>
      <sheetData sheetId="8"/>
      <sheetData sheetId="9">
        <row r="5">
          <cell r="H5">
            <v>1.3191249208514384</v>
          </cell>
          <cell r="I5">
            <v>0.93534438282611776</v>
          </cell>
          <cell r="J5">
            <v>1.9314658962970832</v>
          </cell>
          <cell r="K5">
            <v>2.6137250449281897</v>
          </cell>
        </row>
      </sheetData>
      <sheetData sheetId="10">
        <row r="6">
          <cell r="K6">
            <v>1.5879743501937953</v>
          </cell>
          <cell r="L6">
            <v>0.85560049698278606</v>
          </cell>
          <cell r="M6">
            <v>1.021219400417013</v>
          </cell>
          <cell r="N6">
            <v>3.7925473922638862</v>
          </cell>
        </row>
      </sheetData>
      <sheetData sheetId="11"/>
      <sheetData sheetId="12"/>
      <sheetData sheetId="1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lyspongia"/>
      <sheetName val="Ostia"/>
      <sheetName val="Subdermal space"/>
      <sheetName val="Incurrent Canals"/>
      <sheetName val="Prosopyles"/>
      <sheetName val="Collars"/>
      <sheetName val="Choanocyte Chambers"/>
      <sheetName val="Excurrent Canals"/>
      <sheetName val="Apopyle"/>
      <sheetName val="Osculum"/>
      <sheetName val="Sponge Volume"/>
      <sheetName val="Comparison table"/>
    </sheetNames>
    <sheetDataSet>
      <sheetData sheetId="0" refreshError="1"/>
      <sheetData sheetId="1" refreshError="1"/>
      <sheetData sheetId="2" refreshError="1"/>
      <sheetData sheetId="3" refreshError="1">
        <row r="20">
          <cell r="Q20">
            <v>923.13199999999995</v>
          </cell>
        </row>
        <row r="28">
          <cell r="M28">
            <v>3.6651154155832066</v>
          </cell>
        </row>
      </sheetData>
      <sheetData sheetId="4" refreshError="1"/>
      <sheetData sheetId="5" refreshError="1">
        <row r="13">
          <cell r="B13">
            <v>32.666666666666664</v>
          </cell>
          <cell r="C13">
            <v>0.1086</v>
          </cell>
          <cell r="D13">
            <v>6.9399999999999989E-2</v>
          </cell>
          <cell r="F13">
            <v>5.1818181818181812E-2</v>
          </cell>
        </row>
      </sheetData>
      <sheetData sheetId="6" refreshError="1"/>
      <sheetData sheetId="7" refreshError="1"/>
      <sheetData sheetId="8" refreshError="1"/>
      <sheetData sheetId="9" refreshError="1"/>
      <sheetData sheetId="10" refreshError="1"/>
      <sheetData sheetId="11"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7.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5.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2.xml"/><Relationship Id="rId1" Type="http://schemas.openxmlformats.org/officeDocument/2006/relationships/printerSettings" Target="../printerSettings/printerSettings6.bin"/><Relationship Id="rId4" Type="http://schemas.openxmlformats.org/officeDocument/2006/relationships/comments" Target="../comments4.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3.xml"/><Relationship Id="rId1" Type="http://schemas.openxmlformats.org/officeDocument/2006/relationships/printerSettings" Target="../printerSettings/printerSettings7.bin"/><Relationship Id="rId4" Type="http://schemas.openxmlformats.org/officeDocument/2006/relationships/comments" Target="../comments5.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W96"/>
  <sheetViews>
    <sheetView topLeftCell="G64" zoomScaleNormal="100" workbookViewId="0">
      <selection activeCell="A4" sqref="A4"/>
    </sheetView>
  </sheetViews>
  <sheetFormatPr defaultColWidth="8.9296875" defaultRowHeight="14.25" x14ac:dyDescent="0.45"/>
  <cols>
    <col min="1" max="1" width="45.59765625" style="265" customWidth="1"/>
    <col min="2" max="2" width="13.9296875" style="265" customWidth="1"/>
    <col min="3" max="4" width="17.9296875" style="265" customWidth="1"/>
    <col min="5" max="5" width="15.53125" style="265" customWidth="1"/>
    <col min="6" max="6" width="16" style="265" customWidth="1"/>
    <col min="7" max="8" width="23.53125" style="265" customWidth="1"/>
    <col min="9" max="9" width="23.46484375" style="265" customWidth="1"/>
    <col min="10" max="10" width="23.9296875" style="265" customWidth="1"/>
    <col min="11" max="11" width="22.06640625" style="265" customWidth="1"/>
    <col min="12" max="16384" width="8.9296875" style="265"/>
  </cols>
  <sheetData>
    <row r="1" spans="1:23" ht="57" x14ac:dyDescent="0.45">
      <c r="A1" s="310" t="s">
        <v>564</v>
      </c>
    </row>
    <row r="3" spans="1:23" ht="15.75" x14ac:dyDescent="0.5">
      <c r="A3" s="270" t="s">
        <v>389</v>
      </c>
      <c r="B3" s="271"/>
      <c r="C3" s="270"/>
      <c r="D3" s="270"/>
      <c r="E3" s="270"/>
      <c r="F3" s="270"/>
      <c r="G3" s="270"/>
      <c r="H3" s="270"/>
      <c r="I3" s="270"/>
      <c r="J3" s="270"/>
      <c r="K3" s="270"/>
      <c r="L3" s="272"/>
      <c r="M3" s="272"/>
      <c r="N3" s="273"/>
      <c r="O3" s="274"/>
      <c r="P3" s="274"/>
      <c r="Q3" s="274"/>
      <c r="R3" s="270"/>
      <c r="S3" s="270"/>
      <c r="T3" s="270"/>
      <c r="U3" s="270"/>
      <c r="V3" s="270"/>
      <c r="W3" s="270"/>
    </row>
    <row r="4" spans="1:23" ht="15.75" x14ac:dyDescent="0.5">
      <c r="A4" s="270" t="s">
        <v>390</v>
      </c>
      <c r="B4" s="271"/>
      <c r="C4" s="270"/>
      <c r="D4" s="270"/>
      <c r="E4" s="270"/>
      <c r="F4" s="270"/>
      <c r="G4" s="270"/>
      <c r="H4" s="270"/>
      <c r="I4" s="270"/>
      <c r="J4" s="270"/>
      <c r="K4" s="270"/>
      <c r="L4" s="272"/>
      <c r="M4" s="272"/>
      <c r="N4" s="273"/>
      <c r="O4" s="274"/>
      <c r="P4" s="274"/>
      <c r="Q4" s="274"/>
      <c r="R4" s="270"/>
      <c r="S4" s="270"/>
      <c r="T4" s="270"/>
      <c r="U4" s="270"/>
      <c r="V4" s="270"/>
      <c r="W4" s="270"/>
    </row>
    <row r="5" spans="1:23" ht="15.75" x14ac:dyDescent="0.5">
      <c r="A5" s="270" t="s">
        <v>391</v>
      </c>
      <c r="B5" s="271"/>
      <c r="C5" s="270"/>
      <c r="D5" s="270"/>
      <c r="E5" s="270"/>
      <c r="F5" s="270"/>
      <c r="G5" s="270"/>
      <c r="H5" s="270"/>
      <c r="I5" s="270"/>
      <c r="J5" s="270"/>
      <c r="K5" s="270"/>
      <c r="L5" s="272"/>
      <c r="M5" s="272"/>
      <c r="N5" s="273"/>
      <c r="O5" s="274"/>
      <c r="P5" s="274"/>
      <c r="Q5" s="274"/>
      <c r="R5" s="270"/>
      <c r="S5" s="270"/>
      <c r="T5" s="270"/>
      <c r="U5" s="270"/>
      <c r="V5" s="270"/>
      <c r="W5" s="270"/>
    </row>
    <row r="7" spans="1:23" ht="64.5" customHeight="1" x14ac:dyDescent="0.5">
      <c r="A7" s="275" t="s">
        <v>392</v>
      </c>
      <c r="B7" s="276" t="s">
        <v>393</v>
      </c>
      <c r="C7" s="277" t="s">
        <v>394</v>
      </c>
      <c r="D7" s="278" t="s">
        <v>395</v>
      </c>
      <c r="E7" s="278" t="s">
        <v>396</v>
      </c>
      <c r="F7" s="276" t="s">
        <v>397</v>
      </c>
      <c r="G7" s="276" t="s">
        <v>398</v>
      </c>
      <c r="H7" s="276" t="s">
        <v>399</v>
      </c>
      <c r="I7" s="303" t="s">
        <v>400</v>
      </c>
      <c r="J7" s="279" t="s">
        <v>401</v>
      </c>
      <c r="K7" s="306" t="s">
        <v>402</v>
      </c>
    </row>
    <row r="8" spans="1:23" ht="15.75" x14ac:dyDescent="0.5">
      <c r="A8" s="275">
        <v>1</v>
      </c>
      <c r="B8" s="280">
        <v>121</v>
      </c>
      <c r="C8" s="281" t="s">
        <v>403</v>
      </c>
      <c r="D8" s="282" t="s">
        <v>404</v>
      </c>
      <c r="E8" s="282" t="s">
        <v>405</v>
      </c>
      <c r="F8" s="283"/>
      <c r="G8" s="283"/>
      <c r="H8" s="283"/>
      <c r="I8" s="304"/>
      <c r="J8" s="283"/>
      <c r="K8" s="307"/>
    </row>
    <row r="9" spans="1:23" ht="15.75" x14ac:dyDescent="0.5">
      <c r="A9" s="275">
        <v>2</v>
      </c>
      <c r="B9" s="280">
        <v>106</v>
      </c>
      <c r="C9" s="281" t="s">
        <v>406</v>
      </c>
      <c r="D9" s="284" t="s">
        <v>407</v>
      </c>
      <c r="E9" s="284" t="s">
        <v>408</v>
      </c>
      <c r="F9" s="283"/>
      <c r="G9" s="283"/>
      <c r="H9" s="283"/>
      <c r="I9" s="304"/>
      <c r="J9" s="283"/>
      <c r="K9" s="307"/>
    </row>
    <row r="10" spans="1:23" ht="15.75" x14ac:dyDescent="0.5">
      <c r="A10" s="275">
        <v>3</v>
      </c>
      <c r="B10" s="280">
        <v>91</v>
      </c>
      <c r="C10" s="281" t="s">
        <v>409</v>
      </c>
      <c r="D10" s="285" t="s">
        <v>410</v>
      </c>
      <c r="E10" s="285" t="s">
        <v>411</v>
      </c>
      <c r="F10" s="283"/>
      <c r="G10" s="283"/>
      <c r="H10" s="283"/>
      <c r="I10" s="304"/>
      <c r="J10" s="283"/>
      <c r="K10" s="307"/>
    </row>
    <row r="11" spans="1:23" ht="15.75" x14ac:dyDescent="0.5">
      <c r="A11" s="275">
        <v>4</v>
      </c>
      <c r="B11" s="280">
        <v>76</v>
      </c>
      <c r="C11" s="281" t="s">
        <v>412</v>
      </c>
      <c r="D11" s="282" t="s">
        <v>413</v>
      </c>
      <c r="E11" s="282" t="s">
        <v>411</v>
      </c>
      <c r="F11" s="283"/>
      <c r="G11" s="283"/>
      <c r="H11" s="283"/>
      <c r="I11" s="304"/>
      <c r="J11" s="283"/>
      <c r="K11" s="307"/>
    </row>
    <row r="12" spans="1:23" ht="15.75" x14ac:dyDescent="0.5">
      <c r="A12" s="275">
        <v>5</v>
      </c>
      <c r="B12" s="280">
        <v>61</v>
      </c>
      <c r="C12" s="281" t="s">
        <v>414</v>
      </c>
      <c r="D12" s="282" t="s">
        <v>415</v>
      </c>
      <c r="E12" s="282" t="s">
        <v>416</v>
      </c>
      <c r="F12" s="283"/>
      <c r="G12" s="283"/>
      <c r="H12" s="283"/>
      <c r="I12" s="304"/>
      <c r="J12" s="283"/>
      <c r="K12" s="307"/>
    </row>
    <row r="13" spans="1:23" ht="15.75" x14ac:dyDescent="0.5">
      <c r="A13" s="275">
        <v>6</v>
      </c>
      <c r="B13" s="280">
        <v>46</v>
      </c>
      <c r="C13" s="281" t="s">
        <v>417</v>
      </c>
      <c r="D13" s="282" t="s">
        <v>418</v>
      </c>
      <c r="E13" s="282" t="s">
        <v>419</v>
      </c>
      <c r="F13" s="283"/>
      <c r="G13" s="283"/>
      <c r="H13" s="283"/>
      <c r="I13" s="304"/>
      <c r="J13" s="283"/>
      <c r="K13" s="307"/>
    </row>
    <row r="14" spans="1:23" ht="15.75" x14ac:dyDescent="0.5">
      <c r="A14" s="275">
        <v>7</v>
      </c>
      <c r="B14" s="280">
        <v>31</v>
      </c>
      <c r="C14" s="281" t="s">
        <v>420</v>
      </c>
      <c r="D14" s="282" t="s">
        <v>421</v>
      </c>
      <c r="E14" s="282" t="s">
        <v>422</v>
      </c>
      <c r="F14" s="283"/>
      <c r="G14" s="283"/>
      <c r="H14" s="283"/>
      <c r="I14" s="304"/>
      <c r="J14" s="283"/>
      <c r="K14" s="307"/>
    </row>
    <row r="15" spans="1:23" ht="15.75" x14ac:dyDescent="0.5">
      <c r="A15" s="275">
        <v>8</v>
      </c>
      <c r="B15" s="280">
        <v>16</v>
      </c>
      <c r="C15" s="281" t="s">
        <v>423</v>
      </c>
      <c r="D15" s="282" t="s">
        <v>424</v>
      </c>
      <c r="E15" s="282" t="s">
        <v>425</v>
      </c>
      <c r="F15" s="283"/>
      <c r="G15" s="283"/>
      <c r="H15" s="283"/>
      <c r="I15" s="304"/>
      <c r="J15" s="283"/>
      <c r="K15" s="307"/>
    </row>
    <row r="16" spans="1:23" ht="15.75" x14ac:dyDescent="0.5">
      <c r="A16" s="275">
        <v>9</v>
      </c>
      <c r="B16" s="280">
        <v>1</v>
      </c>
      <c r="C16" s="281" t="s">
        <v>426</v>
      </c>
      <c r="D16" s="282" t="s">
        <v>427</v>
      </c>
      <c r="E16" s="282" t="s">
        <v>428</v>
      </c>
      <c r="F16" s="283"/>
      <c r="G16" s="283"/>
      <c r="H16" s="283"/>
      <c r="I16" s="304"/>
      <c r="J16" s="283"/>
      <c r="K16" s="307"/>
    </row>
    <row r="17" spans="1:11" ht="15.75" x14ac:dyDescent="0.5">
      <c r="A17" s="275">
        <v>10</v>
      </c>
      <c r="B17" s="280">
        <v>2</v>
      </c>
      <c r="C17" s="281" t="s">
        <v>429</v>
      </c>
      <c r="D17" s="282" t="s">
        <v>430</v>
      </c>
      <c r="E17" s="282" t="s">
        <v>431</v>
      </c>
      <c r="F17" s="283"/>
      <c r="G17" s="283"/>
      <c r="H17" s="283"/>
      <c r="I17" s="304"/>
      <c r="J17" s="283"/>
      <c r="K17" s="307"/>
    </row>
    <row r="18" spans="1:11" ht="15.75" x14ac:dyDescent="0.5">
      <c r="A18" s="275">
        <v>11</v>
      </c>
      <c r="B18" s="280">
        <v>17</v>
      </c>
      <c r="C18" s="281" t="s">
        <v>432</v>
      </c>
      <c r="D18" s="282" t="s">
        <v>433</v>
      </c>
      <c r="E18" s="282" t="s">
        <v>434</v>
      </c>
      <c r="F18" s="283"/>
      <c r="G18" s="283"/>
      <c r="H18" s="283"/>
      <c r="I18" s="304"/>
      <c r="J18" s="283"/>
      <c r="K18" s="307"/>
    </row>
    <row r="19" spans="1:11" ht="15.75" x14ac:dyDescent="0.5">
      <c r="A19" s="275">
        <v>12</v>
      </c>
      <c r="B19" s="280">
        <v>32</v>
      </c>
      <c r="C19" s="281" t="s">
        <v>435</v>
      </c>
      <c r="D19" s="282" t="s">
        <v>436</v>
      </c>
      <c r="E19" s="282" t="s">
        <v>437</v>
      </c>
      <c r="F19" s="283"/>
      <c r="G19" s="283"/>
      <c r="H19" s="283"/>
      <c r="I19" s="304"/>
      <c r="J19" s="283"/>
      <c r="K19" s="307"/>
    </row>
    <row r="20" spans="1:11" ht="15.75" x14ac:dyDescent="0.5">
      <c r="A20" s="275">
        <v>13</v>
      </c>
      <c r="B20" s="280">
        <v>47</v>
      </c>
      <c r="C20" s="281" t="s">
        <v>438</v>
      </c>
      <c r="D20" s="282" t="s">
        <v>439</v>
      </c>
      <c r="E20" s="282" t="s">
        <v>440</v>
      </c>
      <c r="F20" s="283"/>
      <c r="G20" s="283"/>
      <c r="H20" s="283"/>
      <c r="I20" s="304"/>
      <c r="J20" s="283"/>
      <c r="K20" s="307"/>
    </row>
    <row r="21" spans="1:11" ht="15.75" x14ac:dyDescent="0.5">
      <c r="A21" s="275">
        <v>14</v>
      </c>
      <c r="B21" s="280">
        <v>62</v>
      </c>
      <c r="C21" s="281" t="s">
        <v>441</v>
      </c>
      <c r="D21" s="282" t="s">
        <v>442</v>
      </c>
      <c r="E21" s="282" t="s">
        <v>443</v>
      </c>
      <c r="F21" s="283"/>
      <c r="G21" s="283"/>
      <c r="H21" s="283"/>
      <c r="I21" s="304"/>
      <c r="J21" s="283"/>
      <c r="K21" s="307"/>
    </row>
    <row r="22" spans="1:11" ht="15.75" x14ac:dyDescent="0.5">
      <c r="A22" s="275">
        <v>15</v>
      </c>
      <c r="B22" s="280">
        <v>77</v>
      </c>
      <c r="C22" s="281" t="s">
        <v>444</v>
      </c>
      <c r="D22" s="282" t="s">
        <v>445</v>
      </c>
      <c r="E22" s="282" t="s">
        <v>446</v>
      </c>
      <c r="F22" s="283">
        <v>370824</v>
      </c>
      <c r="G22" s="283">
        <v>203</v>
      </c>
      <c r="H22" s="283">
        <f>G22/F22</f>
        <v>5.474295083381874E-4</v>
      </c>
      <c r="I22" s="304">
        <v>1.7288600000000001</v>
      </c>
      <c r="J22" s="283">
        <v>3.2740399999999998</v>
      </c>
      <c r="K22" s="307">
        <v>25</v>
      </c>
    </row>
    <row r="23" spans="1:11" ht="15.75" x14ac:dyDescent="0.5">
      <c r="A23" s="275">
        <v>16</v>
      </c>
      <c r="B23" s="280">
        <v>92</v>
      </c>
      <c r="C23" s="281" t="s">
        <v>447</v>
      </c>
      <c r="D23" s="282" t="s">
        <v>448</v>
      </c>
      <c r="E23" s="282" t="s">
        <v>449</v>
      </c>
      <c r="F23" s="283"/>
      <c r="G23" s="283"/>
      <c r="H23" s="283"/>
      <c r="I23" s="304"/>
      <c r="J23" s="283"/>
      <c r="K23" s="307"/>
    </row>
    <row r="24" spans="1:11" ht="15.75" x14ac:dyDescent="0.5">
      <c r="A24" s="275">
        <v>17</v>
      </c>
      <c r="B24" s="280">
        <v>107</v>
      </c>
      <c r="C24" s="281" t="s">
        <v>450</v>
      </c>
      <c r="D24" s="282" t="s">
        <v>451</v>
      </c>
      <c r="E24" s="282" t="s">
        <v>452</v>
      </c>
      <c r="F24" s="283">
        <v>1275261</v>
      </c>
      <c r="G24" s="283">
        <v>299</v>
      </c>
      <c r="H24" s="283">
        <f>G24/F24</f>
        <v>2.3446180821024088E-4</v>
      </c>
      <c r="I24" s="304">
        <v>2.227903</v>
      </c>
      <c r="J24" s="283">
        <v>7.4594800000000001</v>
      </c>
      <c r="K24" s="307">
        <v>25</v>
      </c>
    </row>
    <row r="25" spans="1:11" ht="15.75" x14ac:dyDescent="0.5">
      <c r="A25" s="275">
        <v>18</v>
      </c>
      <c r="B25" s="280">
        <v>122</v>
      </c>
      <c r="C25" s="281" t="s">
        <v>453</v>
      </c>
      <c r="D25" s="282" t="s">
        <v>454</v>
      </c>
      <c r="E25" s="282" t="s">
        <v>452</v>
      </c>
      <c r="F25" s="283"/>
      <c r="G25" s="283"/>
      <c r="H25" s="283"/>
      <c r="I25" s="304"/>
      <c r="J25" s="283"/>
      <c r="K25" s="307"/>
    </row>
    <row r="26" spans="1:11" ht="15.75" x14ac:dyDescent="0.5">
      <c r="A26" s="275">
        <v>19</v>
      </c>
      <c r="B26" s="280">
        <v>123</v>
      </c>
      <c r="C26" s="281" t="s">
        <v>455</v>
      </c>
      <c r="D26" s="282" t="s">
        <v>456</v>
      </c>
      <c r="E26" s="282" t="s">
        <v>457</v>
      </c>
      <c r="F26" s="283"/>
      <c r="G26" s="283"/>
      <c r="H26" s="283"/>
      <c r="I26" s="304"/>
      <c r="J26" s="283"/>
      <c r="K26" s="307"/>
    </row>
    <row r="27" spans="1:11" ht="15.75" x14ac:dyDescent="0.5">
      <c r="A27" s="275">
        <v>20</v>
      </c>
      <c r="B27" s="280">
        <v>108</v>
      </c>
      <c r="C27" s="281" t="s">
        <v>458</v>
      </c>
      <c r="D27" s="282" t="s">
        <v>459</v>
      </c>
      <c r="E27" s="282" t="s">
        <v>460</v>
      </c>
      <c r="F27" s="283"/>
      <c r="G27" s="283"/>
      <c r="H27" s="283"/>
      <c r="I27" s="304"/>
      <c r="J27" s="283"/>
      <c r="K27" s="307"/>
    </row>
    <row r="28" spans="1:11" ht="15.75" x14ac:dyDescent="0.5">
      <c r="A28" s="275">
        <v>21</v>
      </c>
      <c r="B28" s="280">
        <v>93</v>
      </c>
      <c r="C28" s="281" t="s">
        <v>461</v>
      </c>
      <c r="D28" s="282" t="s">
        <v>462</v>
      </c>
      <c r="E28" s="282" t="s">
        <v>463</v>
      </c>
      <c r="F28" s="283"/>
      <c r="G28" s="283"/>
      <c r="H28" s="283"/>
      <c r="I28" s="304"/>
      <c r="J28" s="283"/>
      <c r="K28" s="307"/>
    </row>
    <row r="29" spans="1:11" ht="15.75" x14ac:dyDescent="0.5">
      <c r="A29" s="275">
        <v>22</v>
      </c>
      <c r="B29" s="280">
        <v>78</v>
      </c>
      <c r="C29" s="281" t="s">
        <v>464</v>
      </c>
      <c r="D29" s="282" t="s">
        <v>465</v>
      </c>
      <c r="E29" s="282" t="s">
        <v>466</v>
      </c>
      <c r="F29" s="283"/>
      <c r="G29" s="283"/>
      <c r="H29" s="283"/>
      <c r="I29" s="304"/>
      <c r="J29" s="283"/>
      <c r="K29" s="307"/>
    </row>
    <row r="30" spans="1:11" ht="15.75" x14ac:dyDescent="0.5">
      <c r="A30" s="275">
        <v>23</v>
      </c>
      <c r="B30" s="280">
        <v>63</v>
      </c>
      <c r="C30" s="281" t="s">
        <v>467</v>
      </c>
      <c r="D30" s="282" t="s">
        <v>468</v>
      </c>
      <c r="E30" s="282" t="s">
        <v>469</v>
      </c>
      <c r="F30" s="283"/>
      <c r="G30" s="283"/>
      <c r="H30" s="283"/>
      <c r="I30" s="304"/>
      <c r="J30" s="283"/>
      <c r="K30" s="307"/>
    </row>
    <row r="31" spans="1:11" ht="15.75" x14ac:dyDescent="0.5">
      <c r="A31" s="275">
        <v>24</v>
      </c>
      <c r="B31" s="280">
        <v>48</v>
      </c>
      <c r="C31" s="281" t="s">
        <v>470</v>
      </c>
      <c r="D31" s="282" t="s">
        <v>471</v>
      </c>
      <c r="E31" s="282" t="s">
        <v>472</v>
      </c>
      <c r="F31" s="283">
        <v>1354103</v>
      </c>
      <c r="G31" s="283">
        <v>639</v>
      </c>
      <c r="H31" s="283">
        <f>G31/F31</f>
        <v>4.7189910959506037E-4</v>
      </c>
      <c r="I31" s="304">
        <v>2.0832380000000001</v>
      </c>
      <c r="J31" s="283">
        <v>6.1440289999999997</v>
      </c>
      <c r="K31" s="307">
        <v>35</v>
      </c>
    </row>
    <row r="32" spans="1:11" ht="15.75" x14ac:dyDescent="0.5">
      <c r="A32" s="275">
        <v>25</v>
      </c>
      <c r="B32" s="280">
        <v>33</v>
      </c>
      <c r="C32" s="281" t="s">
        <v>473</v>
      </c>
      <c r="D32" s="282" t="s">
        <v>474</v>
      </c>
      <c r="E32" s="282" t="s">
        <v>475</v>
      </c>
      <c r="F32" s="283"/>
      <c r="G32" s="283"/>
      <c r="H32" s="283"/>
      <c r="I32" s="304"/>
      <c r="J32" s="283"/>
      <c r="K32" s="307"/>
    </row>
    <row r="33" spans="1:11" ht="15.75" x14ac:dyDescent="0.5">
      <c r="A33" s="275">
        <v>26</v>
      </c>
      <c r="B33" s="280">
        <v>18</v>
      </c>
      <c r="C33" s="281" t="s">
        <v>476</v>
      </c>
      <c r="D33" s="282" t="s">
        <v>477</v>
      </c>
      <c r="E33" s="282" t="s">
        <v>478</v>
      </c>
      <c r="F33" s="283"/>
      <c r="G33" s="283"/>
      <c r="H33" s="283"/>
      <c r="I33" s="304"/>
      <c r="J33" s="283"/>
      <c r="K33" s="307"/>
    </row>
    <row r="34" spans="1:11" ht="15.75" x14ac:dyDescent="0.5">
      <c r="A34" s="275">
        <v>27</v>
      </c>
      <c r="B34" s="280">
        <v>3</v>
      </c>
      <c r="C34" s="281" t="s">
        <v>479</v>
      </c>
      <c r="D34" s="282" t="s">
        <v>480</v>
      </c>
      <c r="E34" s="282" t="s">
        <v>481</v>
      </c>
      <c r="F34" s="283"/>
      <c r="G34" s="283"/>
      <c r="H34" s="283"/>
      <c r="I34" s="304"/>
      <c r="J34" s="283"/>
      <c r="K34" s="307"/>
    </row>
    <row r="35" spans="1:11" ht="15.75" x14ac:dyDescent="0.5">
      <c r="A35" s="275">
        <v>28</v>
      </c>
      <c r="B35" s="280">
        <v>4</v>
      </c>
      <c r="C35" s="281" t="s">
        <v>482</v>
      </c>
      <c r="D35" s="282" t="s">
        <v>483</v>
      </c>
      <c r="E35" s="282" t="s">
        <v>484</v>
      </c>
      <c r="F35" s="283"/>
      <c r="G35" s="283"/>
      <c r="H35" s="283"/>
      <c r="I35" s="304"/>
      <c r="J35" s="283"/>
      <c r="K35" s="307"/>
    </row>
    <row r="36" spans="1:11" ht="15.75" x14ac:dyDescent="0.5">
      <c r="A36" s="275">
        <v>29</v>
      </c>
      <c r="B36" s="280">
        <v>19</v>
      </c>
      <c r="C36" s="281" t="s">
        <v>485</v>
      </c>
      <c r="D36" s="282" t="s">
        <v>486</v>
      </c>
      <c r="E36" s="282" t="s">
        <v>487</v>
      </c>
      <c r="F36" s="283"/>
      <c r="G36" s="283"/>
      <c r="H36" s="283"/>
      <c r="I36" s="304"/>
      <c r="J36" s="283"/>
      <c r="K36" s="307"/>
    </row>
    <row r="37" spans="1:11" ht="15.75" x14ac:dyDescent="0.5">
      <c r="A37" s="275">
        <v>30</v>
      </c>
      <c r="B37" s="280">
        <v>34</v>
      </c>
      <c r="C37" s="281" t="s">
        <v>488</v>
      </c>
      <c r="D37" s="282" t="s">
        <v>489</v>
      </c>
      <c r="E37" s="282" t="s">
        <v>490</v>
      </c>
      <c r="F37" s="283"/>
      <c r="G37" s="283"/>
      <c r="H37" s="283"/>
      <c r="I37" s="304"/>
      <c r="J37" s="283"/>
      <c r="K37" s="307"/>
    </row>
    <row r="38" spans="1:11" ht="15.75" x14ac:dyDescent="0.5">
      <c r="A38" s="275">
        <v>31</v>
      </c>
      <c r="B38" s="280">
        <v>49</v>
      </c>
      <c r="C38" s="281" t="s">
        <v>491</v>
      </c>
      <c r="D38" s="282" t="s">
        <v>492</v>
      </c>
      <c r="E38" s="282" t="s">
        <v>493</v>
      </c>
      <c r="F38" s="283"/>
      <c r="G38" s="283"/>
      <c r="H38" s="283"/>
      <c r="I38" s="304"/>
      <c r="J38" s="283"/>
      <c r="K38" s="307"/>
    </row>
    <row r="39" spans="1:11" ht="15.75" x14ac:dyDescent="0.5">
      <c r="A39" s="275">
        <v>32</v>
      </c>
      <c r="B39" s="280">
        <v>64</v>
      </c>
      <c r="C39" s="281" t="s">
        <v>494</v>
      </c>
      <c r="D39" s="282" t="s">
        <v>495</v>
      </c>
      <c r="E39" s="282" t="s">
        <v>487</v>
      </c>
      <c r="F39" s="283"/>
      <c r="G39" s="283"/>
      <c r="H39" s="283"/>
      <c r="I39" s="304"/>
      <c r="J39" s="283"/>
      <c r="K39" s="307"/>
    </row>
    <row r="40" spans="1:11" ht="15.75" x14ac:dyDescent="0.5">
      <c r="A40" s="275">
        <v>33</v>
      </c>
      <c r="B40" s="280">
        <v>79</v>
      </c>
      <c r="C40" s="281" t="s">
        <v>496</v>
      </c>
      <c r="D40" s="282" t="s">
        <v>497</v>
      </c>
      <c r="E40" s="282" t="s">
        <v>493</v>
      </c>
      <c r="F40" s="283">
        <v>279892</v>
      </c>
      <c r="G40" s="283">
        <v>103</v>
      </c>
      <c r="H40" s="283">
        <f>G40/F40</f>
        <v>3.6799908536149656E-4</v>
      </c>
      <c r="I40" s="304">
        <v>2.5908350000000002</v>
      </c>
      <c r="J40" s="283">
        <v>6.11836</v>
      </c>
      <c r="K40" s="307">
        <v>25</v>
      </c>
    </row>
    <row r="41" spans="1:11" ht="15.75" x14ac:dyDescent="0.5">
      <c r="A41" s="275">
        <v>34</v>
      </c>
      <c r="B41" s="280">
        <v>94</v>
      </c>
      <c r="C41" s="281" t="s">
        <v>498</v>
      </c>
      <c r="D41" s="282" t="s">
        <v>499</v>
      </c>
      <c r="E41" s="282" t="s">
        <v>500</v>
      </c>
      <c r="F41" s="286">
        <v>205644</v>
      </c>
      <c r="G41" s="283">
        <v>64</v>
      </c>
      <c r="H41" s="283">
        <f>G41/F41</f>
        <v>3.1121744373772151E-4</v>
      </c>
      <c r="I41" s="304">
        <v>2.435063</v>
      </c>
      <c r="J41" s="283">
        <v>6.9892729999999998</v>
      </c>
      <c r="K41" s="307">
        <v>11</v>
      </c>
    </row>
    <row r="42" spans="1:11" ht="15.75" x14ac:dyDescent="0.5">
      <c r="A42" s="275">
        <v>35</v>
      </c>
      <c r="B42" s="280">
        <v>109</v>
      </c>
      <c r="C42" s="281" t="s">
        <v>501</v>
      </c>
      <c r="D42" s="282" t="s">
        <v>502</v>
      </c>
      <c r="E42" s="282" t="s">
        <v>503</v>
      </c>
      <c r="F42" s="283"/>
      <c r="G42" s="283"/>
      <c r="H42" s="283"/>
      <c r="I42" s="304"/>
      <c r="J42" s="283"/>
      <c r="K42" s="307"/>
    </row>
    <row r="43" spans="1:11" ht="15.75" x14ac:dyDescent="0.5">
      <c r="A43" s="275">
        <v>36</v>
      </c>
      <c r="B43" s="280">
        <v>124</v>
      </c>
      <c r="C43" s="281" t="s">
        <v>504</v>
      </c>
      <c r="D43" s="282" t="s">
        <v>505</v>
      </c>
      <c r="E43" s="282" t="s">
        <v>506</v>
      </c>
      <c r="F43" s="283"/>
      <c r="G43" s="283"/>
      <c r="H43" s="283"/>
      <c r="I43" s="304"/>
      <c r="J43" s="283"/>
      <c r="K43" s="307"/>
    </row>
    <row r="44" spans="1:11" ht="15.75" x14ac:dyDescent="0.5">
      <c r="A44" s="275">
        <v>37</v>
      </c>
      <c r="B44" s="280">
        <v>125</v>
      </c>
      <c r="C44" s="281" t="s">
        <v>507</v>
      </c>
      <c r="D44" s="282" t="s">
        <v>508</v>
      </c>
      <c r="E44" s="282" t="s">
        <v>509</v>
      </c>
      <c r="F44" s="283"/>
      <c r="G44" s="283"/>
      <c r="H44" s="283"/>
      <c r="I44" s="304"/>
      <c r="J44" s="283"/>
      <c r="K44" s="307"/>
    </row>
    <row r="45" spans="1:11" ht="15.75" x14ac:dyDescent="0.5">
      <c r="A45" s="275">
        <v>38</v>
      </c>
      <c r="B45" s="280">
        <v>110</v>
      </c>
      <c r="C45" s="281" t="s">
        <v>510</v>
      </c>
      <c r="D45" s="282" t="s">
        <v>511</v>
      </c>
      <c r="E45" s="282" t="s">
        <v>512</v>
      </c>
      <c r="F45" s="283">
        <v>1714707</v>
      </c>
      <c r="G45" s="283">
        <v>501</v>
      </c>
      <c r="H45" s="283">
        <f>G45/F45</f>
        <v>2.9217819720803612E-4</v>
      </c>
      <c r="I45" s="304">
        <v>2.3929179999999999</v>
      </c>
      <c r="J45" s="283">
        <v>7.2502222200000004</v>
      </c>
      <c r="K45" s="307">
        <v>27</v>
      </c>
    </row>
    <row r="46" spans="1:11" ht="15.75" x14ac:dyDescent="0.5">
      <c r="A46" s="275">
        <v>39</v>
      </c>
      <c r="B46" s="280">
        <v>95</v>
      </c>
      <c r="C46" s="281" t="s">
        <v>513</v>
      </c>
      <c r="D46" s="282" t="s">
        <v>514</v>
      </c>
      <c r="E46" s="282" t="s">
        <v>515</v>
      </c>
      <c r="F46" s="283"/>
      <c r="G46" s="283"/>
      <c r="H46" s="283"/>
      <c r="I46" s="304"/>
      <c r="J46" s="283"/>
      <c r="K46" s="307"/>
    </row>
    <row r="47" spans="1:11" ht="15.75" x14ac:dyDescent="0.5">
      <c r="A47" s="287">
        <v>40</v>
      </c>
      <c r="B47" s="288">
        <v>80</v>
      </c>
      <c r="C47" s="289" t="s">
        <v>516</v>
      </c>
      <c r="D47" s="290" t="s">
        <v>517</v>
      </c>
      <c r="E47" s="290" t="s">
        <v>518</v>
      </c>
      <c r="F47" s="283"/>
      <c r="G47" s="283"/>
      <c r="H47" s="283"/>
      <c r="I47" s="304"/>
      <c r="J47" s="283"/>
      <c r="K47" s="307"/>
    </row>
    <row r="48" spans="1:11" ht="15.75" x14ac:dyDescent="0.5">
      <c r="A48" s="275">
        <v>41</v>
      </c>
      <c r="B48" s="280">
        <v>65</v>
      </c>
      <c r="C48" s="281" t="s">
        <v>519</v>
      </c>
      <c r="D48" s="282" t="s">
        <v>468</v>
      </c>
      <c r="E48" s="282" t="s">
        <v>520</v>
      </c>
      <c r="F48" s="283"/>
      <c r="G48" s="283"/>
      <c r="H48" s="283"/>
      <c r="I48" s="304"/>
      <c r="J48" s="283"/>
      <c r="K48" s="307"/>
    </row>
    <row r="49" spans="1:11" ht="15.75" x14ac:dyDescent="0.5">
      <c r="A49" s="275">
        <v>42</v>
      </c>
      <c r="B49" s="280">
        <v>50</v>
      </c>
      <c r="C49" s="281" t="s">
        <v>521</v>
      </c>
      <c r="D49" s="282" t="s">
        <v>522</v>
      </c>
      <c r="E49" s="282" t="s">
        <v>523</v>
      </c>
      <c r="F49" s="283"/>
      <c r="G49" s="283"/>
      <c r="H49" s="283"/>
      <c r="I49" s="304"/>
      <c r="J49" s="283"/>
      <c r="K49" s="307"/>
    </row>
    <row r="50" spans="1:11" ht="15.75" x14ac:dyDescent="0.5">
      <c r="A50" s="275">
        <v>43</v>
      </c>
      <c r="B50" s="280">
        <v>35</v>
      </c>
      <c r="C50" s="281" t="s">
        <v>524</v>
      </c>
      <c r="D50" s="282" t="s">
        <v>421</v>
      </c>
      <c r="E50" s="282" t="s">
        <v>525</v>
      </c>
      <c r="F50" s="283">
        <v>1135671</v>
      </c>
      <c r="G50" s="291">
        <v>399</v>
      </c>
      <c r="H50" s="283"/>
      <c r="I50" s="304"/>
      <c r="J50" s="283"/>
      <c r="K50" s="307"/>
    </row>
    <row r="51" spans="1:11" ht="15.75" x14ac:dyDescent="0.5">
      <c r="A51" s="275">
        <v>44</v>
      </c>
      <c r="B51" s="280">
        <v>20</v>
      </c>
      <c r="C51" s="281" t="s">
        <v>526</v>
      </c>
      <c r="D51" s="282" t="s">
        <v>527</v>
      </c>
      <c r="E51" s="282" t="s">
        <v>528</v>
      </c>
      <c r="F51" s="283"/>
      <c r="G51" s="283"/>
      <c r="H51" s="283"/>
      <c r="I51" s="304"/>
      <c r="J51" s="283"/>
      <c r="K51" s="307"/>
    </row>
    <row r="52" spans="1:11" ht="15.75" x14ac:dyDescent="0.5">
      <c r="A52" s="275">
        <v>45</v>
      </c>
      <c r="B52" s="280">
        <v>5</v>
      </c>
      <c r="C52" s="281" t="s">
        <v>529</v>
      </c>
      <c r="D52" s="282" t="s">
        <v>530</v>
      </c>
      <c r="E52" s="282" t="s">
        <v>528</v>
      </c>
      <c r="F52" s="283"/>
      <c r="G52" s="283"/>
      <c r="H52" s="283"/>
      <c r="I52" s="304"/>
      <c r="J52" s="283"/>
      <c r="K52" s="307"/>
    </row>
    <row r="53" spans="1:11" ht="15.75" x14ac:dyDescent="0.5">
      <c r="A53" s="275">
        <v>46</v>
      </c>
      <c r="B53" s="280">
        <v>6</v>
      </c>
      <c r="C53" s="281" t="s">
        <v>531</v>
      </c>
      <c r="D53" s="282" t="s">
        <v>532</v>
      </c>
      <c r="E53" s="282" t="s">
        <v>533</v>
      </c>
      <c r="F53" s="283"/>
      <c r="G53" s="283"/>
      <c r="H53" s="283"/>
      <c r="I53" s="304"/>
      <c r="J53" s="283"/>
      <c r="K53" s="307"/>
    </row>
    <row r="54" spans="1:11" ht="15.75" x14ac:dyDescent="0.5">
      <c r="A54" s="275">
        <v>47</v>
      </c>
      <c r="B54" s="280">
        <v>21</v>
      </c>
      <c r="C54" s="281" t="s">
        <v>534</v>
      </c>
      <c r="D54" s="282" t="s">
        <v>535</v>
      </c>
      <c r="E54" s="282" t="s">
        <v>536</v>
      </c>
      <c r="F54" s="283">
        <v>436505</v>
      </c>
      <c r="G54" s="283">
        <v>246</v>
      </c>
      <c r="H54" s="283">
        <f>G54/F54</f>
        <v>5.6356742763542225E-4</v>
      </c>
      <c r="I54" s="304">
        <v>1.8816900000000001</v>
      </c>
      <c r="J54" s="283">
        <v>3.8192400000000002</v>
      </c>
      <c r="K54" s="307">
        <v>25</v>
      </c>
    </row>
    <row r="55" spans="1:11" ht="15.75" x14ac:dyDescent="0.5">
      <c r="A55" s="275">
        <v>48</v>
      </c>
      <c r="B55" s="280">
        <v>36</v>
      </c>
      <c r="C55" s="281" t="s">
        <v>537</v>
      </c>
      <c r="D55" s="282" t="s">
        <v>538</v>
      </c>
      <c r="E55" s="282" t="s">
        <v>539</v>
      </c>
      <c r="F55" s="283">
        <v>60862</v>
      </c>
      <c r="G55" s="283">
        <v>32</v>
      </c>
      <c r="H55" s="283">
        <f>G55/F55</f>
        <v>5.2577963261148174E-4</v>
      </c>
      <c r="I55" s="304">
        <v>2.53633</v>
      </c>
      <c r="J55" s="283">
        <v>3.72594</v>
      </c>
      <c r="K55" s="307">
        <v>32</v>
      </c>
    </row>
    <row r="56" spans="1:11" ht="15.75" x14ac:dyDescent="0.5">
      <c r="A56" s="287">
        <v>49</v>
      </c>
      <c r="B56" s="288">
        <v>51</v>
      </c>
      <c r="C56" s="289" t="s">
        <v>540</v>
      </c>
      <c r="D56" s="290" t="s">
        <v>541</v>
      </c>
      <c r="E56" s="290" t="s">
        <v>542</v>
      </c>
      <c r="F56" s="286">
        <v>1026369</v>
      </c>
      <c r="G56" s="283">
        <v>272</v>
      </c>
      <c r="H56" s="283">
        <f>G56/F56</f>
        <v>2.650119011778415E-4</v>
      </c>
      <c r="I56" s="304">
        <v>2.1313599999999999</v>
      </c>
      <c r="J56" s="283">
        <v>5.6303299999999998</v>
      </c>
      <c r="K56" s="307">
        <v>18</v>
      </c>
    </row>
    <row r="57" spans="1:11" ht="15.75" x14ac:dyDescent="0.5">
      <c r="A57" s="275">
        <v>50</v>
      </c>
      <c r="B57" s="280">
        <v>66</v>
      </c>
      <c r="C57" s="281" t="s">
        <v>543</v>
      </c>
      <c r="D57" s="282" t="s">
        <v>544</v>
      </c>
      <c r="E57" s="282" t="s">
        <v>545</v>
      </c>
      <c r="I57" s="180"/>
      <c r="K57" s="308"/>
    </row>
    <row r="58" spans="1:11" ht="15.75" x14ac:dyDescent="0.5">
      <c r="A58" s="275">
        <v>51</v>
      </c>
      <c r="B58" s="280">
        <v>81</v>
      </c>
      <c r="C58" s="281" t="s">
        <v>546</v>
      </c>
      <c r="D58" s="282" t="s">
        <v>547</v>
      </c>
      <c r="E58" s="282" t="s">
        <v>548</v>
      </c>
      <c r="I58" s="304"/>
      <c r="J58" s="283"/>
      <c r="K58" s="307"/>
    </row>
    <row r="59" spans="1:11" ht="15.75" x14ac:dyDescent="0.5">
      <c r="E59" s="292" t="s">
        <v>549</v>
      </c>
      <c r="F59" s="293"/>
      <c r="G59" s="293">
        <f>SUM(G8:G58)</f>
        <v>2758</v>
      </c>
      <c r="H59" s="293">
        <f>AVERAGE(H8:H58)</f>
        <v>3.9772712376394317E-4</v>
      </c>
      <c r="I59" s="305">
        <f>AVERAGE(I8:I58)</f>
        <v>2.2231330000000002</v>
      </c>
      <c r="J59" s="293">
        <f>AVERAGE(J8:J58)</f>
        <v>5.6012126911111118</v>
      </c>
      <c r="K59" s="309">
        <f>SUM(K8:K58)</f>
        <v>223</v>
      </c>
    </row>
    <row r="60" spans="1:11" ht="15.75" x14ac:dyDescent="0.5">
      <c r="E60" s="283"/>
      <c r="F60" s="283"/>
      <c r="G60" s="283"/>
      <c r="H60" s="283"/>
    </row>
    <row r="61" spans="1:11" ht="15.75" x14ac:dyDescent="0.5">
      <c r="A61" s="294" t="s">
        <v>550</v>
      </c>
      <c r="B61" s="18"/>
      <c r="C61" s="18"/>
      <c r="D61" s="18"/>
      <c r="E61" s="295">
        <f>G61/F61</f>
        <v>5.0867402443899963E-4</v>
      </c>
      <c r="F61" s="295">
        <f>AVERAGE(F22,F40,F54,F55)</f>
        <v>287020.75</v>
      </c>
      <c r="G61" s="295">
        <f>AVERAGE(G22,G40,G54,G55)</f>
        <v>146</v>
      </c>
      <c r="H61" s="295">
        <f>AVERAGE(H22,H40,H54,H55)</f>
        <v>5.0119391348664704E-4</v>
      </c>
    </row>
    <row r="62" spans="1:11" ht="15.75" x14ac:dyDescent="0.5">
      <c r="E62" s="295"/>
      <c r="F62" s="295"/>
      <c r="G62" s="295"/>
      <c r="H62" s="295"/>
    </row>
    <row r="63" spans="1:11" ht="15.75" x14ac:dyDescent="0.5">
      <c r="E63" s="295">
        <f>G63/F63</f>
        <v>5.0867402443899963E-4</v>
      </c>
      <c r="F63" s="295">
        <f>SUM(F55,F54,F40,F22)</f>
        <v>1148083</v>
      </c>
      <c r="G63" s="295">
        <f>SUM(G55,G54,G40,G22)</f>
        <v>584</v>
      </c>
      <c r="H63" s="295"/>
    </row>
    <row r="68" spans="5:8" ht="15.75" x14ac:dyDescent="0.5">
      <c r="E68" s="283"/>
      <c r="F68" s="240" t="s">
        <v>551</v>
      </c>
      <c r="G68" s="240" t="s">
        <v>552</v>
      </c>
      <c r="H68" s="240" t="s">
        <v>553</v>
      </c>
    </row>
    <row r="69" spans="5:8" ht="15.75" x14ac:dyDescent="0.5">
      <c r="E69" s="283"/>
      <c r="F69" s="281" t="s">
        <v>537</v>
      </c>
      <c r="G69" s="283">
        <v>32</v>
      </c>
      <c r="H69" s="283">
        <v>60862</v>
      </c>
    </row>
    <row r="70" spans="5:8" ht="15.75" x14ac:dyDescent="0.5">
      <c r="E70" s="283"/>
      <c r="F70" s="281" t="s">
        <v>498</v>
      </c>
      <c r="G70" s="283">
        <v>64</v>
      </c>
      <c r="H70" s="286">
        <v>205644</v>
      </c>
    </row>
    <row r="71" spans="5:8" ht="15.75" x14ac:dyDescent="0.5">
      <c r="E71" s="283"/>
      <c r="F71" s="281" t="s">
        <v>496</v>
      </c>
      <c r="G71" s="283">
        <v>103</v>
      </c>
      <c r="H71" s="283">
        <v>279892</v>
      </c>
    </row>
    <row r="72" spans="5:8" ht="15.75" x14ac:dyDescent="0.5">
      <c r="E72" s="283"/>
      <c r="F72" s="281" t="s">
        <v>444</v>
      </c>
      <c r="G72" s="283">
        <v>203</v>
      </c>
      <c r="H72" s="283">
        <v>370824</v>
      </c>
    </row>
    <row r="73" spans="5:8" ht="15.75" x14ac:dyDescent="0.5">
      <c r="E73" s="283"/>
      <c r="F73" s="281" t="s">
        <v>534</v>
      </c>
      <c r="G73" s="283">
        <v>246</v>
      </c>
      <c r="H73" s="283">
        <v>436505</v>
      </c>
    </row>
    <row r="74" spans="5:8" ht="15.75" x14ac:dyDescent="0.5">
      <c r="E74" s="283"/>
      <c r="F74" s="281" t="s">
        <v>540</v>
      </c>
      <c r="G74" s="283">
        <v>272</v>
      </c>
      <c r="H74" s="286">
        <v>1026369</v>
      </c>
    </row>
    <row r="75" spans="5:8" ht="15.75" x14ac:dyDescent="0.5">
      <c r="E75" s="283"/>
      <c r="F75" s="281" t="s">
        <v>450</v>
      </c>
      <c r="G75" s="283">
        <v>299</v>
      </c>
      <c r="H75" s="283">
        <v>1275261</v>
      </c>
    </row>
    <row r="76" spans="5:8" ht="15.75" x14ac:dyDescent="0.5">
      <c r="E76" s="283"/>
      <c r="F76" s="281" t="s">
        <v>470</v>
      </c>
      <c r="G76" s="283">
        <v>639</v>
      </c>
      <c r="H76" s="283">
        <v>1354103</v>
      </c>
    </row>
    <row r="77" spans="5:8" ht="15.75" x14ac:dyDescent="0.5">
      <c r="E77" s="283"/>
      <c r="F77" s="281" t="s">
        <v>510</v>
      </c>
      <c r="G77" s="283">
        <v>501</v>
      </c>
      <c r="H77" s="283">
        <v>1714707</v>
      </c>
    </row>
    <row r="78" spans="5:8" ht="15.75" x14ac:dyDescent="0.5">
      <c r="E78" s="283"/>
      <c r="F78" s="281" t="s">
        <v>409</v>
      </c>
      <c r="G78" s="283">
        <v>546</v>
      </c>
      <c r="H78" s="286">
        <v>2297150</v>
      </c>
    </row>
    <row r="79" spans="5:8" ht="15.75" x14ac:dyDescent="0.5">
      <c r="E79" s="283"/>
      <c r="F79" s="283"/>
      <c r="G79" s="283"/>
      <c r="H79" s="283"/>
    </row>
    <row r="80" spans="5:8" ht="15.75" x14ac:dyDescent="0.5">
      <c r="E80" s="283"/>
      <c r="F80" s="283"/>
      <c r="G80" s="283"/>
      <c r="H80" s="283"/>
    </row>
    <row r="81" spans="5:8" ht="15.75" x14ac:dyDescent="0.5">
      <c r="E81" s="283"/>
      <c r="F81" s="283"/>
      <c r="G81" s="283"/>
      <c r="H81" s="283"/>
    </row>
    <row r="96" spans="5:8" ht="15.75" x14ac:dyDescent="0.5">
      <c r="E96" s="281"/>
      <c r="F96" s="236"/>
      <c r="G96" s="239"/>
    </row>
  </sheetData>
  <pageMargins left="0.7" right="0.7" top="0.75" bottom="0.75" header="0.3" footer="0.3"/>
  <drawing r:id="rId1"/>
  <legacy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23"/>
  <sheetViews>
    <sheetView topLeftCell="A4" workbookViewId="0">
      <selection activeCell="C28" sqref="C28"/>
    </sheetView>
  </sheetViews>
  <sheetFormatPr defaultRowHeight="14.25" x14ac:dyDescent="0.45"/>
  <cols>
    <col min="1" max="1" width="46.53125" bestFit="1" customWidth="1"/>
    <col min="2" max="2" width="16.9296875" bestFit="1" customWidth="1"/>
    <col min="3" max="3" width="11.59765625" bestFit="1" customWidth="1"/>
  </cols>
  <sheetData>
    <row r="1" spans="1:3" ht="57" x14ac:dyDescent="0.45">
      <c r="A1" s="310" t="s">
        <v>565</v>
      </c>
    </row>
    <row r="6" spans="1:3" ht="14.65" thickBot="1" x14ac:dyDescent="0.5"/>
    <row r="7" spans="1:3" ht="15" thickTop="1" thickBot="1" x14ac:dyDescent="0.5">
      <c r="A7" s="17"/>
      <c r="B7" s="17" t="s">
        <v>216</v>
      </c>
    </row>
    <row r="8" spans="1:3" ht="15" thickTop="1" thickBot="1" x14ac:dyDescent="0.5">
      <c r="A8" s="17" t="s">
        <v>215</v>
      </c>
      <c r="B8" s="17" t="s">
        <v>214</v>
      </c>
    </row>
    <row r="9" spans="1:3" ht="14.65" thickTop="1" x14ac:dyDescent="0.45"/>
    <row r="10" spans="1:3" x14ac:dyDescent="0.45">
      <c r="A10" s="27" t="s">
        <v>0</v>
      </c>
      <c r="B10" s="27" t="s">
        <v>40</v>
      </c>
      <c r="C10" s="27" t="s">
        <v>86</v>
      </c>
    </row>
    <row r="11" spans="1:3" x14ac:dyDescent="0.45">
      <c r="A11" t="s">
        <v>212</v>
      </c>
      <c r="B11">
        <v>1</v>
      </c>
      <c r="C11">
        <v>719.726</v>
      </c>
    </row>
    <row r="12" spans="1:3" x14ac:dyDescent="0.45">
      <c r="A12" t="s">
        <v>212</v>
      </c>
      <c r="B12">
        <v>2</v>
      </c>
      <c r="C12">
        <v>713.96400000000006</v>
      </c>
    </row>
    <row r="13" spans="1:3" x14ac:dyDescent="0.45">
      <c r="A13" t="s">
        <v>212</v>
      </c>
      <c r="B13">
        <v>3</v>
      </c>
      <c r="C13">
        <v>676.57</v>
      </c>
    </row>
    <row r="14" spans="1:3" x14ac:dyDescent="0.45">
      <c r="A14" t="s">
        <v>212</v>
      </c>
      <c r="B14">
        <v>4</v>
      </c>
      <c r="C14">
        <v>646.91700000000003</v>
      </c>
    </row>
    <row r="15" spans="1:3" x14ac:dyDescent="0.45">
      <c r="A15" t="s">
        <v>212</v>
      </c>
      <c r="B15">
        <v>5</v>
      </c>
      <c r="C15">
        <v>687.70699999999999</v>
      </c>
    </row>
    <row r="16" spans="1:3" x14ac:dyDescent="0.45">
      <c r="A16" t="s">
        <v>212</v>
      </c>
      <c r="B16">
        <v>6</v>
      </c>
      <c r="C16">
        <v>663.42100000000005</v>
      </c>
    </row>
    <row r="17" spans="1:3" x14ac:dyDescent="0.45">
      <c r="A17" t="s">
        <v>213</v>
      </c>
      <c r="B17">
        <v>7</v>
      </c>
      <c r="C17">
        <v>709.91200000000003</v>
      </c>
    </row>
    <row r="18" spans="1:3" x14ac:dyDescent="0.45">
      <c r="A18" t="s">
        <v>213</v>
      </c>
      <c r="B18">
        <v>8</v>
      </c>
      <c r="C18">
        <v>732.07299999999998</v>
      </c>
    </row>
    <row r="19" spans="1:3" x14ac:dyDescent="0.45">
      <c r="A19" t="s">
        <v>213</v>
      </c>
      <c r="B19">
        <v>9</v>
      </c>
      <c r="C19">
        <v>736.57</v>
      </c>
    </row>
    <row r="20" spans="1:3" x14ac:dyDescent="0.45">
      <c r="A20" t="s">
        <v>213</v>
      </c>
      <c r="B20">
        <v>10</v>
      </c>
      <c r="C20">
        <v>718.99300000000005</v>
      </c>
    </row>
    <row r="21" spans="1:3" x14ac:dyDescent="0.45">
      <c r="A21" t="s">
        <v>213</v>
      </c>
      <c r="B21">
        <v>11</v>
      </c>
      <c r="C21">
        <v>758.16200000000003</v>
      </c>
    </row>
    <row r="22" spans="1:3" x14ac:dyDescent="0.45">
      <c r="A22" t="s">
        <v>213</v>
      </c>
      <c r="B22">
        <v>12</v>
      </c>
      <c r="C22">
        <v>727.8</v>
      </c>
    </row>
    <row r="23" spans="1:3" x14ac:dyDescent="0.45">
      <c r="B23" s="128" t="s">
        <v>11</v>
      </c>
      <c r="C23" s="311">
        <f>AVERAGE(C11:C22)</f>
        <v>707.65125</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E54"/>
  <sheetViews>
    <sheetView topLeftCell="A34" workbookViewId="0"/>
  </sheetViews>
  <sheetFormatPr defaultRowHeight="14.25" x14ac:dyDescent="0.45"/>
  <cols>
    <col min="1" max="1" width="63" customWidth="1"/>
    <col min="2" max="2" width="14.9296875" bestFit="1" customWidth="1"/>
    <col min="3" max="3" width="27.9296875" bestFit="1" customWidth="1"/>
    <col min="7" max="7" width="11" bestFit="1" customWidth="1"/>
  </cols>
  <sheetData>
    <row r="1" spans="1:3" ht="85.5" x14ac:dyDescent="0.45">
      <c r="A1" s="310" t="s">
        <v>567</v>
      </c>
    </row>
    <row r="3" spans="1:3" x14ac:dyDescent="0.45">
      <c r="A3" t="s">
        <v>568</v>
      </c>
      <c r="B3" s="312">
        <f>C22/'Wall Thickness'!C23</f>
        <v>8.6713617760160802E-2</v>
      </c>
    </row>
    <row r="4" spans="1:3" x14ac:dyDescent="0.45">
      <c r="A4" t="s">
        <v>228</v>
      </c>
      <c r="B4">
        <f>C22*1189*1189</f>
        <v>86750161.72299999</v>
      </c>
      <c r="C4" s="133"/>
    </row>
    <row r="5" spans="1:3" ht="14.65" thickBot="1" x14ac:dyDescent="0.5"/>
    <row r="6" spans="1:3" ht="15" thickTop="1" thickBot="1" x14ac:dyDescent="0.5">
      <c r="A6" s="17" t="s">
        <v>226</v>
      </c>
    </row>
    <row r="7" spans="1:3" ht="14.65" thickTop="1" x14ac:dyDescent="0.45">
      <c r="A7" s="27" t="s">
        <v>0</v>
      </c>
      <c r="B7" s="27" t="s">
        <v>40</v>
      </c>
      <c r="C7" s="27" t="s">
        <v>225</v>
      </c>
    </row>
    <row r="8" spans="1:3" x14ac:dyDescent="0.45">
      <c r="A8" t="s">
        <v>212</v>
      </c>
      <c r="B8">
        <v>1</v>
      </c>
      <c r="C8">
        <v>42.034999999999997</v>
      </c>
    </row>
    <row r="9" spans="1:3" x14ac:dyDescent="0.45">
      <c r="A9" t="s">
        <v>212</v>
      </c>
      <c r="B9">
        <v>2</v>
      </c>
      <c r="C9">
        <v>37.802999999999997</v>
      </c>
    </row>
    <row r="10" spans="1:3" x14ac:dyDescent="0.45">
      <c r="A10" t="s">
        <v>212</v>
      </c>
      <c r="B10">
        <v>3</v>
      </c>
      <c r="C10">
        <v>46.399000000000001</v>
      </c>
    </row>
    <row r="11" spans="1:3" x14ac:dyDescent="0.45">
      <c r="A11" t="s">
        <v>212</v>
      </c>
      <c r="B11">
        <v>4</v>
      </c>
      <c r="C11">
        <v>33.268000000000001</v>
      </c>
    </row>
    <row r="12" spans="1:3" x14ac:dyDescent="0.45">
      <c r="A12" t="s">
        <v>212</v>
      </c>
      <c r="B12">
        <v>5</v>
      </c>
      <c r="C12">
        <v>52.255000000000003</v>
      </c>
    </row>
    <row r="13" spans="1:3" x14ac:dyDescent="0.45">
      <c r="A13" t="s">
        <v>212</v>
      </c>
      <c r="B13">
        <v>6</v>
      </c>
      <c r="C13">
        <v>38.283000000000001</v>
      </c>
    </row>
    <row r="14" spans="1:3" x14ac:dyDescent="0.45">
      <c r="A14" t="s">
        <v>212</v>
      </c>
      <c r="B14">
        <v>7</v>
      </c>
      <c r="C14">
        <v>44.14</v>
      </c>
    </row>
    <row r="15" spans="1:3" x14ac:dyDescent="0.45">
      <c r="A15" t="s">
        <v>267</v>
      </c>
      <c r="B15">
        <v>1</v>
      </c>
      <c r="C15">
        <v>78.733000000000004</v>
      </c>
    </row>
    <row r="16" spans="1:3" x14ac:dyDescent="0.45">
      <c r="A16" t="s">
        <v>267</v>
      </c>
      <c r="B16">
        <v>2</v>
      </c>
      <c r="C16">
        <v>80.346000000000004</v>
      </c>
    </row>
    <row r="17" spans="1:5" x14ac:dyDescent="0.45">
      <c r="A17" t="s">
        <v>267</v>
      </c>
      <c r="B17">
        <v>3</v>
      </c>
      <c r="C17">
        <v>62.341000000000001</v>
      </c>
    </row>
    <row r="18" spans="1:5" x14ac:dyDescent="0.45">
      <c r="A18" t="s">
        <v>268</v>
      </c>
      <c r="B18">
        <v>4</v>
      </c>
      <c r="C18">
        <v>89.727999999999994</v>
      </c>
    </row>
    <row r="19" spans="1:5" x14ac:dyDescent="0.45">
      <c r="A19" t="s">
        <v>268</v>
      </c>
      <c r="B19">
        <v>5</v>
      </c>
      <c r="C19">
        <v>98.748000000000005</v>
      </c>
    </row>
    <row r="20" spans="1:5" x14ac:dyDescent="0.45">
      <c r="A20" t="s">
        <v>268</v>
      </c>
      <c r="B20">
        <v>6</v>
      </c>
      <c r="C20">
        <v>64.001000000000005</v>
      </c>
    </row>
    <row r="21" spans="1:5" x14ac:dyDescent="0.45">
      <c r="A21" t="s">
        <v>268</v>
      </c>
      <c r="B21">
        <v>7</v>
      </c>
      <c r="C21">
        <v>91.001999999999995</v>
      </c>
    </row>
    <row r="22" spans="1:5" x14ac:dyDescent="0.45">
      <c r="B22" s="128" t="s">
        <v>61</v>
      </c>
      <c r="C22" s="311">
        <f>AVERAGE(C8:C21)</f>
        <v>61.362999999999992</v>
      </c>
    </row>
    <row r="23" spans="1:5" x14ac:dyDescent="0.45">
      <c r="B23" s="128" t="s">
        <v>211</v>
      </c>
      <c r="C23" s="128">
        <f>_xlfn.STDEV.P(C8:C21)</f>
        <v>21.720362049731833</v>
      </c>
    </row>
    <row r="24" spans="1:5" ht="14.65" thickBot="1" x14ac:dyDescent="0.5"/>
    <row r="25" spans="1:5" ht="15" thickTop="1" thickBot="1" x14ac:dyDescent="0.5">
      <c r="A25" s="17" t="s">
        <v>232</v>
      </c>
    </row>
    <row r="26" spans="1:5" ht="14.65" thickTop="1" x14ac:dyDescent="0.45">
      <c r="A26" t="s">
        <v>233</v>
      </c>
      <c r="B26" s="25">
        <f>C38/'Wall Thickness'!C23</f>
        <v>5.1245738788861198E-2</v>
      </c>
    </row>
    <row r="27" spans="1:5" x14ac:dyDescent="0.45">
      <c r="A27" t="s">
        <v>234</v>
      </c>
      <c r="B27">
        <f>C38*1189*1189</f>
        <v>51267335.424111113</v>
      </c>
    </row>
    <row r="28" spans="1:5" x14ac:dyDescent="0.45">
      <c r="A28" s="27" t="s">
        <v>0</v>
      </c>
      <c r="B28" s="27" t="s">
        <v>40</v>
      </c>
      <c r="C28" s="27" t="s">
        <v>227</v>
      </c>
    </row>
    <row r="29" spans="1:5" x14ac:dyDescent="0.45">
      <c r="A29" t="s">
        <v>212</v>
      </c>
      <c r="B29">
        <v>1</v>
      </c>
      <c r="C29">
        <v>26.452999999999999</v>
      </c>
      <c r="E29" t="s">
        <v>14</v>
      </c>
    </row>
    <row r="30" spans="1:5" x14ac:dyDescent="0.45">
      <c r="A30" t="s">
        <v>212</v>
      </c>
      <c r="B30">
        <v>2</v>
      </c>
      <c r="C30">
        <v>48.356000000000002</v>
      </c>
    </row>
    <row r="31" spans="1:5" x14ac:dyDescent="0.45">
      <c r="A31" t="s">
        <v>212</v>
      </c>
      <c r="B31">
        <v>3</v>
      </c>
      <c r="C31">
        <v>36.646000000000001</v>
      </c>
    </row>
    <row r="32" spans="1:5" x14ac:dyDescent="0.45">
      <c r="A32" t="s">
        <v>212</v>
      </c>
      <c r="B32">
        <v>4</v>
      </c>
      <c r="C32">
        <v>36.773000000000003</v>
      </c>
    </row>
    <row r="33" spans="1:3" x14ac:dyDescent="0.45">
      <c r="A33" t="s">
        <v>212</v>
      </c>
      <c r="B33">
        <v>5</v>
      </c>
      <c r="C33">
        <v>37.256999999999998</v>
      </c>
    </row>
    <row r="34" spans="1:3" x14ac:dyDescent="0.45">
      <c r="A34" t="s">
        <v>212</v>
      </c>
      <c r="B34">
        <v>6</v>
      </c>
      <c r="C34">
        <v>39.713999999999999</v>
      </c>
    </row>
    <row r="35" spans="1:3" x14ac:dyDescent="0.45">
      <c r="A35" t="s">
        <v>212</v>
      </c>
      <c r="B35">
        <v>7</v>
      </c>
      <c r="C35">
        <v>27.312999999999999</v>
      </c>
    </row>
    <row r="36" spans="1:3" x14ac:dyDescent="0.45">
      <c r="A36" t="s">
        <v>212</v>
      </c>
      <c r="B36">
        <v>8</v>
      </c>
      <c r="C36">
        <v>29.646999999999998</v>
      </c>
    </row>
    <row r="37" spans="1:3" x14ac:dyDescent="0.45">
      <c r="A37" t="s">
        <v>212</v>
      </c>
      <c r="B37">
        <v>9</v>
      </c>
      <c r="C37">
        <v>44.218000000000004</v>
      </c>
    </row>
    <row r="38" spans="1:3" x14ac:dyDescent="0.45">
      <c r="B38" s="128" t="s">
        <v>61</v>
      </c>
      <c r="C38" s="311">
        <f>AVERAGE(C29:C37)</f>
        <v>36.264111111111113</v>
      </c>
    </row>
    <row r="39" spans="1:3" x14ac:dyDescent="0.45">
      <c r="B39" s="128" t="s">
        <v>211</v>
      </c>
      <c r="C39" s="128">
        <f>_xlfn.STDEV.P(C29:C37)</f>
        <v>7.0153557357247092</v>
      </c>
    </row>
    <row r="41" spans="1:3" ht="14.65" thickBot="1" x14ac:dyDescent="0.5"/>
    <row r="42" spans="1:3" ht="15" thickTop="1" thickBot="1" x14ac:dyDescent="0.5">
      <c r="A42" s="17" t="s">
        <v>566</v>
      </c>
    </row>
    <row r="43" spans="1:3" ht="14.65" thickTop="1" x14ac:dyDescent="0.45">
      <c r="A43" s="27" t="s">
        <v>0</v>
      </c>
      <c r="B43" s="27" t="s">
        <v>40</v>
      </c>
      <c r="C43" s="27" t="s">
        <v>58</v>
      </c>
    </row>
    <row r="44" spans="1:3" x14ac:dyDescent="0.45">
      <c r="A44" t="s">
        <v>267</v>
      </c>
      <c r="B44">
        <v>1</v>
      </c>
      <c r="C44">
        <v>42.374000000000002</v>
      </c>
    </row>
    <row r="45" spans="1:3" x14ac:dyDescent="0.45">
      <c r="A45" t="s">
        <v>267</v>
      </c>
      <c r="B45">
        <v>2</v>
      </c>
      <c r="C45">
        <v>19.940000000000001</v>
      </c>
    </row>
    <row r="46" spans="1:3" x14ac:dyDescent="0.45">
      <c r="A46" t="s">
        <v>267</v>
      </c>
      <c r="B46">
        <v>3</v>
      </c>
      <c r="C46">
        <v>39.527999999999999</v>
      </c>
    </row>
    <row r="47" spans="1:3" x14ac:dyDescent="0.45">
      <c r="A47" t="s">
        <v>267</v>
      </c>
      <c r="B47">
        <v>4</v>
      </c>
      <c r="C47">
        <v>37.558</v>
      </c>
    </row>
    <row r="48" spans="1:3" x14ac:dyDescent="0.45">
      <c r="A48" t="s">
        <v>267</v>
      </c>
      <c r="B48">
        <v>5</v>
      </c>
      <c r="C48">
        <v>32.39</v>
      </c>
    </row>
    <row r="49" spans="1:3" x14ac:dyDescent="0.45">
      <c r="A49" t="s">
        <v>267</v>
      </c>
      <c r="B49">
        <v>6</v>
      </c>
      <c r="C49">
        <v>14.255000000000001</v>
      </c>
    </row>
    <row r="50" spans="1:3" x14ac:dyDescent="0.45">
      <c r="A50" t="s">
        <v>267</v>
      </c>
      <c r="B50">
        <v>7</v>
      </c>
      <c r="C50">
        <v>29.777000000000001</v>
      </c>
    </row>
    <row r="51" spans="1:3" x14ac:dyDescent="0.45">
      <c r="A51" t="s">
        <v>267</v>
      </c>
      <c r="B51">
        <v>8</v>
      </c>
      <c r="C51">
        <v>19.879000000000001</v>
      </c>
    </row>
    <row r="52" spans="1:3" x14ac:dyDescent="0.45">
      <c r="A52" t="s">
        <v>267</v>
      </c>
      <c r="B52">
        <v>9</v>
      </c>
      <c r="C52">
        <v>33.622999999999998</v>
      </c>
    </row>
    <row r="53" spans="1:3" x14ac:dyDescent="0.45">
      <c r="A53" t="s">
        <v>267</v>
      </c>
      <c r="B53">
        <v>10</v>
      </c>
      <c r="C53">
        <v>29.678000000000001</v>
      </c>
    </row>
    <row r="54" spans="1:3" x14ac:dyDescent="0.45">
      <c r="B54" s="128" t="s">
        <v>61</v>
      </c>
      <c r="C54" s="311">
        <f>AVERAGE(C44:C53)</f>
        <v>29.900200000000002</v>
      </c>
    </row>
  </sheetData>
  <pageMargins left="0.7" right="0.7" top="0.75" bottom="0.75" header="0.3" footer="0.3"/>
  <drawing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98"/>
  <sheetViews>
    <sheetView workbookViewId="0">
      <selection activeCell="B5" sqref="B4:B5"/>
    </sheetView>
  </sheetViews>
  <sheetFormatPr defaultRowHeight="14.25" x14ac:dyDescent="0.45"/>
  <cols>
    <col min="1" max="1" width="57.796875" customWidth="1"/>
    <col min="2" max="9" width="17.46484375" customWidth="1"/>
    <col min="10" max="10" width="21.06640625" customWidth="1"/>
    <col min="11" max="11" width="15.9296875" customWidth="1"/>
    <col min="12" max="12" width="27.46484375" customWidth="1"/>
  </cols>
  <sheetData>
    <row r="1" spans="1:12" ht="85.5" x14ac:dyDescent="0.45">
      <c r="A1" s="310" t="s">
        <v>571</v>
      </c>
    </row>
    <row r="5" spans="1:12" ht="38.25" customHeight="1" x14ac:dyDescent="0.45">
      <c r="A5" s="1" t="s">
        <v>0</v>
      </c>
      <c r="B5" s="1" t="s">
        <v>8</v>
      </c>
      <c r="C5" s="2" t="s">
        <v>1</v>
      </c>
      <c r="D5" s="3" t="s">
        <v>2</v>
      </c>
      <c r="E5" s="3" t="s">
        <v>3</v>
      </c>
      <c r="F5" s="2" t="s">
        <v>4</v>
      </c>
      <c r="G5" s="3" t="s">
        <v>5</v>
      </c>
      <c r="H5" s="1" t="s">
        <v>6</v>
      </c>
      <c r="I5" s="3" t="s">
        <v>7</v>
      </c>
      <c r="J5" s="6" t="s">
        <v>217</v>
      </c>
      <c r="K5" s="6" t="s">
        <v>218</v>
      </c>
      <c r="L5" s="6" t="s">
        <v>253</v>
      </c>
    </row>
    <row r="6" spans="1:12" ht="38.25" customHeight="1" x14ac:dyDescent="0.45">
      <c r="A6" s="4"/>
      <c r="B6" s="4"/>
      <c r="C6" s="5"/>
      <c r="D6" s="6"/>
      <c r="E6" s="6"/>
      <c r="F6">
        <f>COUNT(E11:E85)</f>
        <v>75</v>
      </c>
      <c r="G6">
        <f>SUM(E11:E85)</f>
        <v>17989.631668850117</v>
      </c>
      <c r="H6">
        <f>C7*3</f>
        <v>89650.26</v>
      </c>
      <c r="I6" s="7">
        <f>G6/H6</f>
        <v>0.20066457887406147</v>
      </c>
      <c r="J6">
        <f>1.189^2*1000</f>
        <v>1413.7210000000002</v>
      </c>
      <c r="K6">
        <f>J6*I6</f>
        <v>283.68372911041712</v>
      </c>
      <c r="L6" s="180">
        <f>K6/1000</f>
        <v>0.28368372911041712</v>
      </c>
    </row>
    <row r="7" spans="1:12" x14ac:dyDescent="0.45">
      <c r="A7" s="30" t="s">
        <v>10</v>
      </c>
      <c r="B7" s="30">
        <v>1</v>
      </c>
      <c r="C7" s="30">
        <v>29883.42</v>
      </c>
      <c r="E7">
        <v>0</v>
      </c>
      <c r="F7">
        <v>0</v>
      </c>
    </row>
    <row r="8" spans="1:12" x14ac:dyDescent="0.45">
      <c r="A8" s="30" t="s">
        <v>10</v>
      </c>
      <c r="B8" s="30">
        <v>2</v>
      </c>
      <c r="C8" s="30">
        <v>29883.42</v>
      </c>
      <c r="E8">
        <v>0</v>
      </c>
      <c r="F8">
        <v>0</v>
      </c>
    </row>
    <row r="9" spans="1:12" x14ac:dyDescent="0.45">
      <c r="A9" s="30" t="s">
        <v>10</v>
      </c>
      <c r="B9" s="30">
        <v>3</v>
      </c>
      <c r="C9" s="30">
        <v>29883.42</v>
      </c>
      <c r="E9">
        <v>0</v>
      </c>
      <c r="F9">
        <v>0</v>
      </c>
    </row>
    <row r="11" spans="1:12" x14ac:dyDescent="0.45">
      <c r="A11" t="s">
        <v>9</v>
      </c>
      <c r="B11">
        <v>4</v>
      </c>
      <c r="C11">
        <v>18.346</v>
      </c>
      <c r="D11">
        <f>C11/2</f>
        <v>9.173</v>
      </c>
      <c r="E11">
        <f>PI()*D11^2</f>
        <v>264.34594919058117</v>
      </c>
    </row>
    <row r="12" spans="1:12" x14ac:dyDescent="0.45">
      <c r="A12" t="s">
        <v>9</v>
      </c>
      <c r="B12">
        <v>5</v>
      </c>
      <c r="C12">
        <v>27.523</v>
      </c>
      <c r="D12">
        <f t="shared" ref="D12:D75" si="0">C12/2</f>
        <v>13.7615</v>
      </c>
      <c r="E12">
        <f t="shared" ref="E12:E75" si="1">PI()*D12^2</f>
        <v>594.95130522164652</v>
      </c>
    </row>
    <row r="13" spans="1:12" x14ac:dyDescent="0.45">
      <c r="A13" t="s">
        <v>9</v>
      </c>
      <c r="B13">
        <v>6</v>
      </c>
      <c r="C13">
        <v>28.859000000000002</v>
      </c>
      <c r="D13">
        <f t="shared" si="0"/>
        <v>14.429500000000001</v>
      </c>
      <c r="E13">
        <f t="shared" si="1"/>
        <v>654.11248373787623</v>
      </c>
    </row>
    <row r="14" spans="1:12" x14ac:dyDescent="0.45">
      <c r="A14" t="s">
        <v>9</v>
      </c>
      <c r="B14">
        <v>7</v>
      </c>
      <c r="C14">
        <v>29.166</v>
      </c>
      <c r="D14">
        <f t="shared" si="0"/>
        <v>14.583</v>
      </c>
      <c r="E14">
        <f t="shared" si="1"/>
        <v>668.10331136623529</v>
      </c>
      <c r="F14" t="s">
        <v>14</v>
      </c>
    </row>
    <row r="15" spans="1:12" x14ac:dyDescent="0.45">
      <c r="A15" t="s">
        <v>9</v>
      </c>
      <c r="B15">
        <v>8</v>
      </c>
      <c r="C15">
        <v>21.86</v>
      </c>
      <c r="D15">
        <f t="shared" si="0"/>
        <v>10.93</v>
      </c>
      <c r="E15">
        <f t="shared" si="1"/>
        <v>375.31005220183926</v>
      </c>
    </row>
    <row r="16" spans="1:12" x14ac:dyDescent="0.45">
      <c r="A16" t="s">
        <v>9</v>
      </c>
      <c r="B16">
        <v>9</v>
      </c>
      <c r="C16">
        <v>16.643999999999998</v>
      </c>
      <c r="D16">
        <f t="shared" si="0"/>
        <v>8.3219999999999992</v>
      </c>
      <c r="E16">
        <f t="shared" si="1"/>
        <v>217.57314807373615</v>
      </c>
    </row>
    <row r="17" spans="1:5" x14ac:dyDescent="0.45">
      <c r="A17" t="s">
        <v>9</v>
      </c>
      <c r="B17">
        <v>10</v>
      </c>
      <c r="C17">
        <v>14.146000000000001</v>
      </c>
      <c r="D17">
        <f t="shared" si="0"/>
        <v>7.0730000000000004</v>
      </c>
      <c r="E17">
        <f t="shared" si="1"/>
        <v>157.16548926511965</v>
      </c>
    </row>
    <row r="18" spans="1:5" x14ac:dyDescent="0.45">
      <c r="A18" t="s">
        <v>9</v>
      </c>
      <c r="B18">
        <v>11</v>
      </c>
      <c r="C18">
        <v>20.024000000000001</v>
      </c>
      <c r="D18">
        <f t="shared" si="0"/>
        <v>10.012</v>
      </c>
      <c r="E18">
        <f t="shared" si="1"/>
        <v>314.91369998518303</v>
      </c>
    </row>
    <row r="19" spans="1:5" x14ac:dyDescent="0.45">
      <c r="A19" t="s">
        <v>9</v>
      </c>
      <c r="B19">
        <v>12</v>
      </c>
      <c r="C19">
        <v>19.137</v>
      </c>
      <c r="D19">
        <f t="shared" si="0"/>
        <v>9.5685000000000002</v>
      </c>
      <c r="E19">
        <f t="shared" si="1"/>
        <v>287.63226096325479</v>
      </c>
    </row>
    <row r="20" spans="1:5" x14ac:dyDescent="0.45">
      <c r="A20" t="s">
        <v>9</v>
      </c>
      <c r="B20">
        <v>13</v>
      </c>
      <c r="C20">
        <v>25.286999999999999</v>
      </c>
      <c r="D20">
        <f t="shared" si="0"/>
        <v>12.6435</v>
      </c>
      <c r="E20">
        <f t="shared" si="1"/>
        <v>502.20900822947942</v>
      </c>
    </row>
    <row r="21" spans="1:5" x14ac:dyDescent="0.45">
      <c r="A21" t="s">
        <v>9</v>
      </c>
      <c r="B21">
        <v>14</v>
      </c>
      <c r="C21">
        <v>12.023</v>
      </c>
      <c r="D21">
        <f t="shared" si="0"/>
        <v>6.0114999999999998</v>
      </c>
      <c r="E21">
        <f t="shared" si="1"/>
        <v>113.53129079105638</v>
      </c>
    </row>
    <row r="22" spans="1:5" x14ac:dyDescent="0.45">
      <c r="A22" t="s">
        <v>9</v>
      </c>
      <c r="B22">
        <v>15</v>
      </c>
      <c r="C22">
        <v>24.582000000000001</v>
      </c>
      <c r="D22">
        <f t="shared" si="0"/>
        <v>12.291</v>
      </c>
      <c r="E22">
        <f t="shared" si="1"/>
        <v>474.59625841709993</v>
      </c>
    </row>
    <row r="23" spans="1:5" x14ac:dyDescent="0.45">
      <c r="A23" t="s">
        <v>9</v>
      </c>
      <c r="B23">
        <v>16</v>
      </c>
      <c r="C23">
        <v>9.1029999999999998</v>
      </c>
      <c r="D23">
        <f t="shared" si="0"/>
        <v>4.5514999999999999</v>
      </c>
      <c r="E23">
        <f t="shared" si="1"/>
        <v>65.081711719247664</v>
      </c>
    </row>
    <row r="24" spans="1:5" x14ac:dyDescent="0.45">
      <c r="A24" t="s">
        <v>9</v>
      </c>
      <c r="B24">
        <v>17</v>
      </c>
      <c r="C24">
        <v>7.5250000000000004</v>
      </c>
      <c r="D24">
        <f t="shared" si="0"/>
        <v>3.7625000000000002</v>
      </c>
      <c r="E24">
        <f t="shared" si="1"/>
        <v>44.47366187623264</v>
      </c>
    </row>
    <row r="25" spans="1:5" x14ac:dyDescent="0.45">
      <c r="A25" t="s">
        <v>9</v>
      </c>
      <c r="B25">
        <v>18</v>
      </c>
      <c r="C25">
        <v>9.3379999999999992</v>
      </c>
      <c r="D25">
        <f t="shared" si="0"/>
        <v>4.6689999999999996</v>
      </c>
      <c r="E25">
        <f t="shared" si="1"/>
        <v>68.485340689082548</v>
      </c>
    </row>
    <row r="26" spans="1:5" x14ac:dyDescent="0.45">
      <c r="A26" t="s">
        <v>9</v>
      </c>
      <c r="B26">
        <v>19</v>
      </c>
      <c r="C26">
        <v>8.91</v>
      </c>
      <c r="D26">
        <f t="shared" si="0"/>
        <v>4.4550000000000001</v>
      </c>
      <c r="E26">
        <f t="shared" si="1"/>
        <v>62.351267935612974</v>
      </c>
    </row>
    <row r="27" spans="1:5" x14ac:dyDescent="0.45">
      <c r="A27" t="s">
        <v>9</v>
      </c>
      <c r="B27">
        <v>20</v>
      </c>
      <c r="C27">
        <v>5.2320000000000002</v>
      </c>
      <c r="D27">
        <f t="shared" si="0"/>
        <v>2.6160000000000001</v>
      </c>
      <c r="E27">
        <f t="shared" si="1"/>
        <v>21.499351094764993</v>
      </c>
    </row>
    <row r="28" spans="1:5" x14ac:dyDescent="0.45">
      <c r="A28" t="s">
        <v>9</v>
      </c>
      <c r="B28">
        <v>21</v>
      </c>
      <c r="C28">
        <v>7.5110000000000001</v>
      </c>
      <c r="D28">
        <f t="shared" si="0"/>
        <v>3.7555000000000001</v>
      </c>
      <c r="E28">
        <f t="shared" si="1"/>
        <v>44.308332421244813</v>
      </c>
    </row>
    <row r="29" spans="1:5" x14ac:dyDescent="0.45">
      <c r="A29" t="s">
        <v>9</v>
      </c>
      <c r="B29">
        <v>22</v>
      </c>
      <c r="C29">
        <v>14.839</v>
      </c>
      <c r="D29">
        <f t="shared" si="0"/>
        <v>7.4195000000000002</v>
      </c>
      <c r="E29">
        <f t="shared" si="1"/>
        <v>172.94147194100961</v>
      </c>
    </row>
    <row r="30" spans="1:5" x14ac:dyDescent="0.45">
      <c r="A30" t="s">
        <v>9</v>
      </c>
      <c r="B30">
        <v>23</v>
      </c>
      <c r="C30">
        <v>13.654</v>
      </c>
      <c r="D30">
        <f t="shared" si="0"/>
        <v>6.827</v>
      </c>
      <c r="E30">
        <f t="shared" si="1"/>
        <v>146.42312734543466</v>
      </c>
    </row>
    <row r="31" spans="1:5" x14ac:dyDescent="0.45">
      <c r="A31" t="s">
        <v>9</v>
      </c>
      <c r="B31">
        <v>24</v>
      </c>
      <c r="C31">
        <v>23.167000000000002</v>
      </c>
      <c r="D31">
        <f t="shared" si="0"/>
        <v>11.583500000000001</v>
      </c>
      <c r="E31">
        <f t="shared" si="1"/>
        <v>421.53096109784838</v>
      </c>
    </row>
    <row r="32" spans="1:5" x14ac:dyDescent="0.45">
      <c r="A32" t="s">
        <v>9</v>
      </c>
      <c r="B32">
        <v>25</v>
      </c>
      <c r="C32">
        <v>20.454999999999998</v>
      </c>
      <c r="D32">
        <f t="shared" si="0"/>
        <v>10.227499999999999</v>
      </c>
      <c r="E32">
        <f t="shared" si="1"/>
        <v>328.61610898759017</v>
      </c>
    </row>
    <row r="33" spans="1:5" x14ac:dyDescent="0.45">
      <c r="A33" t="s">
        <v>9</v>
      </c>
      <c r="B33">
        <v>26</v>
      </c>
      <c r="C33">
        <v>18.901</v>
      </c>
      <c r="D33">
        <f t="shared" si="0"/>
        <v>9.4504999999999999</v>
      </c>
      <c r="E33">
        <f t="shared" si="1"/>
        <v>280.58176678317704</v>
      </c>
    </row>
    <row r="34" spans="1:5" x14ac:dyDescent="0.45">
      <c r="A34" t="s">
        <v>9</v>
      </c>
      <c r="B34">
        <v>27</v>
      </c>
      <c r="C34">
        <v>24.978999999999999</v>
      </c>
      <c r="D34">
        <f t="shared" si="0"/>
        <v>12.4895</v>
      </c>
      <c r="E34">
        <f t="shared" si="1"/>
        <v>490.04953041242788</v>
      </c>
    </row>
    <row r="35" spans="1:5" x14ac:dyDescent="0.45">
      <c r="A35" t="s">
        <v>9</v>
      </c>
      <c r="B35">
        <v>28</v>
      </c>
      <c r="C35">
        <v>10.199999999999999</v>
      </c>
      <c r="D35">
        <f t="shared" si="0"/>
        <v>5.0999999999999996</v>
      </c>
      <c r="E35">
        <f t="shared" si="1"/>
        <v>81.712824919870513</v>
      </c>
    </row>
    <row r="36" spans="1:5" x14ac:dyDescent="0.45">
      <c r="A36" t="s">
        <v>9</v>
      </c>
      <c r="B36">
        <v>29</v>
      </c>
      <c r="C36">
        <v>15.803000000000001</v>
      </c>
      <c r="D36">
        <f t="shared" si="0"/>
        <v>7.9015000000000004</v>
      </c>
      <c r="E36">
        <f t="shared" si="1"/>
        <v>196.14126032501255</v>
      </c>
    </row>
    <row r="37" spans="1:5" x14ac:dyDescent="0.45">
      <c r="A37" t="s">
        <v>9</v>
      </c>
      <c r="B37">
        <v>30</v>
      </c>
      <c r="C37">
        <v>16.899000000000001</v>
      </c>
      <c r="D37">
        <f t="shared" si="0"/>
        <v>8.4495000000000005</v>
      </c>
      <c r="E37">
        <f t="shared" si="1"/>
        <v>224.29102377542054</v>
      </c>
    </row>
    <row r="38" spans="1:5" x14ac:dyDescent="0.45">
      <c r="A38" t="s">
        <v>9</v>
      </c>
      <c r="B38">
        <v>31</v>
      </c>
      <c r="C38">
        <v>25.681999999999999</v>
      </c>
      <c r="D38">
        <f t="shared" si="0"/>
        <v>12.840999999999999</v>
      </c>
      <c r="E38">
        <f t="shared" si="1"/>
        <v>518.02123703061022</v>
      </c>
    </row>
    <row r="39" spans="1:5" x14ac:dyDescent="0.45">
      <c r="A39" t="s">
        <v>9</v>
      </c>
      <c r="B39">
        <v>32</v>
      </c>
      <c r="C39">
        <v>18.638999999999999</v>
      </c>
      <c r="D39">
        <f t="shared" si="0"/>
        <v>9.3194999999999997</v>
      </c>
      <c r="E39">
        <f t="shared" si="1"/>
        <v>272.85699885504471</v>
      </c>
    </row>
    <row r="40" spans="1:5" x14ac:dyDescent="0.45">
      <c r="A40" t="s">
        <v>9</v>
      </c>
      <c r="B40">
        <v>33</v>
      </c>
      <c r="C40">
        <v>26.088999999999999</v>
      </c>
      <c r="D40">
        <f t="shared" si="0"/>
        <v>13.044499999999999</v>
      </c>
      <c r="E40">
        <f t="shared" si="1"/>
        <v>534.57020229573061</v>
      </c>
    </row>
    <row r="41" spans="1:5" x14ac:dyDescent="0.45">
      <c r="A41" t="s">
        <v>9</v>
      </c>
      <c r="B41">
        <v>34</v>
      </c>
      <c r="C41">
        <v>18.725999999999999</v>
      </c>
      <c r="D41">
        <f t="shared" si="0"/>
        <v>9.3629999999999995</v>
      </c>
      <c r="E41">
        <f t="shared" si="1"/>
        <v>275.41013586169981</v>
      </c>
    </row>
    <row r="42" spans="1:5" x14ac:dyDescent="0.45">
      <c r="A42" t="s">
        <v>9</v>
      </c>
      <c r="B42">
        <v>35</v>
      </c>
      <c r="C42">
        <v>24.788</v>
      </c>
      <c r="D42">
        <f t="shared" si="0"/>
        <v>12.394</v>
      </c>
      <c r="E42">
        <f t="shared" si="1"/>
        <v>482.58393052644794</v>
      </c>
    </row>
    <row r="43" spans="1:5" x14ac:dyDescent="0.45">
      <c r="A43" t="s">
        <v>9</v>
      </c>
      <c r="B43">
        <v>36</v>
      </c>
      <c r="C43">
        <v>7.5380000000000003</v>
      </c>
      <c r="D43">
        <f t="shared" si="0"/>
        <v>3.7690000000000001</v>
      </c>
      <c r="E43">
        <f t="shared" si="1"/>
        <v>44.62745775919096</v>
      </c>
    </row>
    <row r="44" spans="1:5" x14ac:dyDescent="0.45">
      <c r="A44" t="s">
        <v>9</v>
      </c>
      <c r="B44">
        <v>37</v>
      </c>
      <c r="C44">
        <v>15.896000000000001</v>
      </c>
      <c r="D44">
        <f t="shared" si="0"/>
        <v>7.9480000000000004</v>
      </c>
      <c r="E44">
        <f t="shared" si="1"/>
        <v>198.45661960849537</v>
      </c>
    </row>
    <row r="45" spans="1:5" x14ac:dyDescent="0.45">
      <c r="A45" t="s">
        <v>9</v>
      </c>
      <c r="B45">
        <v>38</v>
      </c>
      <c r="C45">
        <v>31.122</v>
      </c>
      <c r="D45">
        <f t="shared" si="0"/>
        <v>15.561</v>
      </c>
      <c r="E45">
        <f t="shared" si="1"/>
        <v>760.72007659915016</v>
      </c>
    </row>
    <row r="46" spans="1:5" x14ac:dyDescent="0.45">
      <c r="A46" t="s">
        <v>9</v>
      </c>
      <c r="B46">
        <v>39</v>
      </c>
      <c r="C46">
        <v>12.551</v>
      </c>
      <c r="D46">
        <f t="shared" si="0"/>
        <v>6.2755000000000001</v>
      </c>
      <c r="E46">
        <f t="shared" si="1"/>
        <v>123.72188850980604</v>
      </c>
    </row>
    <row r="47" spans="1:5" x14ac:dyDescent="0.45">
      <c r="A47" t="s">
        <v>9</v>
      </c>
      <c r="B47">
        <v>40</v>
      </c>
      <c r="C47">
        <v>20.149000000000001</v>
      </c>
      <c r="D47">
        <f t="shared" si="0"/>
        <v>10.0745</v>
      </c>
      <c r="E47">
        <f t="shared" si="1"/>
        <v>318.8576750374537</v>
      </c>
    </row>
    <row r="48" spans="1:5" x14ac:dyDescent="0.45">
      <c r="A48" t="s">
        <v>9</v>
      </c>
      <c r="B48">
        <v>41</v>
      </c>
      <c r="C48">
        <v>15.436</v>
      </c>
      <c r="D48">
        <f t="shared" si="0"/>
        <v>7.718</v>
      </c>
      <c r="E48">
        <f t="shared" si="1"/>
        <v>187.13689579093369</v>
      </c>
    </row>
    <row r="49" spans="1:5" x14ac:dyDescent="0.45">
      <c r="A49" t="s">
        <v>9</v>
      </c>
      <c r="B49">
        <v>42</v>
      </c>
      <c r="C49">
        <v>11.667999999999999</v>
      </c>
      <c r="D49">
        <f t="shared" si="0"/>
        <v>5.8339999999999996</v>
      </c>
      <c r="E49">
        <f t="shared" si="1"/>
        <v>106.92585269044397</v>
      </c>
    </row>
    <row r="50" spans="1:5" x14ac:dyDescent="0.45">
      <c r="A50" t="s">
        <v>9</v>
      </c>
      <c r="B50">
        <v>43</v>
      </c>
      <c r="C50">
        <v>11.912000000000001</v>
      </c>
      <c r="D50">
        <f t="shared" si="0"/>
        <v>5.9560000000000004</v>
      </c>
      <c r="E50">
        <f t="shared" si="1"/>
        <v>111.4446567315145</v>
      </c>
    </row>
    <row r="51" spans="1:5" x14ac:dyDescent="0.45">
      <c r="A51" t="s">
        <v>9</v>
      </c>
      <c r="B51">
        <v>44</v>
      </c>
      <c r="C51">
        <v>9.3529999999999998</v>
      </c>
      <c r="D51">
        <f t="shared" si="0"/>
        <v>4.6764999999999999</v>
      </c>
      <c r="E51">
        <f t="shared" si="1"/>
        <v>68.705538845163488</v>
      </c>
    </row>
    <row r="52" spans="1:5" x14ac:dyDescent="0.45">
      <c r="A52" t="s">
        <v>9</v>
      </c>
      <c r="B52">
        <v>45</v>
      </c>
      <c r="C52">
        <v>8.9480000000000004</v>
      </c>
      <c r="D52">
        <f t="shared" si="0"/>
        <v>4.4740000000000002</v>
      </c>
      <c r="E52">
        <f t="shared" si="1"/>
        <v>62.884242270887128</v>
      </c>
    </row>
    <row r="53" spans="1:5" x14ac:dyDescent="0.45">
      <c r="A53" t="s">
        <v>9</v>
      </c>
      <c r="B53">
        <v>46</v>
      </c>
      <c r="C53">
        <v>10.643000000000001</v>
      </c>
      <c r="D53">
        <f t="shared" si="0"/>
        <v>5.3215000000000003</v>
      </c>
      <c r="E53">
        <f t="shared" si="1"/>
        <v>88.96475880629454</v>
      </c>
    </row>
    <row r="54" spans="1:5" x14ac:dyDescent="0.45">
      <c r="A54" t="s">
        <v>9</v>
      </c>
      <c r="B54">
        <v>47</v>
      </c>
      <c r="C54">
        <v>12.646000000000001</v>
      </c>
      <c r="D54">
        <f t="shared" si="0"/>
        <v>6.3230000000000004</v>
      </c>
      <c r="E54">
        <f t="shared" si="1"/>
        <v>125.60190787450297</v>
      </c>
    </row>
    <row r="55" spans="1:5" x14ac:dyDescent="0.45">
      <c r="A55" t="s">
        <v>9</v>
      </c>
      <c r="B55">
        <v>48</v>
      </c>
      <c r="C55">
        <v>17.544</v>
      </c>
      <c r="D55">
        <f t="shared" si="0"/>
        <v>8.7720000000000002</v>
      </c>
      <c r="E55">
        <f t="shared" si="1"/>
        <v>241.73922124294495</v>
      </c>
    </row>
    <row r="56" spans="1:5" x14ac:dyDescent="0.45">
      <c r="A56" t="s">
        <v>9</v>
      </c>
      <c r="B56">
        <v>49</v>
      </c>
      <c r="C56">
        <v>15.265000000000001</v>
      </c>
      <c r="D56">
        <f t="shared" si="0"/>
        <v>7.6325000000000003</v>
      </c>
      <c r="E56">
        <f t="shared" si="1"/>
        <v>183.01365674946018</v>
      </c>
    </row>
    <row r="57" spans="1:5" x14ac:dyDescent="0.45">
      <c r="A57" t="s">
        <v>9</v>
      </c>
      <c r="B57">
        <v>50</v>
      </c>
      <c r="C57">
        <v>15.914</v>
      </c>
      <c r="D57">
        <f t="shared" si="0"/>
        <v>7.9569999999999999</v>
      </c>
      <c r="E57">
        <f t="shared" si="1"/>
        <v>198.90632288889347</v>
      </c>
    </row>
    <row r="58" spans="1:5" x14ac:dyDescent="0.45">
      <c r="A58" t="s">
        <v>9</v>
      </c>
      <c r="B58">
        <v>51</v>
      </c>
      <c r="C58">
        <v>17.422000000000001</v>
      </c>
      <c r="D58">
        <f t="shared" si="0"/>
        <v>8.7110000000000003</v>
      </c>
      <c r="E58">
        <f t="shared" si="1"/>
        <v>238.38882891681962</v>
      </c>
    </row>
    <row r="59" spans="1:5" x14ac:dyDescent="0.45">
      <c r="A59" t="s">
        <v>9</v>
      </c>
      <c r="B59">
        <v>52</v>
      </c>
      <c r="C59">
        <v>11.673999999999999</v>
      </c>
      <c r="D59">
        <f t="shared" si="0"/>
        <v>5.8369999999999997</v>
      </c>
      <c r="E59">
        <f t="shared" si="1"/>
        <v>107.03584927402414</v>
      </c>
    </row>
    <row r="60" spans="1:5" x14ac:dyDescent="0.45">
      <c r="A60" t="s">
        <v>9</v>
      </c>
      <c r="B60">
        <v>53</v>
      </c>
      <c r="C60">
        <v>7.8460000000000001</v>
      </c>
      <c r="D60">
        <f t="shared" si="0"/>
        <v>3.923</v>
      </c>
      <c r="E60">
        <f t="shared" si="1"/>
        <v>48.34888788566851</v>
      </c>
    </row>
    <row r="61" spans="1:5" x14ac:dyDescent="0.45">
      <c r="A61" t="s">
        <v>9</v>
      </c>
      <c r="B61">
        <v>54</v>
      </c>
      <c r="C61">
        <v>14.252000000000001</v>
      </c>
      <c r="D61">
        <f t="shared" si="0"/>
        <v>7.1260000000000003</v>
      </c>
      <c r="E61">
        <f t="shared" si="1"/>
        <v>159.52968539180065</v>
      </c>
    </row>
    <row r="62" spans="1:5" x14ac:dyDescent="0.45">
      <c r="A62" t="s">
        <v>9</v>
      </c>
      <c r="B62">
        <v>55</v>
      </c>
      <c r="C62">
        <v>8.6240000000000006</v>
      </c>
      <c r="D62">
        <f t="shared" si="0"/>
        <v>4.3120000000000003</v>
      </c>
      <c r="E62">
        <f t="shared" si="1"/>
        <v>58.412712916067861</v>
      </c>
    </row>
    <row r="63" spans="1:5" x14ac:dyDescent="0.45">
      <c r="A63" t="s">
        <v>9</v>
      </c>
      <c r="B63">
        <v>56</v>
      </c>
      <c r="C63">
        <v>21.452999999999999</v>
      </c>
      <c r="D63">
        <f t="shared" si="0"/>
        <v>10.7265</v>
      </c>
      <c r="E63">
        <f t="shared" si="1"/>
        <v>361.46474628678715</v>
      </c>
    </row>
    <row r="64" spans="1:5" x14ac:dyDescent="0.45">
      <c r="A64" t="s">
        <v>9</v>
      </c>
      <c r="B64">
        <v>57</v>
      </c>
      <c r="C64">
        <v>18.954999999999998</v>
      </c>
      <c r="D64">
        <f t="shared" si="0"/>
        <v>9.4774999999999991</v>
      </c>
      <c r="E64">
        <f t="shared" si="1"/>
        <v>282.18729655835</v>
      </c>
    </row>
    <row r="65" spans="1:5" x14ac:dyDescent="0.45">
      <c r="A65" t="s">
        <v>9</v>
      </c>
      <c r="B65">
        <v>58</v>
      </c>
      <c r="C65">
        <v>14.218999999999999</v>
      </c>
      <c r="D65">
        <f t="shared" si="0"/>
        <v>7.1094999999999997</v>
      </c>
      <c r="E65">
        <f t="shared" si="1"/>
        <v>158.79177004516771</v>
      </c>
    </row>
    <row r="66" spans="1:5" x14ac:dyDescent="0.45">
      <c r="A66" t="s">
        <v>9</v>
      </c>
      <c r="B66">
        <v>59</v>
      </c>
      <c r="C66">
        <v>11.138</v>
      </c>
      <c r="D66">
        <f t="shared" si="0"/>
        <v>5.569</v>
      </c>
      <c r="E66">
        <f t="shared" si="1"/>
        <v>97.432603717789632</v>
      </c>
    </row>
    <row r="67" spans="1:5" x14ac:dyDescent="0.45">
      <c r="A67" t="s">
        <v>9</v>
      </c>
      <c r="B67">
        <v>60</v>
      </c>
      <c r="C67">
        <v>19.545999999999999</v>
      </c>
      <c r="D67">
        <f t="shared" si="0"/>
        <v>9.7729999999999997</v>
      </c>
      <c r="E67">
        <f t="shared" si="1"/>
        <v>300.05831783952846</v>
      </c>
    </row>
    <row r="68" spans="1:5" x14ac:dyDescent="0.45">
      <c r="A68" t="s">
        <v>9</v>
      </c>
      <c r="B68">
        <v>61</v>
      </c>
      <c r="C68">
        <v>17.003</v>
      </c>
      <c r="D68">
        <f t="shared" si="0"/>
        <v>8.5015000000000001</v>
      </c>
      <c r="E68">
        <f t="shared" si="1"/>
        <v>227.06018690311257</v>
      </c>
    </row>
    <row r="69" spans="1:5" x14ac:dyDescent="0.45">
      <c r="A69" t="s">
        <v>9</v>
      </c>
      <c r="B69">
        <v>62</v>
      </c>
      <c r="C69">
        <v>11.475</v>
      </c>
      <c r="D69">
        <f t="shared" si="0"/>
        <v>5.7374999999999998</v>
      </c>
      <c r="E69">
        <f t="shared" si="1"/>
        <v>103.41779403921112</v>
      </c>
    </row>
    <row r="70" spans="1:5" x14ac:dyDescent="0.45">
      <c r="A70" t="s">
        <v>9</v>
      </c>
      <c r="B70">
        <v>63</v>
      </c>
      <c r="C70">
        <v>10.754</v>
      </c>
      <c r="D70">
        <f t="shared" si="0"/>
        <v>5.3769999999999998</v>
      </c>
      <c r="E70">
        <f t="shared" si="1"/>
        <v>90.830132066040406</v>
      </c>
    </row>
    <row r="71" spans="1:5" x14ac:dyDescent="0.45">
      <c r="A71" t="s">
        <v>9</v>
      </c>
      <c r="B71">
        <v>64</v>
      </c>
      <c r="C71">
        <v>19.059999999999999</v>
      </c>
      <c r="D71">
        <f t="shared" si="0"/>
        <v>9.5299999999999994</v>
      </c>
      <c r="E71">
        <f t="shared" si="1"/>
        <v>285.32227223241324</v>
      </c>
    </row>
    <row r="72" spans="1:5" x14ac:dyDescent="0.45">
      <c r="A72" t="s">
        <v>9</v>
      </c>
      <c r="B72">
        <v>65</v>
      </c>
      <c r="C72">
        <v>21.509</v>
      </c>
      <c r="D72">
        <f t="shared" si="0"/>
        <v>10.7545</v>
      </c>
      <c r="E72">
        <f t="shared" si="1"/>
        <v>363.35431373695656</v>
      </c>
    </row>
    <row r="73" spans="1:5" x14ac:dyDescent="0.45">
      <c r="A73" t="s">
        <v>9</v>
      </c>
      <c r="B73">
        <v>66</v>
      </c>
      <c r="C73">
        <v>24.597000000000001</v>
      </c>
      <c r="D73">
        <f t="shared" si="0"/>
        <v>12.298500000000001</v>
      </c>
      <c r="E73">
        <f t="shared" si="1"/>
        <v>475.17563486126585</v>
      </c>
    </row>
    <row r="74" spans="1:5" x14ac:dyDescent="0.45">
      <c r="A74" t="s">
        <v>9</v>
      </c>
      <c r="B74">
        <v>67</v>
      </c>
      <c r="C74">
        <v>16.928999999999998</v>
      </c>
      <c r="D74">
        <f t="shared" si="0"/>
        <v>8.4644999999999992</v>
      </c>
      <c r="E74">
        <f t="shared" si="1"/>
        <v>225.08807724756278</v>
      </c>
    </row>
    <row r="75" spans="1:5" x14ac:dyDescent="0.45">
      <c r="A75" t="s">
        <v>9</v>
      </c>
      <c r="B75">
        <v>68</v>
      </c>
      <c r="C75">
        <v>16.622</v>
      </c>
      <c r="D75">
        <f t="shared" si="0"/>
        <v>8.3109999999999999</v>
      </c>
      <c r="E75">
        <f t="shared" si="1"/>
        <v>216.99835285705743</v>
      </c>
    </row>
    <row r="76" spans="1:5" x14ac:dyDescent="0.45">
      <c r="A76" t="s">
        <v>9</v>
      </c>
      <c r="B76">
        <v>69</v>
      </c>
      <c r="C76">
        <v>22.26</v>
      </c>
      <c r="D76">
        <f t="shared" ref="D76:D85" si="2">C76/2</f>
        <v>11.13</v>
      </c>
      <c r="E76">
        <f t="shared" ref="E76:E85" si="3">PI()*D76^2</f>
        <v>389.17075898947752</v>
      </c>
    </row>
    <row r="77" spans="1:5" x14ac:dyDescent="0.45">
      <c r="A77" t="s">
        <v>9</v>
      </c>
      <c r="B77">
        <v>70</v>
      </c>
      <c r="C77">
        <v>9.84</v>
      </c>
      <c r="D77">
        <f t="shared" si="2"/>
        <v>4.92</v>
      </c>
      <c r="E77">
        <f t="shared" si="3"/>
        <v>76.046648409855962</v>
      </c>
    </row>
    <row r="78" spans="1:5" x14ac:dyDescent="0.45">
      <c r="A78" t="s">
        <v>9</v>
      </c>
      <c r="B78">
        <v>71</v>
      </c>
      <c r="C78">
        <v>14.954000000000001</v>
      </c>
      <c r="D78">
        <f t="shared" si="2"/>
        <v>7.4770000000000003</v>
      </c>
      <c r="E78">
        <f t="shared" si="3"/>
        <v>175.63239920145114</v>
      </c>
    </row>
    <row r="79" spans="1:5" x14ac:dyDescent="0.45">
      <c r="A79" t="s">
        <v>9</v>
      </c>
      <c r="B79">
        <v>72</v>
      </c>
      <c r="C79">
        <v>19.38</v>
      </c>
      <c r="D79">
        <f t="shared" si="2"/>
        <v>9.69</v>
      </c>
      <c r="E79">
        <f t="shared" si="3"/>
        <v>294.98329796073256</v>
      </c>
    </row>
    <row r="80" spans="1:5" x14ac:dyDescent="0.45">
      <c r="A80" t="s">
        <v>9</v>
      </c>
      <c r="B80">
        <v>73</v>
      </c>
      <c r="C80">
        <v>22.439</v>
      </c>
      <c r="D80">
        <f t="shared" si="2"/>
        <v>11.2195</v>
      </c>
      <c r="E80">
        <f t="shared" si="3"/>
        <v>395.45482472799819</v>
      </c>
    </row>
    <row r="81" spans="1:5" x14ac:dyDescent="0.45">
      <c r="A81" t="s">
        <v>9</v>
      </c>
      <c r="B81">
        <v>74</v>
      </c>
      <c r="C81">
        <v>19.87</v>
      </c>
      <c r="D81">
        <f t="shared" si="2"/>
        <v>9.9350000000000005</v>
      </c>
      <c r="E81">
        <f t="shared" si="3"/>
        <v>310.08846813827404</v>
      </c>
    </row>
    <row r="82" spans="1:5" x14ac:dyDescent="0.45">
      <c r="A82" t="s">
        <v>9</v>
      </c>
      <c r="B82">
        <v>75</v>
      </c>
      <c r="C82">
        <v>5.4329999999999998</v>
      </c>
      <c r="D82">
        <f t="shared" si="2"/>
        <v>2.7164999999999999</v>
      </c>
      <c r="E82">
        <f t="shared" si="3"/>
        <v>23.182981648704381</v>
      </c>
    </row>
    <row r="83" spans="1:5" x14ac:dyDescent="0.45">
      <c r="A83" t="s">
        <v>9</v>
      </c>
      <c r="B83">
        <v>76</v>
      </c>
      <c r="C83">
        <v>6.9340000000000002</v>
      </c>
      <c r="D83">
        <f t="shared" si="2"/>
        <v>3.4670000000000001</v>
      </c>
      <c r="E83">
        <f t="shared" si="3"/>
        <v>37.762223297895481</v>
      </c>
    </row>
    <row r="84" spans="1:5" x14ac:dyDescent="0.45">
      <c r="A84" t="s">
        <v>9</v>
      </c>
      <c r="B84">
        <v>77</v>
      </c>
      <c r="C84">
        <v>12.502000000000001</v>
      </c>
      <c r="D84">
        <f t="shared" si="2"/>
        <v>6.2510000000000003</v>
      </c>
      <c r="E84">
        <f t="shared" si="3"/>
        <v>122.75773608061384</v>
      </c>
    </row>
    <row r="85" spans="1:5" x14ac:dyDescent="0.45">
      <c r="A85" t="s">
        <v>9</v>
      </c>
      <c r="B85">
        <v>78</v>
      </c>
      <c r="C85">
        <v>15.454000000000001</v>
      </c>
      <c r="D85">
        <f t="shared" si="2"/>
        <v>7.7270000000000003</v>
      </c>
      <c r="E85">
        <f t="shared" si="3"/>
        <v>187.57359287774594</v>
      </c>
    </row>
    <row r="86" spans="1:5" x14ac:dyDescent="0.45">
      <c r="A86" s="8"/>
      <c r="B86" s="9" t="s">
        <v>11</v>
      </c>
      <c r="C86" s="313">
        <f>AVERAGE(C11:C85)</f>
        <v>16.356880000000004</v>
      </c>
      <c r="D86" s="9">
        <f>AVERAGE(D11:D85)</f>
        <v>8.1784400000000019</v>
      </c>
      <c r="E86" s="10">
        <f>AVERAGE(E11:E85)</f>
        <v>239.86175558466823</v>
      </c>
    </row>
    <row r="87" spans="1:5" x14ac:dyDescent="0.45">
      <c r="A87" s="11"/>
      <c r="B87" s="12" t="s">
        <v>13</v>
      </c>
      <c r="C87" s="12">
        <f>_xlfn.STDEV.P(C11:C85)</f>
        <v>6.152556309827637</v>
      </c>
      <c r="D87" s="12">
        <f>_xlfn.STDEV.P(D11:D85)</f>
        <v>3.0762781549138185</v>
      </c>
      <c r="E87" s="13">
        <f>_xlfn.STDEV.P(E11:E85)</f>
        <v>169.53652517214908</v>
      </c>
    </row>
    <row r="88" spans="1:5" x14ac:dyDescent="0.45">
      <c r="A88" s="14"/>
      <c r="B88" s="15" t="s">
        <v>12</v>
      </c>
      <c r="C88" s="15">
        <f>(_xlfn.STDEV.P(C11:C85)/SQRT(COUNT(C11:C85)))</f>
        <v>0.71043600833666332</v>
      </c>
      <c r="D88" s="15">
        <f>(_xlfn.STDEV.P(D11:D85)/SQRT(COUNT(D11:D85)))</f>
        <v>0.35521800416833166</v>
      </c>
      <c r="E88" s="16">
        <f>(_xlfn.STDEV.P(E11:E85)/SQRT(COUNT(E11:E85)))</f>
        <v>19.576391689122804</v>
      </c>
    </row>
    <row r="92" spans="1:5" ht="14.65" thickBot="1" x14ac:dyDescent="0.5"/>
    <row r="93" spans="1:5" ht="15" thickTop="1" thickBot="1" x14ac:dyDescent="0.5">
      <c r="A93" s="17" t="s">
        <v>570</v>
      </c>
    </row>
    <row r="94" spans="1:5" ht="14.65" thickTop="1" x14ac:dyDescent="0.45">
      <c r="A94" t="s">
        <v>0</v>
      </c>
      <c r="B94" t="s">
        <v>40</v>
      </c>
      <c r="C94" t="s">
        <v>67</v>
      </c>
    </row>
    <row r="95" spans="1:5" x14ac:dyDescent="0.45">
      <c r="A95" t="s">
        <v>267</v>
      </c>
      <c r="B95">
        <v>1</v>
      </c>
      <c r="C95">
        <v>10.755000000000001</v>
      </c>
    </row>
    <row r="96" spans="1:5" x14ac:dyDescent="0.45">
      <c r="A96" t="s">
        <v>267</v>
      </c>
      <c r="B96">
        <v>2</v>
      </c>
      <c r="C96">
        <v>12.932</v>
      </c>
    </row>
    <row r="97" spans="1:3" x14ac:dyDescent="0.45">
      <c r="A97" t="s">
        <v>267</v>
      </c>
      <c r="B97">
        <v>3</v>
      </c>
      <c r="C97">
        <v>17.038</v>
      </c>
    </row>
    <row r="98" spans="1:3" x14ac:dyDescent="0.45">
      <c r="B98" s="128" t="s">
        <v>11</v>
      </c>
      <c r="C98" s="311">
        <f>AVERAGE(C95:C97)</f>
        <v>13.575000000000001</v>
      </c>
    </row>
  </sheetData>
  <pageMargins left="0.7" right="0.7" top="0.75" bottom="0.75" header="0.3" footer="0.3"/>
  <pageSetup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M61"/>
  <sheetViews>
    <sheetView topLeftCell="B37" workbookViewId="0">
      <selection activeCell="B62" sqref="B62"/>
    </sheetView>
  </sheetViews>
  <sheetFormatPr defaultRowHeight="14.25" x14ac:dyDescent="0.45"/>
  <cols>
    <col min="1" max="1" width="41.19921875" customWidth="1"/>
    <col min="2" max="2" width="38" bestFit="1" customWidth="1"/>
    <col min="3" max="3" width="33.33203125" customWidth="1"/>
    <col min="4" max="4" width="14" bestFit="1" customWidth="1"/>
    <col min="5" max="5" width="11.06640625" bestFit="1" customWidth="1"/>
    <col min="6" max="6" width="33.06640625" customWidth="1"/>
    <col min="7" max="7" width="27.59765625" bestFit="1" customWidth="1"/>
    <col min="8" max="8" width="7.9296875" bestFit="1" customWidth="1"/>
    <col min="9" max="10" width="13.06640625" bestFit="1" customWidth="1"/>
    <col min="11" max="11" width="21.46484375" bestFit="1" customWidth="1"/>
    <col min="12" max="12" width="13.33203125" bestFit="1" customWidth="1"/>
  </cols>
  <sheetData>
    <row r="1" spans="1:12" ht="171" x14ac:dyDescent="0.45">
      <c r="A1" s="310" t="s">
        <v>574</v>
      </c>
    </row>
    <row r="4" spans="1:12" x14ac:dyDescent="0.45">
      <c r="A4" s="24" t="s">
        <v>41</v>
      </c>
    </row>
    <row r="5" spans="1:12" ht="14.65" thickBot="1" x14ac:dyDescent="0.5">
      <c r="A5" t="s">
        <v>40</v>
      </c>
      <c r="B5" t="s">
        <v>50</v>
      </c>
      <c r="C5" t="s">
        <v>0</v>
      </c>
      <c r="D5" t="s">
        <v>16</v>
      </c>
      <c r="E5" t="s">
        <v>17</v>
      </c>
      <c r="F5" t="s">
        <v>51</v>
      </c>
      <c r="G5" t="s">
        <v>42</v>
      </c>
      <c r="H5" t="s">
        <v>43</v>
      </c>
      <c r="I5" t="s">
        <v>44</v>
      </c>
      <c r="J5" t="s">
        <v>45</v>
      </c>
      <c r="K5" t="s">
        <v>46</v>
      </c>
      <c r="L5" t="s">
        <v>22</v>
      </c>
    </row>
    <row r="6" spans="1:12" ht="15" thickTop="1" thickBot="1" x14ac:dyDescent="0.5">
      <c r="A6">
        <v>1</v>
      </c>
      <c r="B6">
        <v>1</v>
      </c>
      <c r="C6" t="s">
        <v>47</v>
      </c>
      <c r="D6">
        <v>112.986</v>
      </c>
      <c r="E6">
        <f>D6/2</f>
        <v>56.493000000000002</v>
      </c>
      <c r="F6" s="17"/>
      <c r="G6" s="17"/>
      <c r="H6">
        <v>2</v>
      </c>
    </row>
    <row r="7" spans="1:12" ht="15" thickTop="1" thickBot="1" x14ac:dyDescent="0.5">
      <c r="A7">
        <v>2</v>
      </c>
      <c r="B7">
        <v>1</v>
      </c>
      <c r="C7" t="s">
        <v>47</v>
      </c>
      <c r="D7">
        <v>117.47199999999999</v>
      </c>
      <c r="E7">
        <f t="shared" ref="E7:E19" si="0">D7/2</f>
        <v>58.735999999999997</v>
      </c>
      <c r="F7" s="17"/>
      <c r="G7" s="17"/>
    </row>
    <row r="8" spans="1:12" ht="15" thickTop="1" thickBot="1" x14ac:dyDescent="0.5">
      <c r="A8">
        <v>3</v>
      </c>
      <c r="B8">
        <v>1</v>
      </c>
      <c r="C8" t="s">
        <v>47</v>
      </c>
      <c r="D8">
        <v>103.654</v>
      </c>
      <c r="E8">
        <f t="shared" si="0"/>
        <v>51.826999999999998</v>
      </c>
      <c r="F8" s="17"/>
      <c r="G8" s="17"/>
    </row>
    <row r="9" spans="1:12" ht="15" thickTop="1" thickBot="1" x14ac:dyDescent="0.5">
      <c r="A9">
        <v>4</v>
      </c>
      <c r="B9">
        <v>1</v>
      </c>
      <c r="C9" t="s">
        <v>47</v>
      </c>
      <c r="D9">
        <v>102.64400000000001</v>
      </c>
      <c r="E9">
        <f t="shared" si="0"/>
        <v>51.322000000000003</v>
      </c>
      <c r="F9" s="17"/>
      <c r="G9" s="17"/>
    </row>
    <row r="10" spans="1:12" ht="15" thickTop="1" thickBot="1" x14ac:dyDescent="0.5">
      <c r="A10">
        <v>5</v>
      </c>
      <c r="B10">
        <v>1</v>
      </c>
      <c r="C10" t="s">
        <v>47</v>
      </c>
      <c r="D10">
        <v>109.184</v>
      </c>
      <c r="E10">
        <f t="shared" si="0"/>
        <v>54.591999999999999</v>
      </c>
      <c r="F10">
        <f>AVERAGE(D6:D10)</f>
        <v>109.18799999999999</v>
      </c>
      <c r="G10">
        <f>PI()*(F10/2)^2</f>
        <v>9363.5320967664484</v>
      </c>
    </row>
    <row r="11" spans="1:12" ht="15" thickTop="1" thickBot="1" x14ac:dyDescent="0.5">
      <c r="A11">
        <v>6</v>
      </c>
      <c r="B11">
        <v>2</v>
      </c>
      <c r="C11" t="s">
        <v>47</v>
      </c>
      <c r="D11">
        <v>143.96</v>
      </c>
      <c r="E11">
        <f t="shared" si="0"/>
        <v>71.98</v>
      </c>
      <c r="F11" s="17"/>
      <c r="G11" s="17"/>
    </row>
    <row r="12" spans="1:12" ht="15" thickTop="1" thickBot="1" x14ac:dyDescent="0.5">
      <c r="A12">
        <v>7</v>
      </c>
      <c r="B12">
        <v>2</v>
      </c>
      <c r="C12" t="s">
        <v>47</v>
      </c>
      <c r="D12">
        <v>142.34800000000001</v>
      </c>
      <c r="E12">
        <f t="shared" si="0"/>
        <v>71.174000000000007</v>
      </c>
      <c r="F12" s="17"/>
      <c r="G12" s="17"/>
    </row>
    <row r="13" spans="1:12" ht="14.65" thickTop="1" x14ac:dyDescent="0.45">
      <c r="A13">
        <v>8</v>
      </c>
      <c r="B13">
        <v>2</v>
      </c>
      <c r="C13" t="s">
        <v>47</v>
      </c>
      <c r="D13">
        <v>132.619</v>
      </c>
      <c r="E13">
        <f t="shared" si="0"/>
        <v>66.3095</v>
      </c>
      <c r="F13">
        <f>AVERAGE(D11:D13)</f>
        <v>139.64233333333334</v>
      </c>
      <c r="G13">
        <f t="shared" ref="G13:G19" si="1">PI()*(F13/2)^2</f>
        <v>15315.249466928732</v>
      </c>
    </row>
    <row r="14" spans="1:12" x14ac:dyDescent="0.45">
      <c r="A14">
        <v>9</v>
      </c>
      <c r="B14">
        <v>3</v>
      </c>
      <c r="C14" t="s">
        <v>48</v>
      </c>
      <c r="D14">
        <v>129.95500000000001</v>
      </c>
      <c r="E14">
        <f t="shared" si="0"/>
        <v>64.977500000000006</v>
      </c>
      <c r="F14">
        <v>129.95500000000001</v>
      </c>
      <c r="G14">
        <f t="shared" si="1"/>
        <v>13264.041393336411</v>
      </c>
      <c r="H14">
        <v>2</v>
      </c>
    </row>
    <row r="15" spans="1:12" x14ac:dyDescent="0.45">
      <c r="A15">
        <v>10</v>
      </c>
      <c r="B15">
        <v>4</v>
      </c>
      <c r="C15" t="s">
        <v>48</v>
      </c>
      <c r="D15">
        <v>116.515</v>
      </c>
      <c r="E15">
        <f t="shared" si="0"/>
        <v>58.2575</v>
      </c>
      <c r="F15">
        <v>116.515</v>
      </c>
      <c r="G15">
        <f t="shared" si="1"/>
        <v>10662.365366466678</v>
      </c>
    </row>
    <row r="16" spans="1:12" x14ac:dyDescent="0.45">
      <c r="A16">
        <v>11</v>
      </c>
      <c r="B16">
        <v>5</v>
      </c>
      <c r="C16" t="s">
        <v>49</v>
      </c>
      <c r="D16">
        <v>183.77699999999999</v>
      </c>
      <c r="E16">
        <f t="shared" si="0"/>
        <v>91.888499999999993</v>
      </c>
      <c r="F16">
        <v>183.77699999999999</v>
      </c>
      <c r="G16">
        <f t="shared" si="1"/>
        <v>26526.026362168224</v>
      </c>
      <c r="H16">
        <v>4</v>
      </c>
    </row>
    <row r="17" spans="1:13" x14ac:dyDescent="0.45">
      <c r="A17">
        <v>12</v>
      </c>
      <c r="B17">
        <v>6</v>
      </c>
      <c r="C17" t="s">
        <v>49</v>
      </c>
      <c r="D17">
        <v>129.85499999999999</v>
      </c>
      <c r="E17">
        <f t="shared" si="0"/>
        <v>64.927499999999995</v>
      </c>
      <c r="F17">
        <v>129.85499999999999</v>
      </c>
      <c r="G17">
        <f t="shared" si="1"/>
        <v>13243.635963653176</v>
      </c>
    </row>
    <row r="18" spans="1:13" x14ac:dyDescent="0.45">
      <c r="A18">
        <v>13</v>
      </c>
      <c r="B18">
        <v>7</v>
      </c>
      <c r="C18" t="s">
        <v>49</v>
      </c>
      <c r="D18">
        <v>104.288</v>
      </c>
      <c r="E18">
        <f t="shared" si="0"/>
        <v>52.143999999999998</v>
      </c>
      <c r="F18">
        <v>104.288</v>
      </c>
      <c r="G18">
        <f t="shared" si="1"/>
        <v>8541.9801709522271</v>
      </c>
    </row>
    <row r="19" spans="1:13" ht="14.65" thickBot="1" x14ac:dyDescent="0.5">
      <c r="A19">
        <v>14</v>
      </c>
      <c r="B19">
        <v>8</v>
      </c>
      <c r="C19" t="s">
        <v>49</v>
      </c>
      <c r="D19">
        <v>151</v>
      </c>
      <c r="E19">
        <f t="shared" si="0"/>
        <v>75.5</v>
      </c>
      <c r="F19">
        <v>151</v>
      </c>
      <c r="G19">
        <f t="shared" si="1"/>
        <v>17907.863523625219</v>
      </c>
    </row>
    <row r="20" spans="1:13" ht="15" thickTop="1" thickBot="1" x14ac:dyDescent="0.5">
      <c r="A20">
        <v>15</v>
      </c>
      <c r="B20" s="17"/>
      <c r="C20" t="s">
        <v>52</v>
      </c>
      <c r="D20" s="17"/>
      <c r="E20" s="17"/>
      <c r="F20" s="17"/>
      <c r="G20" s="17"/>
      <c r="H20" s="17"/>
      <c r="I20">
        <v>106461.061</v>
      </c>
      <c r="J20">
        <f>G14+G15</f>
        <v>23926.406759803089</v>
      </c>
      <c r="K20">
        <f>J20/I20</f>
        <v>0.22474326796163613</v>
      </c>
      <c r="L20" s="25">
        <f>J20/I20</f>
        <v>0.22474326796163613</v>
      </c>
      <c r="M20" s="133" t="s">
        <v>224</v>
      </c>
    </row>
    <row r="21" spans="1:13" ht="15" thickTop="1" thickBot="1" x14ac:dyDescent="0.5">
      <c r="A21">
        <v>16</v>
      </c>
      <c r="B21" s="17"/>
      <c r="C21" t="s">
        <v>53</v>
      </c>
      <c r="D21" s="17"/>
      <c r="E21" s="17"/>
      <c r="F21" s="17"/>
      <c r="G21" s="17"/>
      <c r="H21" s="17"/>
      <c r="I21" s="128">
        <v>416946.93900000001</v>
      </c>
      <c r="J21" s="128">
        <f>G19+G18+G17+G16</f>
        <v>66219.50602039884</v>
      </c>
      <c r="K21" s="128">
        <f>J21/I21</f>
        <v>0.15881998361522648</v>
      </c>
      <c r="L21" s="314">
        <f>J21/I21</f>
        <v>0.15881998361522648</v>
      </c>
    </row>
    <row r="22" spans="1:13" ht="14.65" thickTop="1" x14ac:dyDescent="0.45">
      <c r="A22" t="s">
        <v>25</v>
      </c>
      <c r="F22" s="180">
        <f>AVERAGE(F10:F19)</f>
        <v>133.02754166666668</v>
      </c>
      <c r="G22">
        <f>AVERAGE(G10:G19)</f>
        <v>14353.086792987138</v>
      </c>
      <c r="H22">
        <v>8</v>
      </c>
      <c r="L22" s="25"/>
    </row>
    <row r="53" spans="1:3" x14ac:dyDescent="0.45">
      <c r="A53" t="s">
        <v>271</v>
      </c>
    </row>
    <row r="54" spans="1:3" x14ac:dyDescent="0.45">
      <c r="A54" s="27" t="s">
        <v>40</v>
      </c>
      <c r="B54" s="27" t="s">
        <v>0</v>
      </c>
      <c r="C54" s="27" t="s">
        <v>86</v>
      </c>
    </row>
    <row r="55" spans="1:3" x14ac:dyDescent="0.45">
      <c r="A55">
        <v>1</v>
      </c>
      <c r="B55" t="s">
        <v>47</v>
      </c>
      <c r="C55">
        <v>535.9</v>
      </c>
    </row>
    <row r="56" spans="1:3" x14ac:dyDescent="0.45">
      <c r="A56">
        <v>2</v>
      </c>
      <c r="B56" t="s">
        <v>47</v>
      </c>
      <c r="C56">
        <v>489.49999999999994</v>
      </c>
    </row>
    <row r="57" spans="1:3" x14ac:dyDescent="0.45">
      <c r="A57">
        <v>3</v>
      </c>
      <c r="B57" t="s">
        <v>212</v>
      </c>
      <c r="C57">
        <v>543.20000000000005</v>
      </c>
    </row>
    <row r="58" spans="1:3" x14ac:dyDescent="0.45">
      <c r="A58">
        <v>4</v>
      </c>
      <c r="B58" t="s">
        <v>269</v>
      </c>
      <c r="C58">
        <v>596.84699999999998</v>
      </c>
    </row>
    <row r="59" spans="1:3" x14ac:dyDescent="0.45">
      <c r="A59">
        <v>5</v>
      </c>
      <c r="B59" t="s">
        <v>213</v>
      </c>
      <c r="C59">
        <v>423.53</v>
      </c>
    </row>
    <row r="60" spans="1:3" x14ac:dyDescent="0.45">
      <c r="A60">
        <v>6</v>
      </c>
      <c r="B60" t="s">
        <v>270</v>
      </c>
      <c r="C60">
        <v>569.84</v>
      </c>
    </row>
    <row r="61" spans="1:3" x14ac:dyDescent="0.45">
      <c r="B61" s="128" t="s">
        <v>61</v>
      </c>
      <c r="C61" s="311">
        <f>AVERAGE(C55:C60)</f>
        <v>526.46950000000004</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M61"/>
  <sheetViews>
    <sheetView zoomScaleNormal="100" workbookViewId="0">
      <selection activeCell="A4" sqref="A4"/>
    </sheetView>
  </sheetViews>
  <sheetFormatPr defaultRowHeight="14.25" x14ac:dyDescent="0.45"/>
  <cols>
    <col min="1" max="1" width="86.19921875" bestFit="1" customWidth="1"/>
    <col min="2" max="2" width="21" customWidth="1"/>
    <col min="3" max="4" width="12.06640625" customWidth="1"/>
    <col min="5" max="5" width="48.59765625" bestFit="1" customWidth="1"/>
    <col min="6" max="6" width="20.46484375" bestFit="1" customWidth="1"/>
    <col min="7" max="7" width="31.9296875" bestFit="1" customWidth="1"/>
    <col min="8" max="8" width="23.46484375" customWidth="1"/>
    <col min="10" max="10" width="15" bestFit="1" customWidth="1"/>
    <col min="11" max="11" width="21.53125" bestFit="1" customWidth="1"/>
    <col min="12" max="12" width="22" customWidth="1"/>
    <col min="13" max="13" width="11" bestFit="1" customWidth="1"/>
  </cols>
  <sheetData>
    <row r="1" spans="1:13" s="265" customFormat="1" ht="53.45" customHeight="1" x14ac:dyDescent="0.45">
      <c r="A1" s="310" t="s">
        <v>575</v>
      </c>
    </row>
    <row r="2" spans="1:13" x14ac:dyDescent="0.45">
      <c r="A2" s="129" t="s">
        <v>229</v>
      </c>
      <c r="B2" s="129">
        <f xml:space="preserve"> H57*1000^3</f>
        <v>253860093.42165944</v>
      </c>
      <c r="E2" s="133" t="s">
        <v>209</v>
      </c>
    </row>
    <row r="3" spans="1:13" x14ac:dyDescent="0.45">
      <c r="A3" s="129" t="s">
        <v>230</v>
      </c>
      <c r="B3" s="129">
        <f xml:space="preserve"> H57*1</f>
        <v>0.25386009342165944</v>
      </c>
      <c r="K3" s="133" t="s">
        <v>208</v>
      </c>
    </row>
    <row r="4" spans="1:13" x14ac:dyDescent="0.45">
      <c r="A4" s="129" t="s">
        <v>235</v>
      </c>
      <c r="B4" s="147">
        <f>1-'Subdermal Space'!B3-'Subdermal Space'!B26-'Incurrent Canal'!L21-'Excurrent Canal'!K14</f>
        <v>0.51674586452103888</v>
      </c>
    </row>
    <row r="5" spans="1:13" x14ac:dyDescent="0.45">
      <c r="A5" s="129" t="s">
        <v>236</v>
      </c>
      <c r="B5" s="148">
        <f>B4*H57</f>
        <v>0.13118115344256709</v>
      </c>
    </row>
    <row r="6" spans="1:13" x14ac:dyDescent="0.45">
      <c r="A6" s="129" t="s">
        <v>231</v>
      </c>
      <c r="B6" s="149">
        <f>B4*H57</f>
        <v>0.13118115344256709</v>
      </c>
    </row>
    <row r="7" spans="1:13" x14ac:dyDescent="0.45">
      <c r="A7" s="129" t="s">
        <v>237</v>
      </c>
      <c r="B7" s="150">
        <f>((707*1189*1189)*B6)/G61</f>
        <v>3508.9301314860304</v>
      </c>
    </row>
    <row r="8" spans="1:13" x14ac:dyDescent="0.45">
      <c r="A8" s="129" t="s">
        <v>247</v>
      </c>
      <c r="B8" s="150">
        <f>B7*H55/(1000*1000)</f>
        <v>7.3478796789562901</v>
      </c>
    </row>
    <row r="9" spans="1:13" x14ac:dyDescent="0.45">
      <c r="A9" s="27" t="s">
        <v>56</v>
      </c>
      <c r="B9" s="27" t="s">
        <v>0</v>
      </c>
      <c r="C9" s="27" t="s">
        <v>68</v>
      </c>
      <c r="D9" s="27" t="s">
        <v>73</v>
      </c>
      <c r="E9" s="27" t="s">
        <v>65</v>
      </c>
      <c r="F9" s="27" t="s">
        <v>64</v>
      </c>
      <c r="G9" s="27" t="s">
        <v>71</v>
      </c>
      <c r="H9" s="27" t="s">
        <v>70</v>
      </c>
      <c r="K9" t="s">
        <v>75</v>
      </c>
      <c r="L9" t="s">
        <v>76</v>
      </c>
      <c r="M9" t="s">
        <v>74</v>
      </c>
    </row>
    <row r="10" spans="1:13" x14ac:dyDescent="0.45">
      <c r="A10" s="24">
        <v>1</v>
      </c>
      <c r="B10" s="24" t="s">
        <v>47</v>
      </c>
      <c r="C10" s="24">
        <v>181474.48</v>
      </c>
      <c r="D10" s="24"/>
      <c r="E10" s="24"/>
      <c r="F10" s="24">
        <v>0</v>
      </c>
      <c r="G10" s="24"/>
      <c r="H10" s="24"/>
      <c r="K10" s="24">
        <v>1</v>
      </c>
      <c r="L10" s="24" t="s">
        <v>77</v>
      </c>
      <c r="M10" s="24">
        <v>182056.652</v>
      </c>
    </row>
    <row r="11" spans="1:13" x14ac:dyDescent="0.45">
      <c r="A11">
        <v>2</v>
      </c>
      <c r="B11" t="s">
        <v>47</v>
      </c>
      <c r="D11">
        <v>1</v>
      </c>
      <c r="E11" t="s">
        <v>67</v>
      </c>
      <c r="F11">
        <v>49.545000000000002</v>
      </c>
      <c r="G11">
        <f>AVERAGE(F11:F12)</f>
        <v>50.3705</v>
      </c>
      <c r="H11">
        <f>PI()*(G11/2)^2</f>
        <v>1992.7022222497353</v>
      </c>
      <c r="K11">
        <v>2</v>
      </c>
      <c r="L11" t="s">
        <v>47</v>
      </c>
      <c r="M11">
        <v>1981.037</v>
      </c>
    </row>
    <row r="12" spans="1:13" x14ac:dyDescent="0.45">
      <c r="A12">
        <v>3</v>
      </c>
      <c r="B12" t="s">
        <v>47</v>
      </c>
      <c r="E12" t="s">
        <v>66</v>
      </c>
      <c r="F12">
        <v>51.195999999999998</v>
      </c>
      <c r="K12">
        <v>3</v>
      </c>
      <c r="L12" t="s">
        <v>47</v>
      </c>
      <c r="M12">
        <v>2310.373</v>
      </c>
    </row>
    <row r="13" spans="1:13" x14ac:dyDescent="0.45">
      <c r="A13">
        <v>4</v>
      </c>
      <c r="B13" t="s">
        <v>47</v>
      </c>
      <c r="D13">
        <v>2</v>
      </c>
      <c r="E13" t="s">
        <v>67</v>
      </c>
      <c r="F13">
        <v>64.256</v>
      </c>
      <c r="G13">
        <f>AVERAGE(F13:F14)</f>
        <v>58.561999999999998</v>
      </c>
      <c r="H13">
        <f>PI()*(G13/2)^2</f>
        <v>2693.5291620347425</v>
      </c>
      <c r="K13">
        <v>4</v>
      </c>
      <c r="L13" t="s">
        <v>47</v>
      </c>
      <c r="M13">
        <v>1210.421</v>
      </c>
    </row>
    <row r="14" spans="1:13" x14ac:dyDescent="0.45">
      <c r="A14">
        <v>5</v>
      </c>
      <c r="B14" t="s">
        <v>47</v>
      </c>
      <c r="E14" t="s">
        <v>66</v>
      </c>
      <c r="F14">
        <v>52.868000000000002</v>
      </c>
      <c r="K14">
        <v>5</v>
      </c>
      <c r="L14" t="s">
        <v>47</v>
      </c>
      <c r="M14">
        <v>1660.5619999999999</v>
      </c>
    </row>
    <row r="15" spans="1:13" x14ac:dyDescent="0.45">
      <c r="A15">
        <v>6</v>
      </c>
      <c r="B15" t="s">
        <v>47</v>
      </c>
      <c r="D15">
        <v>3</v>
      </c>
      <c r="E15" t="s">
        <v>67</v>
      </c>
      <c r="F15">
        <v>95.686999999999998</v>
      </c>
      <c r="G15">
        <f>AVERAGE(F15:F16)</f>
        <v>64.869</v>
      </c>
      <c r="H15">
        <f>PI()*(G15/2)^2</f>
        <v>3304.9453878494423</v>
      </c>
      <c r="K15">
        <v>6</v>
      </c>
      <c r="L15" t="s">
        <v>47</v>
      </c>
      <c r="M15">
        <v>2056.0610000000001</v>
      </c>
    </row>
    <row r="16" spans="1:13" x14ac:dyDescent="0.45">
      <c r="A16">
        <v>7</v>
      </c>
      <c r="B16" t="s">
        <v>47</v>
      </c>
      <c r="E16" t="s">
        <v>66</v>
      </c>
      <c r="F16">
        <v>34.051000000000002</v>
      </c>
      <c r="K16">
        <v>7</v>
      </c>
      <c r="L16" t="s">
        <v>47</v>
      </c>
      <c r="M16">
        <v>2078.8040000000001</v>
      </c>
    </row>
    <row r="17" spans="1:13" x14ac:dyDescent="0.45">
      <c r="A17">
        <v>8</v>
      </c>
      <c r="B17" t="s">
        <v>47</v>
      </c>
      <c r="D17">
        <v>4</v>
      </c>
      <c r="E17" t="s">
        <v>67</v>
      </c>
      <c r="F17">
        <v>45.911999999999999</v>
      </c>
      <c r="G17">
        <f>AVERAGE(F17:F18)</f>
        <v>39.335999999999999</v>
      </c>
      <c r="H17">
        <f>PI()*(G17/2)^2</f>
        <v>1215.2629899048941</v>
      </c>
      <c r="K17">
        <v>8</v>
      </c>
      <c r="L17" t="s">
        <v>47</v>
      </c>
      <c r="M17">
        <v>2955.163</v>
      </c>
    </row>
    <row r="18" spans="1:13" x14ac:dyDescent="0.45">
      <c r="A18">
        <v>9</v>
      </c>
      <c r="B18" t="s">
        <v>47</v>
      </c>
      <c r="E18" t="s">
        <v>66</v>
      </c>
      <c r="F18">
        <v>32.76</v>
      </c>
      <c r="K18">
        <v>9</v>
      </c>
      <c r="L18" t="s">
        <v>47</v>
      </c>
      <c r="M18">
        <v>2493.2069999999999</v>
      </c>
    </row>
    <row r="19" spans="1:13" x14ac:dyDescent="0.45">
      <c r="A19">
        <v>10</v>
      </c>
      <c r="B19" t="s">
        <v>47</v>
      </c>
      <c r="D19">
        <v>5</v>
      </c>
      <c r="E19" t="s">
        <v>67</v>
      </c>
      <c r="F19">
        <v>51.765999999999998</v>
      </c>
      <c r="G19">
        <f>AVERAGE(F19:F20)</f>
        <v>54.265500000000003</v>
      </c>
      <c r="H19">
        <f>PI()*(G19/2)^2</f>
        <v>2312.7969143171053</v>
      </c>
      <c r="K19">
        <v>10</v>
      </c>
      <c r="L19" t="s">
        <v>47</v>
      </c>
      <c r="M19">
        <v>2198.4290000000001</v>
      </c>
    </row>
    <row r="20" spans="1:13" x14ac:dyDescent="0.45">
      <c r="A20">
        <v>11</v>
      </c>
      <c r="B20" t="s">
        <v>47</v>
      </c>
      <c r="E20" t="s">
        <v>66</v>
      </c>
      <c r="F20">
        <v>56.765000000000001</v>
      </c>
      <c r="K20">
        <v>11</v>
      </c>
      <c r="L20" t="s">
        <v>47</v>
      </c>
      <c r="M20">
        <v>3249.35</v>
      </c>
    </row>
    <row r="21" spans="1:13" x14ac:dyDescent="0.45">
      <c r="A21">
        <v>12</v>
      </c>
      <c r="B21" t="s">
        <v>47</v>
      </c>
      <c r="D21">
        <v>6</v>
      </c>
      <c r="E21" t="s">
        <v>67</v>
      </c>
      <c r="F21">
        <v>41.212000000000003</v>
      </c>
      <c r="G21">
        <f>AVERAGE(F21:F22)</f>
        <v>43.0015</v>
      </c>
      <c r="H21">
        <f>PI()*(G21/2)^2</f>
        <v>1452.302522252106</v>
      </c>
      <c r="K21" t="s">
        <v>14</v>
      </c>
      <c r="L21" t="s">
        <v>47</v>
      </c>
      <c r="M21">
        <v>2081.7579999999998</v>
      </c>
    </row>
    <row r="22" spans="1:13" x14ac:dyDescent="0.45">
      <c r="A22">
        <v>13</v>
      </c>
      <c r="B22" t="s">
        <v>47</v>
      </c>
      <c r="E22" t="s">
        <v>66</v>
      </c>
      <c r="F22">
        <v>44.790999999999997</v>
      </c>
      <c r="K22">
        <v>13</v>
      </c>
      <c r="L22" t="s">
        <v>47</v>
      </c>
      <c r="M22">
        <v>1941.4580000000001</v>
      </c>
    </row>
    <row r="23" spans="1:13" x14ac:dyDescent="0.45">
      <c r="A23">
        <v>14</v>
      </c>
      <c r="B23" t="s">
        <v>47</v>
      </c>
      <c r="D23">
        <v>7</v>
      </c>
      <c r="E23" t="s">
        <v>67</v>
      </c>
      <c r="F23">
        <v>51.207999999999998</v>
      </c>
      <c r="G23">
        <f>AVERAGE(F23:F24)</f>
        <v>50.372</v>
      </c>
      <c r="H23">
        <f>PI()*(G23/2)^2</f>
        <v>1992.8209067114494</v>
      </c>
      <c r="K23">
        <v>14</v>
      </c>
      <c r="L23" t="s">
        <v>47</v>
      </c>
      <c r="M23">
        <v>1757.739</v>
      </c>
    </row>
    <row r="24" spans="1:13" x14ac:dyDescent="0.45">
      <c r="A24">
        <v>15</v>
      </c>
      <c r="B24" t="s">
        <v>47</v>
      </c>
      <c r="E24" t="s">
        <v>66</v>
      </c>
      <c r="F24">
        <v>49.536000000000001</v>
      </c>
      <c r="K24">
        <v>15</v>
      </c>
      <c r="L24" t="s">
        <v>47</v>
      </c>
      <c r="M24">
        <v>3849.835</v>
      </c>
    </row>
    <row r="25" spans="1:13" x14ac:dyDescent="0.45">
      <c r="A25">
        <v>16</v>
      </c>
      <c r="B25" t="s">
        <v>47</v>
      </c>
      <c r="D25">
        <v>8</v>
      </c>
      <c r="E25" t="s">
        <v>67</v>
      </c>
      <c r="F25">
        <v>57.462000000000003</v>
      </c>
      <c r="G25">
        <f>AVERAGE(F25:F26)</f>
        <v>58.301000000000002</v>
      </c>
      <c r="H25">
        <f>PI()*(G25/2)^2</f>
        <v>2669.5735418012032</v>
      </c>
      <c r="K25">
        <v>16</v>
      </c>
      <c r="L25" t="s">
        <v>47</v>
      </c>
      <c r="M25">
        <v>1466.5050000000001</v>
      </c>
    </row>
    <row r="26" spans="1:13" x14ac:dyDescent="0.45">
      <c r="A26">
        <v>17</v>
      </c>
      <c r="B26" t="s">
        <v>47</v>
      </c>
      <c r="E26" t="s">
        <v>66</v>
      </c>
      <c r="F26">
        <v>59.14</v>
      </c>
      <c r="K26">
        <v>17</v>
      </c>
      <c r="L26" t="s">
        <v>47</v>
      </c>
      <c r="M26">
        <v>2540.4659999999999</v>
      </c>
    </row>
    <row r="27" spans="1:13" x14ac:dyDescent="0.45">
      <c r="A27">
        <v>18</v>
      </c>
      <c r="B27" t="s">
        <v>47</v>
      </c>
      <c r="D27">
        <v>9</v>
      </c>
      <c r="E27" t="s">
        <v>67</v>
      </c>
      <c r="F27">
        <v>51.079000000000001</v>
      </c>
      <c r="G27">
        <f>AVERAGE(F27:F28)</f>
        <v>48.112000000000002</v>
      </c>
      <c r="H27">
        <f>PI()*(G27/2)^2</f>
        <v>1818.011821555132</v>
      </c>
      <c r="K27">
        <v>18</v>
      </c>
      <c r="L27" t="s">
        <v>47</v>
      </c>
      <c r="M27">
        <v>2260.7510000000002</v>
      </c>
    </row>
    <row r="28" spans="1:13" x14ac:dyDescent="0.45">
      <c r="A28">
        <v>19</v>
      </c>
      <c r="B28" t="s">
        <v>47</v>
      </c>
      <c r="E28" t="s">
        <v>66</v>
      </c>
      <c r="F28">
        <v>45.145000000000003</v>
      </c>
      <c r="K28">
        <v>19</v>
      </c>
      <c r="L28" t="s">
        <v>47</v>
      </c>
      <c r="M28">
        <v>876.654</v>
      </c>
    </row>
    <row r="29" spans="1:13" x14ac:dyDescent="0.45">
      <c r="A29">
        <v>20</v>
      </c>
      <c r="B29" t="s">
        <v>47</v>
      </c>
      <c r="D29">
        <v>10</v>
      </c>
      <c r="E29" t="s">
        <v>67</v>
      </c>
      <c r="F29">
        <v>72.201999999999998</v>
      </c>
      <c r="G29">
        <f>AVERAGE(F29:F30)</f>
        <v>56.665999999999997</v>
      </c>
      <c r="H29">
        <f>PI()*(G29/2)^2</f>
        <v>2521.941428286304</v>
      </c>
      <c r="K29">
        <v>20</v>
      </c>
      <c r="L29" t="s">
        <v>47</v>
      </c>
      <c r="M29">
        <v>3418.8919999999998</v>
      </c>
    </row>
    <row r="30" spans="1:13" x14ac:dyDescent="0.45">
      <c r="A30">
        <v>21</v>
      </c>
      <c r="B30" t="s">
        <v>47</v>
      </c>
      <c r="E30" t="s">
        <v>66</v>
      </c>
      <c r="F30">
        <v>41.13</v>
      </c>
      <c r="K30">
        <v>21</v>
      </c>
      <c r="L30" t="s">
        <v>47</v>
      </c>
      <c r="M30">
        <v>1470.64</v>
      </c>
    </row>
    <row r="31" spans="1:13" x14ac:dyDescent="0.45">
      <c r="A31">
        <v>22</v>
      </c>
      <c r="B31" t="s">
        <v>47</v>
      </c>
      <c r="D31">
        <v>11</v>
      </c>
      <c r="E31" t="s">
        <v>67</v>
      </c>
      <c r="F31">
        <v>67.674999999999997</v>
      </c>
      <c r="G31">
        <f>AVERAGE(F31:F32)</f>
        <v>56.650499999999994</v>
      </c>
      <c r="H31">
        <f>PI()*(G31/2)^2</f>
        <v>2520.5619504360729</v>
      </c>
      <c r="K31">
        <v>22</v>
      </c>
      <c r="L31" t="s">
        <v>47</v>
      </c>
      <c r="M31">
        <v>575.673</v>
      </c>
    </row>
    <row r="32" spans="1:13" x14ac:dyDescent="0.45">
      <c r="A32">
        <v>23</v>
      </c>
      <c r="B32" t="s">
        <v>47</v>
      </c>
      <c r="E32" t="s">
        <v>66</v>
      </c>
      <c r="F32">
        <v>45.625999999999998</v>
      </c>
      <c r="K32">
        <v>23</v>
      </c>
      <c r="L32" t="s">
        <v>47</v>
      </c>
      <c r="M32">
        <v>2055.4699999999998</v>
      </c>
    </row>
    <row r="33" spans="1:13" x14ac:dyDescent="0.45">
      <c r="A33">
        <v>24</v>
      </c>
      <c r="B33" t="s">
        <v>47</v>
      </c>
      <c r="D33">
        <v>12</v>
      </c>
      <c r="E33" t="s">
        <v>67</v>
      </c>
      <c r="F33">
        <v>49.753999999999998</v>
      </c>
      <c r="G33">
        <f>AVERAGE(F33:F34)</f>
        <v>71.775499999999994</v>
      </c>
      <c r="H33">
        <f>PI()*(G33/2)^2</f>
        <v>4046.153311489843</v>
      </c>
      <c r="K33">
        <v>24</v>
      </c>
      <c r="L33" t="s">
        <v>47</v>
      </c>
      <c r="M33">
        <v>904.41899999999998</v>
      </c>
    </row>
    <row r="34" spans="1:13" x14ac:dyDescent="0.45">
      <c r="A34">
        <v>25</v>
      </c>
      <c r="B34" t="s">
        <v>47</v>
      </c>
      <c r="E34" t="s">
        <v>66</v>
      </c>
      <c r="F34">
        <v>93.796999999999997</v>
      </c>
      <c r="L34" s="28" t="s">
        <v>27</v>
      </c>
      <c r="M34" s="28">
        <f>AVERAGE(M11:M33)</f>
        <v>2060.5942173913045</v>
      </c>
    </row>
    <row r="35" spans="1:13" x14ac:dyDescent="0.45">
      <c r="A35">
        <v>26</v>
      </c>
      <c r="B35" t="s">
        <v>47</v>
      </c>
      <c r="D35">
        <v>13</v>
      </c>
      <c r="E35" t="s">
        <v>67</v>
      </c>
      <c r="F35">
        <v>56.015000000000001</v>
      </c>
      <c r="G35">
        <f>AVERAGE(F35:F36)</f>
        <v>53.519999999999996</v>
      </c>
      <c r="H35">
        <f>PI()*(G35/2)^2</f>
        <v>2249.6869594132822</v>
      </c>
      <c r="L35" s="28" t="s">
        <v>78</v>
      </c>
      <c r="M35" s="28">
        <f>SUM(M11:M33)</f>
        <v>47393.667000000001</v>
      </c>
    </row>
    <row r="36" spans="1:13" x14ac:dyDescent="0.45">
      <c r="A36">
        <v>27</v>
      </c>
      <c r="B36" t="s">
        <v>47</v>
      </c>
      <c r="E36" t="s">
        <v>66</v>
      </c>
      <c r="F36">
        <v>51.024999999999999</v>
      </c>
      <c r="L36" s="28" t="s">
        <v>79</v>
      </c>
      <c r="M36" s="29">
        <f>M35/M10</f>
        <v>0.26032373153824667</v>
      </c>
    </row>
    <row r="37" spans="1:13" x14ac:dyDescent="0.45">
      <c r="A37">
        <v>28</v>
      </c>
      <c r="B37" t="s">
        <v>47</v>
      </c>
      <c r="D37">
        <v>14</v>
      </c>
      <c r="E37" t="s">
        <v>67</v>
      </c>
      <c r="F37">
        <v>49.868000000000002</v>
      </c>
      <c r="G37">
        <f>AVERAGE(F37:F38)</f>
        <v>47.551000000000002</v>
      </c>
      <c r="H37">
        <f>PI()*(G37/2)^2</f>
        <v>1775.8619030877767</v>
      </c>
    </row>
    <row r="38" spans="1:13" x14ac:dyDescent="0.45">
      <c r="A38">
        <v>29</v>
      </c>
      <c r="B38" t="s">
        <v>47</v>
      </c>
      <c r="E38" t="s">
        <v>66</v>
      </c>
      <c r="F38">
        <v>45.234000000000002</v>
      </c>
    </row>
    <row r="39" spans="1:13" x14ac:dyDescent="0.45">
      <c r="A39">
        <v>30</v>
      </c>
      <c r="B39" t="s">
        <v>47</v>
      </c>
      <c r="D39">
        <v>15</v>
      </c>
      <c r="E39" t="s">
        <v>67</v>
      </c>
      <c r="F39">
        <v>28.916</v>
      </c>
      <c r="G39">
        <f>AVERAGE(F39:F40)</f>
        <v>31.670999999999999</v>
      </c>
      <c r="H39">
        <f>PI()*(G39/2)^2</f>
        <v>787.79538787309468</v>
      </c>
    </row>
    <row r="40" spans="1:13" x14ac:dyDescent="0.45">
      <c r="A40">
        <v>31</v>
      </c>
      <c r="B40" t="s">
        <v>47</v>
      </c>
      <c r="E40" t="s">
        <v>66</v>
      </c>
      <c r="F40">
        <v>34.426000000000002</v>
      </c>
    </row>
    <row r="41" spans="1:13" x14ac:dyDescent="0.45">
      <c r="A41">
        <v>32</v>
      </c>
      <c r="B41" t="s">
        <v>47</v>
      </c>
      <c r="D41">
        <v>16</v>
      </c>
      <c r="E41" t="s">
        <v>67</v>
      </c>
      <c r="F41">
        <v>51.835000000000001</v>
      </c>
      <c r="G41">
        <f>AVERAGE(F41:F42)</f>
        <v>51.085000000000001</v>
      </c>
      <c r="H41">
        <f>PI()*(G41/2)^2</f>
        <v>2049.6356995751494</v>
      </c>
    </row>
    <row r="42" spans="1:13" x14ac:dyDescent="0.45">
      <c r="A42">
        <v>33</v>
      </c>
      <c r="B42" t="s">
        <v>47</v>
      </c>
      <c r="E42" t="s">
        <v>66</v>
      </c>
      <c r="F42">
        <v>50.335000000000001</v>
      </c>
    </row>
    <row r="43" spans="1:13" x14ac:dyDescent="0.45">
      <c r="A43">
        <v>34</v>
      </c>
      <c r="B43" t="s">
        <v>47</v>
      </c>
      <c r="D43">
        <v>17</v>
      </c>
      <c r="E43" t="s">
        <v>67</v>
      </c>
      <c r="F43">
        <v>39.841000000000001</v>
      </c>
      <c r="G43">
        <f>AVERAGE(F43:F44)</f>
        <v>34.046999999999997</v>
      </c>
      <c r="H43">
        <f>PI()*(G43/2)^2</f>
        <v>910.43214436221137</v>
      </c>
    </row>
    <row r="44" spans="1:13" x14ac:dyDescent="0.45">
      <c r="A44">
        <v>35</v>
      </c>
      <c r="B44" t="s">
        <v>47</v>
      </c>
      <c r="E44" t="s">
        <v>66</v>
      </c>
      <c r="F44">
        <v>28.253</v>
      </c>
    </row>
    <row r="45" spans="1:13" x14ac:dyDescent="0.45">
      <c r="A45">
        <v>36</v>
      </c>
      <c r="B45" t="s">
        <v>47</v>
      </c>
      <c r="D45">
        <v>18</v>
      </c>
      <c r="E45" t="s">
        <v>67</v>
      </c>
      <c r="F45">
        <v>47.073999999999998</v>
      </c>
      <c r="G45">
        <f>AVERAGE(F45:F46)</f>
        <v>39.944000000000003</v>
      </c>
      <c r="H45">
        <f>PI()*(G45/2)^2</f>
        <v>1253.1209406725372</v>
      </c>
    </row>
    <row r="46" spans="1:13" x14ac:dyDescent="0.45">
      <c r="A46">
        <v>37</v>
      </c>
      <c r="B46" t="s">
        <v>47</v>
      </c>
      <c r="E46" t="s">
        <v>66</v>
      </c>
      <c r="F46">
        <v>32.814</v>
      </c>
    </row>
    <row r="47" spans="1:13" x14ac:dyDescent="0.45">
      <c r="A47">
        <v>38</v>
      </c>
      <c r="B47" t="s">
        <v>47</v>
      </c>
      <c r="D47">
        <v>19</v>
      </c>
      <c r="E47" t="s">
        <v>67</v>
      </c>
      <c r="F47">
        <v>22.294</v>
      </c>
      <c r="G47">
        <f>AVERAGE(F47:F48)</f>
        <v>20.834</v>
      </c>
      <c r="H47">
        <f>PI()*(G47/2)^2</f>
        <v>340.90643649485821</v>
      </c>
    </row>
    <row r="48" spans="1:13" x14ac:dyDescent="0.45">
      <c r="A48">
        <v>39</v>
      </c>
      <c r="B48" t="s">
        <v>47</v>
      </c>
      <c r="E48" t="s">
        <v>66</v>
      </c>
      <c r="F48">
        <v>19.373999999999999</v>
      </c>
    </row>
    <row r="49" spans="1:8" x14ac:dyDescent="0.45">
      <c r="A49">
        <v>40</v>
      </c>
      <c r="B49" t="s">
        <v>47</v>
      </c>
      <c r="D49">
        <v>20</v>
      </c>
      <c r="E49" t="s">
        <v>67</v>
      </c>
      <c r="F49">
        <v>84.38</v>
      </c>
      <c r="G49">
        <f>AVERAGE(F49:F50)</f>
        <v>69.788499999999999</v>
      </c>
      <c r="H49">
        <f>PI()*(G49/2)^2</f>
        <v>3825.2304936562928</v>
      </c>
    </row>
    <row r="50" spans="1:8" x14ac:dyDescent="0.45">
      <c r="A50">
        <v>41</v>
      </c>
      <c r="B50" t="s">
        <v>47</v>
      </c>
      <c r="E50" t="s">
        <v>66</v>
      </c>
      <c r="F50">
        <v>55.197000000000003</v>
      </c>
    </row>
    <row r="51" spans="1:8" x14ac:dyDescent="0.45">
      <c r="A51">
        <v>42</v>
      </c>
      <c r="B51" t="s">
        <v>47</v>
      </c>
      <c r="D51">
        <v>21</v>
      </c>
      <c r="E51" t="s">
        <v>67</v>
      </c>
      <c r="F51">
        <v>67.841999999999999</v>
      </c>
      <c r="G51">
        <f>AVERAGE(F51:F52)</f>
        <v>56.596999999999994</v>
      </c>
      <c r="H51">
        <f>PI()*(G51/2)^2</f>
        <v>2515.8034261858229</v>
      </c>
    </row>
    <row r="52" spans="1:8" x14ac:dyDescent="0.45">
      <c r="A52">
        <v>43</v>
      </c>
      <c r="B52" t="s">
        <v>47</v>
      </c>
      <c r="E52" t="s">
        <v>66</v>
      </c>
      <c r="F52">
        <v>45.351999999999997</v>
      </c>
    </row>
    <row r="53" spans="1:8" x14ac:dyDescent="0.45">
      <c r="A53">
        <v>44</v>
      </c>
      <c r="B53" t="s">
        <v>47</v>
      </c>
      <c r="D53">
        <v>22</v>
      </c>
      <c r="E53" t="s">
        <v>67</v>
      </c>
      <c r="F53">
        <v>48.106999999999999</v>
      </c>
      <c r="G53">
        <f>AVERAGE(F53:F54)</f>
        <v>48.138999999999996</v>
      </c>
      <c r="H53">
        <f>PI()*(G53/2)^2</f>
        <v>1820.0528962380113</v>
      </c>
    </row>
    <row r="54" spans="1:8" x14ac:dyDescent="0.45">
      <c r="A54">
        <v>45</v>
      </c>
      <c r="B54" t="s">
        <v>47</v>
      </c>
      <c r="E54" t="s">
        <v>66</v>
      </c>
      <c r="F54">
        <v>48.170999999999999</v>
      </c>
    </row>
    <row r="55" spans="1:8" x14ac:dyDescent="0.45">
      <c r="E55" s="128" t="s">
        <v>61</v>
      </c>
      <c r="F55" s="311">
        <f>AVERAGE(F11:F54)</f>
        <v>50.248090909090905</v>
      </c>
      <c r="G55" s="128">
        <f>AVERAGE(G11:G54)</f>
        <v>50.248090909090912</v>
      </c>
      <c r="H55" s="128">
        <f>AVERAGE(H11:H54)</f>
        <v>2094.0512930203217</v>
      </c>
    </row>
    <row r="56" spans="1:8" x14ac:dyDescent="0.45">
      <c r="E56" s="128" t="s">
        <v>69</v>
      </c>
      <c r="F56" s="128"/>
      <c r="G56" s="128"/>
      <c r="H56" s="128">
        <f>SUM(H11:H54)</f>
        <v>46069.128446447074</v>
      </c>
    </row>
    <row r="57" spans="1:8" x14ac:dyDescent="0.45">
      <c r="E57" s="128" t="s">
        <v>72</v>
      </c>
      <c r="F57" s="128"/>
      <c r="G57" s="128"/>
      <c r="H57" s="134">
        <f>H56/C10</f>
        <v>0.25386009342165944</v>
      </c>
    </row>
    <row r="58" spans="1:8" x14ac:dyDescent="0.45">
      <c r="H58" s="146"/>
    </row>
    <row r="59" spans="1:8" x14ac:dyDescent="0.45">
      <c r="E59" s="128" t="s">
        <v>222</v>
      </c>
      <c r="F59" s="128"/>
      <c r="G59" s="128">
        <f>4*PI()*(G55/2)^2</f>
        <v>7932.1150539145237</v>
      </c>
      <c r="H59" s="146"/>
    </row>
    <row r="60" spans="1:8" x14ac:dyDescent="0.45">
      <c r="E60" s="128" t="s">
        <v>223</v>
      </c>
      <c r="F60" s="128"/>
      <c r="G60" s="128">
        <f>G59-Apopyles!E9</f>
        <v>6904.9649014488868</v>
      </c>
    </row>
    <row r="61" spans="1:8" x14ac:dyDescent="0.45">
      <c r="E61" s="128" t="s">
        <v>238</v>
      </c>
      <c r="F61" s="128"/>
      <c r="G61" s="128">
        <f>0.75*PI()*(G55/2)^3</f>
        <v>37366.27859348114</v>
      </c>
    </row>
  </sheetData>
  <pageMargins left="0.7" right="0.7" top="0.75" bottom="0.75" header="0.3" footer="0.3"/>
  <pageSetup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K49"/>
  <sheetViews>
    <sheetView topLeftCell="A4" zoomScaleNormal="100" workbookViewId="0">
      <selection activeCell="C49" sqref="C49"/>
    </sheetView>
  </sheetViews>
  <sheetFormatPr defaultRowHeight="14.25" x14ac:dyDescent="0.45"/>
  <cols>
    <col min="1" max="1" width="38.796875" customWidth="1"/>
    <col min="2" max="2" width="21.59765625" bestFit="1" customWidth="1"/>
    <col min="3" max="3" width="16.59765625" customWidth="1"/>
    <col min="4" max="5" width="16.53125" customWidth="1"/>
    <col min="6" max="6" width="41.59765625" customWidth="1"/>
    <col min="7" max="10" width="16.53125" customWidth="1"/>
  </cols>
  <sheetData>
    <row r="1" spans="1:11" s="265" customFormat="1" ht="40.25" customHeight="1" x14ac:dyDescent="0.45">
      <c r="A1" s="310" t="s">
        <v>576</v>
      </c>
    </row>
    <row r="3" spans="1:11" x14ac:dyDescent="0.45">
      <c r="A3" s="24" t="s">
        <v>221</v>
      </c>
      <c r="B3" s="24">
        <f>Chamber!G60</f>
        <v>6904.9649014488868</v>
      </c>
    </row>
    <row r="4" spans="1:11" x14ac:dyDescent="0.45">
      <c r="A4" s="24" t="s">
        <v>219</v>
      </c>
      <c r="B4" s="316">
        <f>I11</f>
        <v>0.15122022058967688</v>
      </c>
    </row>
    <row r="5" spans="1:11" x14ac:dyDescent="0.45">
      <c r="A5" s="24" t="s">
        <v>220</v>
      </c>
      <c r="B5" s="24">
        <f>B4*B3</f>
        <v>1044.1703155610771</v>
      </c>
    </row>
    <row r="6" spans="1:11" x14ac:dyDescent="0.45">
      <c r="A6" s="24" t="s">
        <v>239</v>
      </c>
      <c r="B6" s="24">
        <f>B5*Chamber!B7</f>
        <v>3663920.6826755404</v>
      </c>
    </row>
    <row r="7" spans="1:11" x14ac:dyDescent="0.45">
      <c r="A7" s="24" t="s">
        <v>240</v>
      </c>
      <c r="B7" s="24">
        <f>B6/(1000*1000)</f>
        <v>3.6639206826755406</v>
      </c>
    </row>
    <row r="10" spans="1:11" ht="42.75" x14ac:dyDescent="0.45">
      <c r="A10" s="19" t="s">
        <v>15</v>
      </c>
      <c r="B10" s="20" t="s">
        <v>24</v>
      </c>
      <c r="C10" s="21" t="s">
        <v>16</v>
      </c>
      <c r="D10" s="21" t="s">
        <v>17</v>
      </c>
      <c r="E10" s="21" t="s">
        <v>18</v>
      </c>
      <c r="F10" s="21" t="s">
        <v>19</v>
      </c>
      <c r="G10" s="21" t="s">
        <v>20</v>
      </c>
      <c r="H10" s="21" t="s">
        <v>21</v>
      </c>
      <c r="I10" s="22" t="s">
        <v>22</v>
      </c>
    </row>
    <row r="11" spans="1:11" x14ac:dyDescent="0.45">
      <c r="A11" t="s">
        <v>23</v>
      </c>
      <c r="B11">
        <v>1</v>
      </c>
      <c r="C11">
        <v>1.0580000000000001</v>
      </c>
      <c r="D11">
        <f>C11/2</f>
        <v>0.52900000000000003</v>
      </c>
      <c r="E11">
        <f>PI()*D11^2</f>
        <v>0.87914642977322133</v>
      </c>
      <c r="F11">
        <v>21</v>
      </c>
      <c r="G11">
        <f>E32*31</f>
        <v>156.0639554753848</v>
      </c>
      <c r="H11">
        <v>1032.0309999999999</v>
      </c>
      <c r="I11" s="25">
        <f>G11/H11</f>
        <v>0.15122022058967688</v>
      </c>
    </row>
    <row r="12" spans="1:11" x14ac:dyDescent="0.45">
      <c r="A12" t="s">
        <v>23</v>
      </c>
      <c r="B12">
        <v>2</v>
      </c>
      <c r="C12">
        <v>1.532</v>
      </c>
      <c r="D12">
        <f t="shared" ref="D12:D31" si="0">C12/2</f>
        <v>0.76600000000000001</v>
      </c>
      <c r="E12">
        <f t="shared" ref="E12:E31" si="1">PI()*D12^2</f>
        <v>1.8433483390497327</v>
      </c>
      <c r="F12" t="s">
        <v>29</v>
      </c>
      <c r="K12" t="s">
        <v>14</v>
      </c>
    </row>
    <row r="13" spans="1:11" x14ac:dyDescent="0.45">
      <c r="A13" t="s">
        <v>23</v>
      </c>
      <c r="B13">
        <v>3</v>
      </c>
      <c r="C13">
        <v>1.734</v>
      </c>
      <c r="D13">
        <f t="shared" si="0"/>
        <v>0.86699999999999999</v>
      </c>
      <c r="E13">
        <f t="shared" si="1"/>
        <v>2.361500640184258</v>
      </c>
    </row>
    <row r="14" spans="1:11" x14ac:dyDescent="0.45">
      <c r="A14" t="s">
        <v>23</v>
      </c>
      <c r="B14">
        <v>4</v>
      </c>
      <c r="C14">
        <v>1.863</v>
      </c>
      <c r="D14">
        <f t="shared" si="0"/>
        <v>0.93149999999999999</v>
      </c>
      <c r="E14">
        <f t="shared" si="1"/>
        <v>2.7259355981767981</v>
      </c>
    </row>
    <row r="15" spans="1:11" x14ac:dyDescent="0.45">
      <c r="A15" t="s">
        <v>23</v>
      </c>
      <c r="B15">
        <v>5</v>
      </c>
      <c r="C15">
        <v>3.2480000000000002</v>
      </c>
      <c r="D15">
        <f t="shared" si="0"/>
        <v>1.6240000000000001</v>
      </c>
      <c r="E15">
        <f t="shared" si="1"/>
        <v>8.2855610663540347</v>
      </c>
    </row>
    <row r="16" spans="1:11" x14ac:dyDescent="0.45">
      <c r="A16" t="s">
        <v>23</v>
      </c>
      <c r="B16">
        <v>6</v>
      </c>
      <c r="C16">
        <v>2.077</v>
      </c>
      <c r="D16">
        <f t="shared" si="0"/>
        <v>1.0385</v>
      </c>
      <c r="E16">
        <f t="shared" si="1"/>
        <v>3.3881519136269906</v>
      </c>
    </row>
    <row r="17" spans="1:5" x14ac:dyDescent="0.45">
      <c r="A17" t="s">
        <v>23</v>
      </c>
      <c r="B17">
        <v>7</v>
      </c>
      <c r="C17">
        <v>2.1179999999999999</v>
      </c>
      <c r="D17">
        <f t="shared" si="0"/>
        <v>1.0589999999999999</v>
      </c>
      <c r="E17">
        <f t="shared" si="1"/>
        <v>3.5232364707405348</v>
      </c>
    </row>
    <row r="18" spans="1:5" x14ac:dyDescent="0.45">
      <c r="A18" t="s">
        <v>23</v>
      </c>
      <c r="B18">
        <v>8</v>
      </c>
      <c r="C18">
        <v>2.2130000000000001</v>
      </c>
      <c r="D18">
        <f t="shared" si="0"/>
        <v>1.1065</v>
      </c>
      <c r="E18">
        <f t="shared" si="1"/>
        <v>3.8463846180795982</v>
      </c>
    </row>
    <row r="19" spans="1:5" x14ac:dyDescent="0.45">
      <c r="A19" t="s">
        <v>23</v>
      </c>
      <c r="B19">
        <v>9</v>
      </c>
      <c r="C19">
        <v>3.06</v>
      </c>
      <c r="D19">
        <f t="shared" si="0"/>
        <v>1.53</v>
      </c>
      <c r="E19">
        <f t="shared" si="1"/>
        <v>7.3541542427883471</v>
      </c>
    </row>
    <row r="20" spans="1:5" x14ac:dyDescent="0.45">
      <c r="A20" t="s">
        <v>23</v>
      </c>
      <c r="B20">
        <v>10</v>
      </c>
      <c r="C20">
        <v>2.6030000000000002</v>
      </c>
      <c r="D20">
        <f t="shared" si="0"/>
        <v>1.3015000000000001</v>
      </c>
      <c r="E20">
        <f t="shared" si="1"/>
        <v>5.3215508644992218</v>
      </c>
    </row>
    <row r="21" spans="1:5" x14ac:dyDescent="0.45">
      <c r="A21" t="s">
        <v>23</v>
      </c>
      <c r="B21">
        <v>11</v>
      </c>
      <c r="C21">
        <v>3.12</v>
      </c>
      <c r="D21">
        <f t="shared" si="0"/>
        <v>1.56</v>
      </c>
      <c r="E21">
        <f t="shared" si="1"/>
        <v>7.6453798817761216</v>
      </c>
    </row>
    <row r="22" spans="1:5" x14ac:dyDescent="0.45">
      <c r="A22" t="s">
        <v>23</v>
      </c>
      <c r="B22">
        <v>12</v>
      </c>
      <c r="C22">
        <v>2.9620000000000002</v>
      </c>
      <c r="D22">
        <f t="shared" si="0"/>
        <v>1.4810000000000001</v>
      </c>
      <c r="E22">
        <f t="shared" si="1"/>
        <v>6.8906468042703635</v>
      </c>
    </row>
    <row r="23" spans="1:5" x14ac:dyDescent="0.45">
      <c r="A23" t="s">
        <v>23</v>
      </c>
      <c r="B23">
        <v>13</v>
      </c>
      <c r="C23">
        <v>3.79</v>
      </c>
      <c r="D23">
        <f t="shared" si="0"/>
        <v>1.895</v>
      </c>
      <c r="E23">
        <f t="shared" si="1"/>
        <v>11.281537758857286</v>
      </c>
    </row>
    <row r="24" spans="1:5" x14ac:dyDescent="0.45">
      <c r="A24" t="s">
        <v>23</v>
      </c>
      <c r="B24">
        <v>14</v>
      </c>
      <c r="C24">
        <v>3.05</v>
      </c>
      <c r="D24">
        <f t="shared" si="0"/>
        <v>1.5249999999999999</v>
      </c>
      <c r="E24">
        <f t="shared" si="1"/>
        <v>7.3061664150047614</v>
      </c>
    </row>
    <row r="25" spans="1:5" x14ac:dyDescent="0.45">
      <c r="A25" t="s">
        <v>23</v>
      </c>
      <c r="B25">
        <v>15</v>
      </c>
      <c r="C25">
        <v>2.9780000000000002</v>
      </c>
      <c r="D25">
        <f t="shared" si="0"/>
        <v>1.4890000000000001</v>
      </c>
      <c r="E25">
        <f t="shared" si="1"/>
        <v>6.9652910457196562</v>
      </c>
    </row>
    <row r="26" spans="1:5" x14ac:dyDescent="0.45">
      <c r="A26" t="s">
        <v>23</v>
      </c>
      <c r="B26">
        <v>16</v>
      </c>
      <c r="C26">
        <v>2.7709999999999999</v>
      </c>
      <c r="D26">
        <f t="shared" si="0"/>
        <v>1.3855</v>
      </c>
      <c r="E26">
        <f t="shared" si="1"/>
        <v>6.0306334591556654</v>
      </c>
    </row>
    <row r="27" spans="1:5" x14ac:dyDescent="0.45">
      <c r="A27" t="s">
        <v>23</v>
      </c>
      <c r="B27">
        <v>17</v>
      </c>
      <c r="C27">
        <v>2.7440000000000002</v>
      </c>
      <c r="D27">
        <f t="shared" si="0"/>
        <v>1.3720000000000001</v>
      </c>
      <c r="E27">
        <f t="shared" si="1"/>
        <v>5.9136837456349696</v>
      </c>
    </row>
    <row r="28" spans="1:5" x14ac:dyDescent="0.45">
      <c r="A28" t="s">
        <v>23</v>
      </c>
      <c r="B28">
        <v>18</v>
      </c>
      <c r="C28">
        <v>2.8980000000000001</v>
      </c>
      <c r="D28">
        <f t="shared" si="0"/>
        <v>1.4490000000000001</v>
      </c>
      <c r="E28">
        <f t="shared" si="1"/>
        <v>6.5960910770697838</v>
      </c>
    </row>
    <row r="29" spans="1:5" x14ac:dyDescent="0.45">
      <c r="A29" t="s">
        <v>23</v>
      </c>
      <c r="B29">
        <v>19</v>
      </c>
      <c r="C29">
        <v>1.821</v>
      </c>
      <c r="D29">
        <f t="shared" si="0"/>
        <v>0.91049999999999998</v>
      </c>
      <c r="E29">
        <f t="shared" si="1"/>
        <v>2.6044125111506378</v>
      </c>
    </row>
    <row r="30" spans="1:5" x14ac:dyDescent="0.45">
      <c r="A30" t="s">
        <v>23</v>
      </c>
      <c r="B30">
        <v>20</v>
      </c>
      <c r="C30">
        <v>1.3049999999999999</v>
      </c>
      <c r="D30">
        <f t="shared" si="0"/>
        <v>0.65249999999999997</v>
      </c>
      <c r="E30">
        <f t="shared" si="1"/>
        <v>1.3375527072199391</v>
      </c>
    </row>
    <row r="31" spans="1:5" x14ac:dyDescent="0.45">
      <c r="A31" t="s">
        <v>23</v>
      </c>
      <c r="B31">
        <v>21</v>
      </c>
      <c r="C31">
        <v>2.1469999999999998</v>
      </c>
      <c r="D31">
        <f t="shared" si="0"/>
        <v>1.0734999999999999</v>
      </c>
      <c r="E31">
        <f t="shared" si="1"/>
        <v>3.6203784425803471</v>
      </c>
    </row>
    <row r="32" spans="1:5" x14ac:dyDescent="0.45">
      <c r="A32" s="137" t="s">
        <v>27</v>
      </c>
      <c r="B32" s="138"/>
      <c r="C32" s="315">
        <f>AVERAGE(C11:C31)</f>
        <v>2.432952380952381</v>
      </c>
      <c r="D32" s="138">
        <f>AVERAGE(D11:D31)</f>
        <v>1.2164761904761905</v>
      </c>
      <c r="E32" s="139">
        <f>AVERAGE(E11:E31)</f>
        <v>5.0343211443672518</v>
      </c>
    </row>
    <row r="33" spans="1:5" x14ac:dyDescent="0.45">
      <c r="A33" s="140" t="s">
        <v>26</v>
      </c>
      <c r="B33" s="141"/>
      <c r="C33" s="141">
        <f>_xlfn.STDEV.P(C11:C31)</f>
        <v>0.70045661815911497</v>
      </c>
      <c r="D33" s="141">
        <f>_xlfn.STDEV.P(D11:D31)</f>
        <v>0.35022830907955749</v>
      </c>
      <c r="E33" s="142">
        <f>_xlfn.STDEV.P(E11:E31)</f>
        <v>2.6395848442178758</v>
      </c>
    </row>
    <row r="34" spans="1:5" x14ac:dyDescent="0.45">
      <c r="A34" s="143" t="s">
        <v>28</v>
      </c>
      <c r="B34" s="27"/>
      <c r="C34" s="27">
        <f>C33/SQRT(21)</f>
        <v>0.15285216541652019</v>
      </c>
      <c r="D34" s="27">
        <f>D33/SQRT(21)</f>
        <v>7.6426082708260096E-2</v>
      </c>
      <c r="E34" s="144">
        <f>E33/SQRT(21)</f>
        <v>0.57600463580412553</v>
      </c>
    </row>
    <row r="41" spans="1:5" x14ac:dyDescent="0.45">
      <c r="A41" s="129" t="s">
        <v>272</v>
      </c>
    </row>
    <row r="42" spans="1:5" x14ac:dyDescent="0.45">
      <c r="A42" s="27" t="s">
        <v>0</v>
      </c>
      <c r="B42" s="27" t="s">
        <v>75</v>
      </c>
      <c r="C42" s="27" t="s">
        <v>273</v>
      </c>
    </row>
    <row r="43" spans="1:5" x14ac:dyDescent="0.45">
      <c r="A43" t="s">
        <v>89</v>
      </c>
      <c r="B43">
        <v>1</v>
      </c>
      <c r="C43">
        <v>0.77500000000000002</v>
      </c>
    </row>
    <row r="44" spans="1:5" x14ac:dyDescent="0.45">
      <c r="A44" t="s">
        <v>89</v>
      </c>
      <c r="B44">
        <v>2</v>
      </c>
      <c r="C44">
        <v>0.629</v>
      </c>
    </row>
    <row r="45" spans="1:5" x14ac:dyDescent="0.45">
      <c r="A45" t="s">
        <v>89</v>
      </c>
      <c r="B45">
        <v>3</v>
      </c>
      <c r="C45">
        <v>0.54700000000000004</v>
      </c>
    </row>
    <row r="46" spans="1:5" x14ac:dyDescent="0.45">
      <c r="A46" t="s">
        <v>91</v>
      </c>
      <c r="B46">
        <v>4</v>
      </c>
      <c r="C46">
        <v>0.63400000000000001</v>
      </c>
    </row>
    <row r="47" spans="1:5" x14ac:dyDescent="0.45">
      <c r="A47" t="s">
        <v>91</v>
      </c>
      <c r="B47">
        <v>5</v>
      </c>
      <c r="C47">
        <v>0.77100000000000002</v>
      </c>
    </row>
    <row r="48" spans="1:5" x14ac:dyDescent="0.45">
      <c r="A48" t="s">
        <v>91</v>
      </c>
      <c r="B48">
        <v>6</v>
      </c>
      <c r="C48">
        <v>0.73</v>
      </c>
    </row>
    <row r="49" spans="2:3" x14ac:dyDescent="0.45">
      <c r="B49" s="128" t="s">
        <v>61</v>
      </c>
      <c r="C49" s="311">
        <f>AVERAGE(C43:C48)</f>
        <v>0.68100000000000005</v>
      </c>
    </row>
  </sheetData>
  <pageMargins left="0.7" right="0.7" top="0.75" bottom="0.75" header="0.3" footer="0.3"/>
  <pageSetup orientation="portrait" horizontalDpi="0" verticalDpi="0" r:id="rId1"/>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L327"/>
  <sheetViews>
    <sheetView topLeftCell="A13" zoomScale="85" zoomScaleNormal="85" workbookViewId="0">
      <selection activeCell="B5" sqref="B5"/>
    </sheetView>
  </sheetViews>
  <sheetFormatPr defaultRowHeight="14.25" x14ac:dyDescent="0.45"/>
  <cols>
    <col min="1" max="1" width="56.06640625" customWidth="1"/>
    <col min="2" max="2" width="21.59765625" bestFit="1" customWidth="1"/>
    <col min="3" max="3" width="23.59765625" bestFit="1" customWidth="1"/>
    <col min="4" max="4" width="23" bestFit="1" customWidth="1"/>
    <col min="5" max="5" width="45" bestFit="1" customWidth="1"/>
  </cols>
  <sheetData>
    <row r="1" spans="1:3" ht="114" x14ac:dyDescent="0.45">
      <c r="A1" s="310" t="s">
        <v>581</v>
      </c>
    </row>
    <row r="3" spans="1:3" x14ac:dyDescent="0.45">
      <c r="A3" s="135" t="s">
        <v>204</v>
      </c>
      <c r="B3" s="102">
        <f>AVERAGE(B81,B84,B142)</f>
        <v>5.526808232002165</v>
      </c>
    </row>
    <row r="4" spans="1:3" x14ac:dyDescent="0.45">
      <c r="A4" s="135" t="s">
        <v>206</v>
      </c>
      <c r="B4" s="102">
        <f>Chamber!G60</f>
        <v>6904.9649014488868</v>
      </c>
    </row>
    <row r="5" spans="1:3" x14ac:dyDescent="0.45">
      <c r="A5" s="135" t="s">
        <v>207</v>
      </c>
      <c r="B5" s="102">
        <f>(B4/100)*B3</f>
        <v>381.62416859013723</v>
      </c>
    </row>
    <row r="6" spans="1:3" x14ac:dyDescent="0.45">
      <c r="A6" s="135" t="s">
        <v>241</v>
      </c>
      <c r="B6" s="135">
        <f>B5*B249</f>
        <v>6955.6839602709124</v>
      </c>
    </row>
    <row r="7" spans="1:3" x14ac:dyDescent="0.45">
      <c r="A7" s="135" t="s">
        <v>242</v>
      </c>
      <c r="B7" s="135">
        <f>B6*Chamber!B7</f>
        <v>24407009.033288684</v>
      </c>
    </row>
    <row r="8" spans="1:3" x14ac:dyDescent="0.45">
      <c r="A8" s="135" t="s">
        <v>243</v>
      </c>
      <c r="B8" s="151">
        <f>B7/(1000*1000)</f>
        <v>24.407009033288684</v>
      </c>
    </row>
    <row r="9" spans="1:3" x14ac:dyDescent="0.45">
      <c r="A9" s="135" t="s">
        <v>244</v>
      </c>
      <c r="B9" s="102">
        <f>C120*B5</f>
        <v>4462.5109911685176</v>
      </c>
    </row>
    <row r="10" spans="1:3" x14ac:dyDescent="0.45">
      <c r="A10" s="135" t="s">
        <v>245</v>
      </c>
      <c r="B10" s="135">
        <f>B9*Chamber!B7</f>
        <v>15658639.278998803</v>
      </c>
    </row>
    <row r="11" spans="1:3" x14ac:dyDescent="0.45">
      <c r="A11" s="135" t="s">
        <v>246</v>
      </c>
      <c r="B11" s="151">
        <f>B10/(1000*1000)</f>
        <v>15.658639278998804</v>
      </c>
    </row>
    <row r="12" spans="1:3" ht="14.65" thickBot="1" x14ac:dyDescent="0.5"/>
    <row r="13" spans="1:3" ht="15" thickTop="1" thickBot="1" x14ac:dyDescent="0.5">
      <c r="A13" s="17" t="s">
        <v>85</v>
      </c>
    </row>
    <row r="14" spans="1:3" ht="14.65" thickTop="1" x14ac:dyDescent="0.45">
      <c r="A14" s="27" t="s">
        <v>0</v>
      </c>
      <c r="B14" s="27" t="s">
        <v>80</v>
      </c>
      <c r="C14" s="27" t="s">
        <v>81</v>
      </c>
    </row>
    <row r="15" spans="1:3" x14ac:dyDescent="0.45">
      <c r="A15" s="9" t="s">
        <v>82</v>
      </c>
      <c r="B15" s="9">
        <v>1</v>
      </c>
      <c r="C15" s="9">
        <v>39</v>
      </c>
    </row>
    <row r="16" spans="1:3" x14ac:dyDescent="0.45">
      <c r="A16" s="12" t="s">
        <v>82</v>
      </c>
      <c r="B16" s="12">
        <v>2</v>
      </c>
      <c r="C16" s="12">
        <v>45</v>
      </c>
    </row>
    <row r="17" spans="1:3" x14ac:dyDescent="0.45">
      <c r="A17" s="12" t="s">
        <v>82</v>
      </c>
      <c r="B17" s="12">
        <v>3</v>
      </c>
      <c r="C17" s="12">
        <v>40</v>
      </c>
    </row>
    <row r="18" spans="1:3" x14ac:dyDescent="0.45">
      <c r="A18" s="12" t="s">
        <v>82</v>
      </c>
      <c r="B18" s="12">
        <v>4</v>
      </c>
      <c r="C18" s="12">
        <v>41</v>
      </c>
    </row>
    <row r="19" spans="1:3" x14ac:dyDescent="0.45">
      <c r="A19" s="15" t="s">
        <v>82</v>
      </c>
      <c r="B19" s="15">
        <v>5</v>
      </c>
      <c r="C19" s="15">
        <v>40</v>
      </c>
    </row>
    <row r="20" spans="1:3" x14ac:dyDescent="0.45">
      <c r="A20" s="12" t="s">
        <v>83</v>
      </c>
      <c r="B20" s="12">
        <v>1</v>
      </c>
      <c r="C20" s="12">
        <v>42</v>
      </c>
    </row>
    <row r="21" spans="1:3" x14ac:dyDescent="0.45">
      <c r="A21" s="12" t="s">
        <v>83</v>
      </c>
      <c r="B21" s="12">
        <v>2</v>
      </c>
      <c r="C21" s="12">
        <v>42</v>
      </c>
    </row>
    <row r="22" spans="1:3" x14ac:dyDescent="0.45">
      <c r="A22" s="15" t="s">
        <v>83</v>
      </c>
      <c r="B22" s="15">
        <v>3</v>
      </c>
      <c r="C22" s="15">
        <v>42</v>
      </c>
    </row>
    <row r="23" spans="1:3" x14ac:dyDescent="0.45">
      <c r="A23" t="s">
        <v>84</v>
      </c>
      <c r="B23">
        <v>1</v>
      </c>
      <c r="C23">
        <v>40</v>
      </c>
    </row>
    <row r="24" spans="1:3" x14ac:dyDescent="0.45">
      <c r="A24" t="s">
        <v>84</v>
      </c>
      <c r="B24">
        <v>2</v>
      </c>
      <c r="C24">
        <v>41</v>
      </c>
    </row>
    <row r="25" spans="1:3" x14ac:dyDescent="0.45">
      <c r="A25" t="s">
        <v>84</v>
      </c>
      <c r="B25">
        <v>3</v>
      </c>
      <c r="C25">
        <v>41</v>
      </c>
    </row>
    <row r="26" spans="1:3" x14ac:dyDescent="0.45">
      <c r="A26" t="s">
        <v>84</v>
      </c>
      <c r="B26">
        <v>4</v>
      </c>
      <c r="C26">
        <v>35</v>
      </c>
    </row>
    <row r="27" spans="1:3" x14ac:dyDescent="0.45">
      <c r="A27" t="s">
        <v>84</v>
      </c>
      <c r="B27">
        <v>5</v>
      </c>
      <c r="C27">
        <v>40</v>
      </c>
    </row>
    <row r="28" spans="1:3" x14ac:dyDescent="0.45">
      <c r="A28" t="s">
        <v>84</v>
      </c>
      <c r="B28">
        <v>6</v>
      </c>
      <c r="C28">
        <v>42</v>
      </c>
    </row>
    <row r="29" spans="1:3" x14ac:dyDescent="0.45">
      <c r="A29" t="s">
        <v>84</v>
      </c>
      <c r="B29">
        <v>7</v>
      </c>
      <c r="C29">
        <v>39</v>
      </c>
    </row>
    <row r="30" spans="1:3" x14ac:dyDescent="0.45">
      <c r="A30" t="s">
        <v>84</v>
      </c>
      <c r="B30">
        <v>8</v>
      </c>
      <c r="C30">
        <v>38</v>
      </c>
    </row>
    <row r="31" spans="1:3" x14ac:dyDescent="0.45">
      <c r="A31" t="s">
        <v>84</v>
      </c>
      <c r="B31">
        <v>9</v>
      </c>
      <c r="C31">
        <v>37</v>
      </c>
    </row>
    <row r="32" spans="1:3" x14ac:dyDescent="0.45">
      <c r="A32" t="s">
        <v>84</v>
      </c>
      <c r="B32">
        <v>10</v>
      </c>
      <c r="C32">
        <v>34</v>
      </c>
    </row>
    <row r="33" spans="1:3" x14ac:dyDescent="0.45">
      <c r="B33" s="28" t="s">
        <v>61</v>
      </c>
      <c r="C33" s="136">
        <f>AVERAGE(C15:C32)</f>
        <v>39.888888888888886</v>
      </c>
    </row>
    <row r="34" spans="1:3" ht="14.65" thickBot="1" x14ac:dyDescent="0.5">
      <c r="C34" t="s">
        <v>14</v>
      </c>
    </row>
    <row r="35" spans="1:3" ht="15" thickTop="1" thickBot="1" x14ac:dyDescent="0.5">
      <c r="A35" s="17" t="s">
        <v>87</v>
      </c>
    </row>
    <row r="36" spans="1:3" ht="14.65" thickTop="1" x14ac:dyDescent="0.45">
      <c r="A36" s="27" t="s">
        <v>0</v>
      </c>
      <c r="B36" s="27" t="s">
        <v>88</v>
      </c>
      <c r="C36" s="27" t="s">
        <v>86</v>
      </c>
    </row>
    <row r="37" spans="1:3" x14ac:dyDescent="0.45">
      <c r="A37" t="s">
        <v>89</v>
      </c>
      <c r="B37">
        <v>1</v>
      </c>
      <c r="C37">
        <v>11.445</v>
      </c>
    </row>
    <row r="38" spans="1:3" x14ac:dyDescent="0.45">
      <c r="A38" t="s">
        <v>89</v>
      </c>
      <c r="B38">
        <v>2</v>
      </c>
      <c r="C38">
        <v>12.433999999999999</v>
      </c>
    </row>
    <row r="39" spans="1:3" x14ac:dyDescent="0.45">
      <c r="A39" t="s">
        <v>89</v>
      </c>
      <c r="B39">
        <v>3</v>
      </c>
      <c r="C39">
        <v>10.84</v>
      </c>
    </row>
    <row r="40" spans="1:3" x14ac:dyDescent="0.45">
      <c r="A40" t="s">
        <v>91</v>
      </c>
      <c r="B40">
        <v>4</v>
      </c>
      <c r="C40">
        <v>9.61</v>
      </c>
    </row>
    <row r="41" spans="1:3" x14ac:dyDescent="0.45">
      <c r="B41" s="28" t="s">
        <v>61</v>
      </c>
      <c r="C41" s="28">
        <f>AVERAGE(C37:C40)</f>
        <v>11.082249999999998</v>
      </c>
    </row>
    <row r="55" spans="1:12" ht="14.65" thickBot="1" x14ac:dyDescent="0.5"/>
    <row r="56" spans="1:12" ht="15" thickTop="1" thickBot="1" x14ac:dyDescent="0.5">
      <c r="A56" s="17" t="s">
        <v>380</v>
      </c>
    </row>
    <row r="57" spans="1:12" ht="14.65" thickTop="1" x14ac:dyDescent="0.45">
      <c r="A57" s="27" t="s">
        <v>0</v>
      </c>
      <c r="B57" s="27" t="s">
        <v>75</v>
      </c>
      <c r="C57" s="27" t="s">
        <v>93</v>
      </c>
      <c r="L57" t="s">
        <v>14</v>
      </c>
    </row>
    <row r="58" spans="1:12" x14ac:dyDescent="0.45">
      <c r="A58" s="9" t="s">
        <v>89</v>
      </c>
      <c r="B58" s="9">
        <v>1</v>
      </c>
      <c r="C58" s="9">
        <v>3.226</v>
      </c>
    </row>
    <row r="59" spans="1:12" x14ac:dyDescent="0.45">
      <c r="A59" s="12" t="s">
        <v>89</v>
      </c>
      <c r="B59" s="12">
        <v>2</v>
      </c>
      <c r="C59" s="12">
        <v>3.1360000000000001</v>
      </c>
    </row>
    <row r="60" spans="1:12" x14ac:dyDescent="0.45">
      <c r="A60" s="12" t="s">
        <v>89</v>
      </c>
      <c r="B60" s="12">
        <v>3</v>
      </c>
      <c r="C60" s="12">
        <v>3.3010000000000002</v>
      </c>
    </row>
    <row r="61" spans="1:12" x14ac:dyDescent="0.45">
      <c r="A61" s="12" t="s">
        <v>89</v>
      </c>
      <c r="B61" s="12">
        <v>4</v>
      </c>
      <c r="C61" s="12">
        <v>3.3929999999999998</v>
      </c>
    </row>
    <row r="62" spans="1:12" x14ac:dyDescent="0.45">
      <c r="A62" s="15" t="s">
        <v>89</v>
      </c>
      <c r="B62" s="15">
        <v>5</v>
      </c>
      <c r="C62" s="15">
        <v>3.5680000000000001</v>
      </c>
    </row>
    <row r="63" spans="1:12" x14ac:dyDescent="0.45">
      <c r="A63" s="9" t="s">
        <v>92</v>
      </c>
      <c r="B63" s="9">
        <v>6</v>
      </c>
      <c r="C63" s="9">
        <v>4.21</v>
      </c>
    </row>
    <row r="64" spans="1:12" x14ac:dyDescent="0.45">
      <c r="A64" s="12" t="s">
        <v>92</v>
      </c>
      <c r="B64" s="12">
        <v>7</v>
      </c>
      <c r="C64" s="12">
        <v>4.0659999999999998</v>
      </c>
    </row>
    <row r="65" spans="1:3" x14ac:dyDescent="0.45">
      <c r="A65" s="12" t="s">
        <v>92</v>
      </c>
      <c r="B65" s="12">
        <v>8</v>
      </c>
      <c r="C65" s="12">
        <v>4.1130000000000004</v>
      </c>
    </row>
    <row r="66" spans="1:3" x14ac:dyDescent="0.45">
      <c r="A66" s="12" t="s">
        <v>92</v>
      </c>
      <c r="B66" s="12">
        <v>9</v>
      </c>
      <c r="C66" s="12">
        <v>4.1769999999999996</v>
      </c>
    </row>
    <row r="67" spans="1:3" x14ac:dyDescent="0.45">
      <c r="A67" s="12" t="s">
        <v>92</v>
      </c>
      <c r="B67" s="12">
        <v>10</v>
      </c>
      <c r="C67" s="12">
        <v>4.1280000000000001</v>
      </c>
    </row>
    <row r="68" spans="1:3" x14ac:dyDescent="0.45">
      <c r="A68" s="15" t="s">
        <v>92</v>
      </c>
      <c r="B68" s="15">
        <v>11</v>
      </c>
      <c r="C68" s="15">
        <v>3.81</v>
      </c>
    </row>
    <row r="69" spans="1:3" x14ac:dyDescent="0.45">
      <c r="A69" t="s">
        <v>91</v>
      </c>
      <c r="B69">
        <v>12</v>
      </c>
      <c r="C69">
        <v>3.7050000000000001</v>
      </c>
    </row>
    <row r="70" spans="1:3" x14ac:dyDescent="0.45">
      <c r="A70" t="s">
        <v>91</v>
      </c>
      <c r="B70">
        <v>13</v>
      </c>
      <c r="C70">
        <v>3.1930000000000001</v>
      </c>
    </row>
    <row r="71" spans="1:3" x14ac:dyDescent="0.45">
      <c r="A71" t="s">
        <v>91</v>
      </c>
      <c r="B71">
        <v>14</v>
      </c>
      <c r="C71">
        <v>3.8730000000000002</v>
      </c>
    </row>
    <row r="72" spans="1:3" x14ac:dyDescent="0.45">
      <c r="A72" t="s">
        <v>91</v>
      </c>
      <c r="B72">
        <v>15</v>
      </c>
      <c r="C72">
        <v>4.032</v>
      </c>
    </row>
    <row r="73" spans="1:3" x14ac:dyDescent="0.45">
      <c r="A73" t="s">
        <v>91</v>
      </c>
      <c r="B73">
        <v>16</v>
      </c>
      <c r="C73">
        <v>3.7120000000000002</v>
      </c>
    </row>
    <row r="74" spans="1:3" x14ac:dyDescent="0.45">
      <c r="B74" s="28" t="s">
        <v>61</v>
      </c>
      <c r="C74" s="318">
        <f>AVERAGE(C58:C73)</f>
        <v>3.7276875</v>
      </c>
    </row>
    <row r="77" spans="1:3" ht="14.65" thickBot="1" x14ac:dyDescent="0.5"/>
    <row r="78" spans="1:3" ht="15" thickTop="1" thickBot="1" x14ac:dyDescent="0.5">
      <c r="A78" s="17" t="s">
        <v>210</v>
      </c>
    </row>
    <row r="79" spans="1:3" ht="14.65" thickTop="1" x14ac:dyDescent="0.45">
      <c r="A79" s="130" t="s">
        <v>96</v>
      </c>
      <c r="B79" s="129">
        <v>390.75400000000002</v>
      </c>
    </row>
    <row r="80" spans="1:3" x14ac:dyDescent="0.45">
      <c r="A80" s="130" t="s">
        <v>97</v>
      </c>
      <c r="B80" s="129">
        <v>22</v>
      </c>
    </row>
    <row r="81" spans="1:3" x14ac:dyDescent="0.45">
      <c r="A81" s="130" t="s">
        <v>200</v>
      </c>
      <c r="B81" s="129">
        <f>B80/B79*100</f>
        <v>5.6301407023344607</v>
      </c>
    </row>
    <row r="82" spans="1:3" x14ac:dyDescent="0.45">
      <c r="A82" s="130" t="s">
        <v>98</v>
      </c>
      <c r="B82" s="131">
        <v>474.71644612476365</v>
      </c>
    </row>
    <row r="83" spans="1:3" x14ac:dyDescent="0.45">
      <c r="A83" s="130" t="s">
        <v>99</v>
      </c>
      <c r="B83" s="129">
        <v>28</v>
      </c>
    </row>
    <row r="84" spans="1:3" x14ac:dyDescent="0.45">
      <c r="A84" s="130" t="s">
        <v>199</v>
      </c>
      <c r="B84" s="129">
        <f>B83/B82*100</f>
        <v>5.8982578397212553</v>
      </c>
    </row>
    <row r="85" spans="1:3" x14ac:dyDescent="0.45">
      <c r="A85" s="27" t="s">
        <v>40</v>
      </c>
      <c r="B85" s="27" t="s">
        <v>0</v>
      </c>
      <c r="C85" s="27" t="s">
        <v>95</v>
      </c>
    </row>
    <row r="86" spans="1:3" x14ac:dyDescent="0.45">
      <c r="A86">
        <v>1</v>
      </c>
      <c r="B86" t="s">
        <v>94</v>
      </c>
      <c r="C86">
        <v>10.914999999999999</v>
      </c>
    </row>
    <row r="87" spans="1:3" x14ac:dyDescent="0.45">
      <c r="A87">
        <v>2</v>
      </c>
      <c r="B87" t="s">
        <v>94</v>
      </c>
      <c r="C87">
        <v>11.723000000000001</v>
      </c>
    </row>
    <row r="88" spans="1:3" x14ac:dyDescent="0.45">
      <c r="A88">
        <v>3</v>
      </c>
      <c r="B88" t="s">
        <v>94</v>
      </c>
      <c r="C88">
        <v>12.186999999999999</v>
      </c>
    </row>
    <row r="89" spans="1:3" x14ac:dyDescent="0.45">
      <c r="A89">
        <v>4</v>
      </c>
      <c r="B89" t="s">
        <v>94</v>
      </c>
      <c r="C89">
        <v>11.874000000000001</v>
      </c>
    </row>
    <row r="90" spans="1:3" x14ac:dyDescent="0.45">
      <c r="A90">
        <v>5</v>
      </c>
      <c r="B90" t="s">
        <v>94</v>
      </c>
      <c r="C90">
        <v>11.282999999999999</v>
      </c>
    </row>
    <row r="91" spans="1:3" x14ac:dyDescent="0.45">
      <c r="A91">
        <v>6</v>
      </c>
      <c r="B91" t="s">
        <v>94</v>
      </c>
      <c r="C91">
        <v>11.154</v>
      </c>
    </row>
    <row r="92" spans="1:3" x14ac:dyDescent="0.45">
      <c r="A92">
        <v>7</v>
      </c>
      <c r="B92" t="s">
        <v>94</v>
      </c>
      <c r="C92">
        <v>11.375</v>
      </c>
    </row>
    <row r="93" spans="1:3" x14ac:dyDescent="0.45">
      <c r="A93">
        <v>8</v>
      </c>
      <c r="B93" t="s">
        <v>94</v>
      </c>
      <c r="C93">
        <v>12.26</v>
      </c>
    </row>
    <row r="94" spans="1:3" x14ac:dyDescent="0.45">
      <c r="A94">
        <v>9</v>
      </c>
      <c r="B94" t="s">
        <v>94</v>
      </c>
      <c r="C94">
        <v>12.05</v>
      </c>
    </row>
    <row r="95" spans="1:3" x14ac:dyDescent="0.45">
      <c r="A95">
        <v>10</v>
      </c>
      <c r="B95" t="s">
        <v>94</v>
      </c>
      <c r="C95">
        <v>12.151999999999999</v>
      </c>
    </row>
    <row r="96" spans="1:3" x14ac:dyDescent="0.45">
      <c r="A96">
        <v>11</v>
      </c>
      <c r="B96" t="s">
        <v>94</v>
      </c>
      <c r="C96">
        <v>12.148999999999999</v>
      </c>
    </row>
    <row r="97" spans="1:5" x14ac:dyDescent="0.45">
      <c r="A97">
        <v>12</v>
      </c>
      <c r="B97" t="s">
        <v>94</v>
      </c>
      <c r="C97">
        <v>10.728</v>
      </c>
    </row>
    <row r="98" spans="1:5" x14ac:dyDescent="0.45">
      <c r="A98">
        <v>13</v>
      </c>
      <c r="B98" t="s">
        <v>94</v>
      </c>
      <c r="C98">
        <v>11.784000000000001</v>
      </c>
    </row>
    <row r="99" spans="1:5" x14ac:dyDescent="0.45">
      <c r="A99">
        <v>14</v>
      </c>
      <c r="B99" t="s">
        <v>94</v>
      </c>
      <c r="C99">
        <v>11.541</v>
      </c>
    </row>
    <row r="100" spans="1:5" x14ac:dyDescent="0.45">
      <c r="A100">
        <v>15</v>
      </c>
      <c r="B100" t="s">
        <v>94</v>
      </c>
      <c r="C100">
        <v>11.351000000000001</v>
      </c>
    </row>
    <row r="101" spans="1:5" x14ac:dyDescent="0.45">
      <c r="A101">
        <v>16</v>
      </c>
      <c r="B101" t="s">
        <v>94</v>
      </c>
      <c r="C101">
        <v>11.173</v>
      </c>
    </row>
    <row r="102" spans="1:5" x14ac:dyDescent="0.45">
      <c r="A102">
        <v>17</v>
      </c>
      <c r="B102" t="s">
        <v>94</v>
      </c>
      <c r="C102">
        <v>11.068</v>
      </c>
    </row>
    <row r="103" spans="1:5" x14ac:dyDescent="0.45">
      <c r="A103">
        <v>18</v>
      </c>
      <c r="B103" t="s">
        <v>94</v>
      </c>
      <c r="C103">
        <v>10.933999999999999</v>
      </c>
    </row>
    <row r="104" spans="1:5" x14ac:dyDescent="0.45">
      <c r="A104">
        <v>2</v>
      </c>
      <c r="B104" t="s">
        <v>100</v>
      </c>
      <c r="C104">
        <v>12.234</v>
      </c>
    </row>
    <row r="105" spans="1:5" x14ac:dyDescent="0.45">
      <c r="A105">
        <v>3</v>
      </c>
      <c r="B105" t="s">
        <v>100</v>
      </c>
      <c r="C105">
        <v>11.808</v>
      </c>
    </row>
    <row r="106" spans="1:5" x14ac:dyDescent="0.45">
      <c r="A106">
        <v>4</v>
      </c>
      <c r="B106" t="s">
        <v>100</v>
      </c>
      <c r="C106">
        <v>12.375999999999999</v>
      </c>
    </row>
    <row r="107" spans="1:5" x14ac:dyDescent="0.45">
      <c r="A107">
        <v>5</v>
      </c>
      <c r="B107" t="s">
        <v>100</v>
      </c>
      <c r="C107">
        <v>11.78</v>
      </c>
    </row>
    <row r="108" spans="1:5" x14ac:dyDescent="0.45">
      <c r="A108">
        <v>6</v>
      </c>
      <c r="B108" t="s">
        <v>100</v>
      </c>
      <c r="C108">
        <v>11.695</v>
      </c>
    </row>
    <row r="109" spans="1:5" x14ac:dyDescent="0.45">
      <c r="A109">
        <v>7</v>
      </c>
      <c r="B109" t="s">
        <v>100</v>
      </c>
      <c r="C109">
        <v>10.802</v>
      </c>
    </row>
    <row r="110" spans="1:5" x14ac:dyDescent="0.45">
      <c r="A110">
        <v>8</v>
      </c>
      <c r="B110" t="s">
        <v>100</v>
      </c>
      <c r="C110">
        <v>12.265000000000001</v>
      </c>
      <c r="E110" t="s">
        <v>14</v>
      </c>
    </row>
    <row r="111" spans="1:5" x14ac:dyDescent="0.45">
      <c r="A111">
        <v>9</v>
      </c>
      <c r="B111" t="s">
        <v>100</v>
      </c>
      <c r="C111">
        <v>12.324999999999999</v>
      </c>
    </row>
    <row r="112" spans="1:5" x14ac:dyDescent="0.45">
      <c r="A112">
        <v>10</v>
      </c>
      <c r="B112" t="s">
        <v>100</v>
      </c>
      <c r="C112">
        <v>12.285</v>
      </c>
    </row>
    <row r="113" spans="1:4" x14ac:dyDescent="0.45">
      <c r="A113">
        <v>11</v>
      </c>
      <c r="B113" t="s">
        <v>100</v>
      </c>
      <c r="C113">
        <v>11.663</v>
      </c>
    </row>
    <row r="114" spans="1:4" x14ac:dyDescent="0.45">
      <c r="A114">
        <v>12</v>
      </c>
      <c r="B114" t="s">
        <v>100</v>
      </c>
      <c r="C114">
        <v>11.263999999999999</v>
      </c>
    </row>
    <row r="115" spans="1:4" x14ac:dyDescent="0.45">
      <c r="A115">
        <v>13</v>
      </c>
      <c r="B115" t="s">
        <v>100</v>
      </c>
      <c r="C115">
        <v>12.115</v>
      </c>
    </row>
    <row r="116" spans="1:4" x14ac:dyDescent="0.45">
      <c r="A116">
        <v>14</v>
      </c>
      <c r="B116" t="s">
        <v>100</v>
      </c>
      <c r="C116">
        <v>11.726000000000001</v>
      </c>
    </row>
    <row r="117" spans="1:4" x14ac:dyDescent="0.45">
      <c r="A117">
        <v>15</v>
      </c>
      <c r="B117" t="s">
        <v>100</v>
      </c>
      <c r="C117">
        <v>11.901999999999999</v>
      </c>
    </row>
    <row r="118" spans="1:4" x14ac:dyDescent="0.45">
      <c r="A118">
        <v>16</v>
      </c>
      <c r="B118" t="s">
        <v>100</v>
      </c>
      <c r="C118">
        <v>11.991</v>
      </c>
    </row>
    <row r="119" spans="1:4" x14ac:dyDescent="0.45">
      <c r="A119">
        <v>17</v>
      </c>
      <c r="B119" t="s">
        <v>100</v>
      </c>
      <c r="C119">
        <v>11.646000000000001</v>
      </c>
    </row>
    <row r="120" spans="1:4" x14ac:dyDescent="0.45">
      <c r="B120" s="128" t="s">
        <v>61</v>
      </c>
      <c r="C120" s="128">
        <f>AVERAGE(C86:C119)</f>
        <v>11.693470588235295</v>
      </c>
    </row>
    <row r="121" spans="1:4" x14ac:dyDescent="0.45">
      <c r="B121" t="s">
        <v>211</v>
      </c>
      <c r="C121">
        <f>_xlfn.STDEV.P(C86:C119)</f>
        <v>0.47825302405452819</v>
      </c>
    </row>
    <row r="122" spans="1:4" s="265" customFormat="1" ht="14.65" thickBot="1" x14ac:dyDescent="0.5">
      <c r="B122" s="128" t="s">
        <v>262</v>
      </c>
      <c r="C122" s="128">
        <f>C120/PI()</f>
        <v>3.7221472920346805</v>
      </c>
    </row>
    <row r="123" spans="1:4" s="265" customFormat="1" ht="15" thickTop="1" thickBot="1" x14ac:dyDescent="0.5">
      <c r="A123" s="17" t="s">
        <v>384</v>
      </c>
      <c r="B123" s="146"/>
      <c r="C123" s="146"/>
    </row>
    <row r="124" spans="1:4" s="265" customFormat="1" ht="14.65" thickTop="1" x14ac:dyDescent="0.45">
      <c r="A124" s="27" t="s">
        <v>40</v>
      </c>
      <c r="B124" s="267" t="s">
        <v>0</v>
      </c>
      <c r="C124" s="27" t="s">
        <v>382</v>
      </c>
      <c r="D124" s="27" t="s">
        <v>383</v>
      </c>
    </row>
    <row r="125" spans="1:4" s="265" customFormat="1" x14ac:dyDescent="0.45">
      <c r="A125" s="265">
        <v>1</v>
      </c>
      <c r="B125" s="146" t="s">
        <v>100</v>
      </c>
      <c r="C125" s="265">
        <v>3.222</v>
      </c>
      <c r="D125" s="265">
        <f>C125*PI()</f>
        <v>10.122211529866313</v>
      </c>
    </row>
    <row r="126" spans="1:4" s="265" customFormat="1" x14ac:dyDescent="0.45">
      <c r="A126" s="265">
        <v>2</v>
      </c>
      <c r="B126" s="146" t="s">
        <v>100</v>
      </c>
      <c r="C126" s="265">
        <v>3.18</v>
      </c>
      <c r="D126" s="265">
        <f t="shared" ref="D126:D135" si="0">C126*PI()</f>
        <v>9.9902646384155425</v>
      </c>
    </row>
    <row r="127" spans="1:4" s="265" customFormat="1" x14ac:dyDescent="0.45">
      <c r="A127" s="265">
        <v>3</v>
      </c>
      <c r="B127" s="146" t="s">
        <v>100</v>
      </c>
      <c r="C127" s="265">
        <v>3.4449999999999998</v>
      </c>
      <c r="D127" s="265">
        <f t="shared" si="0"/>
        <v>10.822786691616837</v>
      </c>
    </row>
    <row r="128" spans="1:4" s="265" customFormat="1" x14ac:dyDescent="0.45">
      <c r="A128" s="265">
        <v>4</v>
      </c>
      <c r="B128" s="146" t="s">
        <v>381</v>
      </c>
      <c r="C128" s="265">
        <v>2.8639999999999999</v>
      </c>
      <c r="D128" s="265">
        <f t="shared" si="0"/>
        <v>8.9975213598811674</v>
      </c>
    </row>
    <row r="129" spans="1:4" s="265" customFormat="1" x14ac:dyDescent="0.45">
      <c r="A129" s="265">
        <v>5</v>
      </c>
      <c r="B129" s="146" t="s">
        <v>381</v>
      </c>
      <c r="C129" s="265">
        <v>3.3679999999999999</v>
      </c>
      <c r="D129" s="265">
        <f t="shared" si="0"/>
        <v>10.580884057290422</v>
      </c>
    </row>
    <row r="130" spans="1:4" s="265" customFormat="1" x14ac:dyDescent="0.45">
      <c r="A130" s="265">
        <v>6</v>
      </c>
      <c r="B130" s="146" t="s">
        <v>381</v>
      </c>
      <c r="C130" s="265">
        <v>3.5049999999999999</v>
      </c>
      <c r="D130" s="265">
        <f t="shared" si="0"/>
        <v>11.011282250832224</v>
      </c>
    </row>
    <row r="131" spans="1:4" s="265" customFormat="1" x14ac:dyDescent="0.45">
      <c r="A131" s="265">
        <v>7</v>
      </c>
      <c r="B131" s="146" t="s">
        <v>381</v>
      </c>
      <c r="C131" s="265">
        <v>3.359</v>
      </c>
      <c r="D131" s="265">
        <f t="shared" si="0"/>
        <v>10.552609723408114</v>
      </c>
    </row>
    <row r="132" spans="1:4" s="265" customFormat="1" x14ac:dyDescent="0.45">
      <c r="A132" s="265">
        <v>8</v>
      </c>
      <c r="B132" s="146" t="s">
        <v>381</v>
      </c>
      <c r="C132" s="265">
        <v>3.0870000000000002</v>
      </c>
      <c r="D132" s="265">
        <f t="shared" si="0"/>
        <v>9.6980965216316921</v>
      </c>
    </row>
    <row r="133" spans="1:4" s="265" customFormat="1" x14ac:dyDescent="0.45">
      <c r="A133" s="265">
        <v>9</v>
      </c>
      <c r="B133" s="146" t="s">
        <v>381</v>
      </c>
      <c r="C133" s="265">
        <v>3.496</v>
      </c>
      <c r="D133" s="265">
        <f t="shared" si="0"/>
        <v>10.983007916949918</v>
      </c>
    </row>
    <row r="134" spans="1:4" s="265" customFormat="1" x14ac:dyDescent="0.45">
      <c r="A134" s="265">
        <v>10</v>
      </c>
      <c r="B134" s="146" t="s">
        <v>381</v>
      </c>
      <c r="C134" s="265">
        <v>3.0640000000000001</v>
      </c>
      <c r="D134" s="265">
        <f t="shared" si="0"/>
        <v>9.625839890599126</v>
      </c>
    </row>
    <row r="135" spans="1:4" s="265" customFormat="1" x14ac:dyDescent="0.45">
      <c r="A135" s="265">
        <v>11</v>
      </c>
      <c r="B135" s="146" t="s">
        <v>381</v>
      </c>
      <c r="C135" s="265">
        <v>3.347</v>
      </c>
      <c r="D135" s="265">
        <f t="shared" si="0"/>
        <v>10.514910611565037</v>
      </c>
    </row>
    <row r="136" spans="1:4" s="265" customFormat="1" ht="15.75" x14ac:dyDescent="0.5">
      <c r="B136" s="146"/>
      <c r="C136" s="317">
        <f>AVERAGE(C125:C135)</f>
        <v>3.2669999999999999</v>
      </c>
      <c r="D136" s="268">
        <f>AVERAGE(D125:D135)</f>
        <v>10.263583199277853</v>
      </c>
    </row>
    <row r="137" spans="1:4" s="265" customFormat="1" x14ac:dyDescent="0.45">
      <c r="B137" s="146"/>
      <c r="C137" s="146"/>
    </row>
    <row r="138" spans="1:4" ht="14.65" thickBot="1" x14ac:dyDescent="0.5"/>
    <row r="139" spans="1:4" ht="15" thickTop="1" thickBot="1" x14ac:dyDescent="0.5">
      <c r="A139" s="17" t="s">
        <v>101</v>
      </c>
      <c r="C139" t="s">
        <v>14</v>
      </c>
    </row>
    <row r="140" spans="1:4" ht="14.65" thickTop="1" x14ac:dyDescent="0.45">
      <c r="A140" s="130" t="s">
        <v>201</v>
      </c>
      <c r="B140" s="129">
        <v>26</v>
      </c>
    </row>
    <row r="141" spans="1:4" x14ac:dyDescent="0.45">
      <c r="A141" s="130" t="s">
        <v>202</v>
      </c>
      <c r="B141" s="129">
        <v>514.64499999999998</v>
      </c>
    </row>
    <row r="142" spans="1:4" x14ac:dyDescent="0.45">
      <c r="A142" s="130" t="s">
        <v>203</v>
      </c>
      <c r="B142" s="129">
        <f>B140/B141*100</f>
        <v>5.0520261539507816</v>
      </c>
    </row>
    <row r="143" spans="1:4" x14ac:dyDescent="0.45">
      <c r="A143" s="27" t="s">
        <v>0</v>
      </c>
      <c r="B143" s="27" t="s">
        <v>75</v>
      </c>
      <c r="C143" s="27" t="s">
        <v>58</v>
      </c>
      <c r="D143" s="27" t="s">
        <v>187</v>
      </c>
    </row>
    <row r="144" spans="1:4" x14ac:dyDescent="0.45">
      <c r="A144" t="s">
        <v>84</v>
      </c>
      <c r="B144">
        <v>2</v>
      </c>
      <c r="C144">
        <v>1.5149999999999999</v>
      </c>
      <c r="D144">
        <f>PI()*C144</f>
        <v>4.7595128701885363</v>
      </c>
    </row>
    <row r="145" spans="1:4" x14ac:dyDescent="0.45">
      <c r="A145" t="s">
        <v>84</v>
      </c>
      <c r="B145">
        <v>3</v>
      </c>
      <c r="C145">
        <v>1.506</v>
      </c>
      <c r="D145">
        <f t="shared" ref="D145:D174" si="1">PI()*C145</f>
        <v>4.7312385363062281</v>
      </c>
    </row>
    <row r="146" spans="1:4" x14ac:dyDescent="0.45">
      <c r="A146" t="s">
        <v>84</v>
      </c>
      <c r="B146">
        <v>4</v>
      </c>
      <c r="C146">
        <v>1.619</v>
      </c>
      <c r="D146">
        <f t="shared" si="1"/>
        <v>5.0862385061618749</v>
      </c>
    </row>
    <row r="147" spans="1:4" x14ac:dyDescent="0.45">
      <c r="A147" t="s">
        <v>84</v>
      </c>
      <c r="B147">
        <v>5</v>
      </c>
      <c r="C147">
        <v>1.5169999999999999</v>
      </c>
      <c r="D147">
        <f t="shared" si="1"/>
        <v>4.7657960554957155</v>
      </c>
    </row>
    <row r="148" spans="1:4" x14ac:dyDescent="0.45">
      <c r="A148" t="s">
        <v>84</v>
      </c>
      <c r="B148">
        <v>6</v>
      </c>
      <c r="C148">
        <v>1.5980000000000001</v>
      </c>
      <c r="D148">
        <f t="shared" si="1"/>
        <v>5.0202650604364898</v>
      </c>
    </row>
    <row r="149" spans="1:4" x14ac:dyDescent="0.45">
      <c r="A149" t="s">
        <v>84</v>
      </c>
      <c r="B149">
        <v>7</v>
      </c>
      <c r="C149">
        <v>1.5369999999999999</v>
      </c>
      <c r="D149">
        <f t="shared" si="1"/>
        <v>4.8286279085675119</v>
      </c>
    </row>
    <row r="150" spans="1:4" x14ac:dyDescent="0.45">
      <c r="A150" t="s">
        <v>84</v>
      </c>
      <c r="B150">
        <v>8</v>
      </c>
      <c r="C150">
        <v>1.6</v>
      </c>
      <c r="D150">
        <f t="shared" si="1"/>
        <v>5.026548245743669</v>
      </c>
    </row>
    <row r="151" spans="1:4" x14ac:dyDescent="0.45">
      <c r="A151" t="s">
        <v>84</v>
      </c>
      <c r="B151">
        <v>9</v>
      </c>
      <c r="C151">
        <v>1.6850000000000001</v>
      </c>
      <c r="D151">
        <f t="shared" si="1"/>
        <v>5.2935836212988017</v>
      </c>
    </row>
    <row r="152" spans="1:4" x14ac:dyDescent="0.45">
      <c r="A152" t="s">
        <v>84</v>
      </c>
      <c r="B152">
        <v>10</v>
      </c>
      <c r="C152">
        <v>1.5649999999999999</v>
      </c>
      <c r="D152">
        <f t="shared" si="1"/>
        <v>4.916592502868026</v>
      </c>
    </row>
    <row r="153" spans="1:4" x14ac:dyDescent="0.45">
      <c r="A153" t="s">
        <v>84</v>
      </c>
      <c r="B153">
        <v>11</v>
      </c>
      <c r="C153">
        <v>1.6279999999999999</v>
      </c>
      <c r="D153">
        <f t="shared" si="1"/>
        <v>5.1145128400441831</v>
      </c>
    </row>
    <row r="154" spans="1:4" x14ac:dyDescent="0.45">
      <c r="A154" t="s">
        <v>84</v>
      </c>
      <c r="B154">
        <v>12</v>
      </c>
      <c r="C154">
        <v>1.556</v>
      </c>
      <c r="D154">
        <f t="shared" si="1"/>
        <v>4.8883181689857178</v>
      </c>
    </row>
    <row r="155" spans="1:4" x14ac:dyDescent="0.45">
      <c r="A155" t="s">
        <v>84</v>
      </c>
      <c r="B155">
        <v>13</v>
      </c>
      <c r="C155">
        <v>1.498</v>
      </c>
      <c r="D155">
        <f t="shared" si="1"/>
        <v>4.7061057950775105</v>
      </c>
    </row>
    <row r="156" spans="1:4" x14ac:dyDescent="0.45">
      <c r="A156" t="s">
        <v>84</v>
      </c>
      <c r="B156">
        <v>14</v>
      </c>
      <c r="C156">
        <v>1.6180000000000001</v>
      </c>
      <c r="D156">
        <f t="shared" si="1"/>
        <v>5.0830969135082853</v>
      </c>
    </row>
    <row r="157" spans="1:4" x14ac:dyDescent="0.45">
      <c r="A157" t="s">
        <v>84</v>
      </c>
      <c r="B157">
        <v>15</v>
      </c>
      <c r="C157">
        <v>1.599</v>
      </c>
      <c r="D157">
        <f t="shared" si="1"/>
        <v>5.0234066530900794</v>
      </c>
    </row>
    <row r="158" spans="1:4" x14ac:dyDescent="0.45">
      <c r="A158" t="s">
        <v>84</v>
      </c>
      <c r="B158">
        <v>16</v>
      </c>
      <c r="C158">
        <v>1.4610000000000001</v>
      </c>
      <c r="D158">
        <f t="shared" si="1"/>
        <v>4.5898668668946883</v>
      </c>
    </row>
    <row r="159" spans="1:4" x14ac:dyDescent="0.45">
      <c r="A159" t="s">
        <v>84</v>
      </c>
      <c r="B159">
        <v>17</v>
      </c>
      <c r="C159">
        <v>1.589</v>
      </c>
      <c r="D159">
        <f t="shared" si="1"/>
        <v>4.9919907265541807</v>
      </c>
    </row>
    <row r="160" spans="1:4" x14ac:dyDescent="0.45">
      <c r="A160" t="s">
        <v>84</v>
      </c>
      <c r="B160">
        <v>18</v>
      </c>
      <c r="C160">
        <v>1.6870000000000001</v>
      </c>
      <c r="D160">
        <f t="shared" si="1"/>
        <v>5.2998668066059809</v>
      </c>
    </row>
    <row r="161" spans="1:4" x14ac:dyDescent="0.45">
      <c r="A161" t="s">
        <v>84</v>
      </c>
      <c r="B161">
        <v>19</v>
      </c>
      <c r="C161">
        <v>1.593</v>
      </c>
      <c r="D161">
        <f t="shared" si="1"/>
        <v>5.00455709716854</v>
      </c>
    </row>
    <row r="162" spans="1:4" x14ac:dyDescent="0.45">
      <c r="A162" t="s">
        <v>84</v>
      </c>
      <c r="B162">
        <v>20</v>
      </c>
      <c r="C162">
        <v>1.6279999999999999</v>
      </c>
      <c r="D162">
        <f t="shared" si="1"/>
        <v>5.1145128400441831</v>
      </c>
    </row>
    <row r="163" spans="1:4" x14ac:dyDescent="0.45">
      <c r="A163" t="s">
        <v>84</v>
      </c>
      <c r="B163">
        <v>21</v>
      </c>
      <c r="C163">
        <v>1.589</v>
      </c>
      <c r="D163">
        <f t="shared" si="1"/>
        <v>4.9919907265541807</v>
      </c>
    </row>
    <row r="164" spans="1:4" x14ac:dyDescent="0.45">
      <c r="A164" t="s">
        <v>84</v>
      </c>
      <c r="B164">
        <v>22</v>
      </c>
      <c r="C164">
        <v>1.59</v>
      </c>
      <c r="D164">
        <f t="shared" si="1"/>
        <v>4.9951323192077712</v>
      </c>
    </row>
    <row r="165" spans="1:4" x14ac:dyDescent="0.45">
      <c r="A165" t="s">
        <v>84</v>
      </c>
      <c r="B165">
        <v>23</v>
      </c>
      <c r="C165">
        <v>1.5860000000000001</v>
      </c>
      <c r="D165">
        <f t="shared" si="1"/>
        <v>4.982565948593412</v>
      </c>
    </row>
    <row r="166" spans="1:4" x14ac:dyDescent="0.45">
      <c r="A166" t="s">
        <v>84</v>
      </c>
      <c r="B166">
        <v>24</v>
      </c>
      <c r="C166">
        <v>1.768</v>
      </c>
      <c r="D166">
        <f t="shared" si="1"/>
        <v>5.5543358115467543</v>
      </c>
    </row>
    <row r="167" spans="1:4" x14ac:dyDescent="0.45">
      <c r="A167" t="s">
        <v>84</v>
      </c>
      <c r="B167">
        <v>25</v>
      </c>
      <c r="C167">
        <v>1.583</v>
      </c>
      <c r="D167">
        <f t="shared" si="1"/>
        <v>4.9731411706326423</v>
      </c>
    </row>
    <row r="168" spans="1:4" x14ac:dyDescent="0.45">
      <c r="A168" t="s">
        <v>84</v>
      </c>
      <c r="B168">
        <v>26</v>
      </c>
      <c r="C168">
        <v>1.587</v>
      </c>
      <c r="D168">
        <f t="shared" si="1"/>
        <v>4.9857075412470016</v>
      </c>
    </row>
    <row r="169" spans="1:4" x14ac:dyDescent="0.45">
      <c r="A169" t="s">
        <v>84</v>
      </c>
      <c r="B169">
        <v>27</v>
      </c>
      <c r="C169">
        <v>1.716</v>
      </c>
      <c r="D169">
        <f t="shared" si="1"/>
        <v>5.3909729935600845</v>
      </c>
    </row>
    <row r="170" spans="1:4" x14ac:dyDescent="0.45">
      <c r="A170" t="s">
        <v>84</v>
      </c>
      <c r="B170">
        <v>28</v>
      </c>
      <c r="C170">
        <v>1.6879999999999999</v>
      </c>
      <c r="D170">
        <f t="shared" si="1"/>
        <v>5.3030083992595705</v>
      </c>
    </row>
    <row r="171" spans="1:4" x14ac:dyDescent="0.45">
      <c r="A171" t="s">
        <v>84</v>
      </c>
      <c r="B171">
        <v>29</v>
      </c>
      <c r="C171">
        <v>1.5660000000000001</v>
      </c>
      <c r="D171">
        <f t="shared" si="1"/>
        <v>4.9197340955216164</v>
      </c>
    </row>
    <row r="172" spans="1:4" x14ac:dyDescent="0.45">
      <c r="A172" t="s">
        <v>84</v>
      </c>
      <c r="B172">
        <v>30</v>
      </c>
      <c r="C172">
        <v>1.623</v>
      </c>
      <c r="D172">
        <f t="shared" si="1"/>
        <v>5.0988048767762342</v>
      </c>
    </row>
    <row r="173" spans="1:4" x14ac:dyDescent="0.45">
      <c r="A173" t="s">
        <v>84</v>
      </c>
      <c r="B173">
        <v>31</v>
      </c>
      <c r="C173">
        <v>1.679</v>
      </c>
      <c r="D173">
        <f t="shared" si="1"/>
        <v>5.2747340653772632</v>
      </c>
    </row>
    <row r="174" spans="1:4" x14ac:dyDescent="0.45">
      <c r="A174" t="s">
        <v>84</v>
      </c>
      <c r="B174">
        <v>32</v>
      </c>
      <c r="C174">
        <v>1.5920000000000001</v>
      </c>
      <c r="D174">
        <f t="shared" si="1"/>
        <v>5.0014155045149513</v>
      </c>
    </row>
    <row r="175" spans="1:4" x14ac:dyDescent="0.45">
      <c r="B175" s="28" t="s">
        <v>61</v>
      </c>
      <c r="C175" s="28">
        <f>AVERAGE(C144:C174)</f>
        <v>1.5989032258064517</v>
      </c>
      <c r="D175" s="28">
        <f>AVERAGE(D144:D174)</f>
        <v>5.0231026279945699</v>
      </c>
    </row>
    <row r="178" spans="1:3" ht="14.65" thickBot="1" x14ac:dyDescent="0.5"/>
    <row r="179" spans="1:3" ht="15" thickTop="1" thickBot="1" x14ac:dyDescent="0.5">
      <c r="A179" s="17" t="s">
        <v>197</v>
      </c>
    </row>
    <row r="180" spans="1:3" ht="14.65" thickTop="1" x14ac:dyDescent="0.45">
      <c r="A180" s="27" t="s">
        <v>0</v>
      </c>
      <c r="B180" s="27" t="s">
        <v>40</v>
      </c>
      <c r="C180" s="27" t="s">
        <v>198</v>
      </c>
    </row>
    <row r="181" spans="1:3" x14ac:dyDescent="0.45">
      <c r="A181" t="s">
        <v>83</v>
      </c>
      <c r="B181">
        <v>1</v>
      </c>
      <c r="C181">
        <v>8.6999999999999994E-2</v>
      </c>
    </row>
    <row r="182" spans="1:3" x14ac:dyDescent="0.45">
      <c r="A182" t="s">
        <v>83</v>
      </c>
      <c r="B182">
        <v>2</v>
      </c>
      <c r="C182">
        <v>7.6999999999999999E-2</v>
      </c>
    </row>
    <row r="183" spans="1:3" x14ac:dyDescent="0.45">
      <c r="A183" t="s">
        <v>83</v>
      </c>
      <c r="B183">
        <v>3</v>
      </c>
      <c r="C183">
        <v>6.7000000000000004E-2</v>
      </c>
    </row>
    <row r="184" spans="1:3" x14ac:dyDescent="0.45">
      <c r="A184" t="s">
        <v>83</v>
      </c>
      <c r="B184">
        <v>4</v>
      </c>
      <c r="C184">
        <v>5.2999999999999999E-2</v>
      </c>
    </row>
    <row r="185" spans="1:3" x14ac:dyDescent="0.45">
      <c r="A185" t="s">
        <v>83</v>
      </c>
      <c r="B185">
        <v>5</v>
      </c>
      <c r="C185">
        <v>6.9000000000000006E-2</v>
      </c>
    </row>
    <row r="186" spans="1:3" x14ac:dyDescent="0.45">
      <c r="A186" t="s">
        <v>83</v>
      </c>
      <c r="B186">
        <v>6</v>
      </c>
      <c r="C186">
        <v>7.6999999999999999E-2</v>
      </c>
    </row>
    <row r="187" spans="1:3" x14ac:dyDescent="0.45">
      <c r="A187" t="s">
        <v>83</v>
      </c>
      <c r="B187">
        <v>7</v>
      </c>
      <c r="C187">
        <v>6.9000000000000006E-2</v>
      </c>
    </row>
    <row r="188" spans="1:3" x14ac:dyDescent="0.45">
      <c r="A188" t="s">
        <v>83</v>
      </c>
      <c r="B188">
        <v>8</v>
      </c>
      <c r="C188">
        <v>6.8000000000000005E-2</v>
      </c>
    </row>
    <row r="189" spans="1:3" x14ac:dyDescent="0.45">
      <c r="A189" t="s">
        <v>83</v>
      </c>
      <c r="B189">
        <v>9</v>
      </c>
      <c r="C189">
        <v>5.8999999999999997E-2</v>
      </c>
    </row>
    <row r="190" spans="1:3" x14ac:dyDescent="0.45">
      <c r="A190" t="s">
        <v>83</v>
      </c>
      <c r="B190">
        <v>10</v>
      </c>
      <c r="C190">
        <v>7.4999999999999997E-2</v>
      </c>
    </row>
    <row r="191" spans="1:3" x14ac:dyDescent="0.45">
      <c r="A191" t="s">
        <v>83</v>
      </c>
      <c r="B191">
        <v>11</v>
      </c>
      <c r="C191">
        <v>5.2999999999999999E-2</v>
      </c>
    </row>
    <row r="192" spans="1:3" x14ac:dyDescent="0.45">
      <c r="A192" t="s">
        <v>83</v>
      </c>
      <c r="B192">
        <v>12</v>
      </c>
      <c r="C192">
        <v>5.5E-2</v>
      </c>
    </row>
    <row r="193" spans="1:3" x14ac:dyDescent="0.45">
      <c r="A193" t="s">
        <v>83</v>
      </c>
      <c r="B193">
        <v>13</v>
      </c>
      <c r="C193">
        <v>5.8000000000000003E-2</v>
      </c>
    </row>
    <row r="194" spans="1:3" x14ac:dyDescent="0.45">
      <c r="A194" t="s">
        <v>83</v>
      </c>
      <c r="B194">
        <v>14</v>
      </c>
      <c r="C194">
        <v>5.5E-2</v>
      </c>
    </row>
    <row r="195" spans="1:3" x14ac:dyDescent="0.45">
      <c r="A195" t="s">
        <v>83</v>
      </c>
      <c r="B195">
        <v>15</v>
      </c>
      <c r="C195">
        <v>5.2999999999999999E-2</v>
      </c>
    </row>
    <row r="196" spans="1:3" x14ac:dyDescent="0.45">
      <c r="A196" t="s">
        <v>83</v>
      </c>
      <c r="B196">
        <v>16</v>
      </c>
      <c r="C196">
        <v>5.8999999999999997E-2</v>
      </c>
    </row>
    <row r="197" spans="1:3" x14ac:dyDescent="0.45">
      <c r="A197" t="s">
        <v>83</v>
      </c>
      <c r="B197">
        <v>17</v>
      </c>
      <c r="C197">
        <v>6.3E-2</v>
      </c>
    </row>
    <row r="198" spans="1:3" x14ac:dyDescent="0.45">
      <c r="A198" t="s">
        <v>83</v>
      </c>
      <c r="B198">
        <v>18</v>
      </c>
      <c r="C198">
        <v>6.3E-2</v>
      </c>
    </row>
    <row r="199" spans="1:3" x14ac:dyDescent="0.45">
      <c r="A199" t="s">
        <v>83</v>
      </c>
      <c r="B199">
        <v>19</v>
      </c>
      <c r="C199">
        <v>6.4000000000000001E-2</v>
      </c>
    </row>
    <row r="200" spans="1:3" x14ac:dyDescent="0.45">
      <c r="A200" t="s">
        <v>83</v>
      </c>
      <c r="B200">
        <v>20</v>
      </c>
      <c r="C200">
        <v>7.2999999999999995E-2</v>
      </c>
    </row>
    <row r="201" spans="1:3" x14ac:dyDescent="0.45">
      <c r="A201" t="s">
        <v>83</v>
      </c>
      <c r="B201">
        <v>21</v>
      </c>
      <c r="C201">
        <v>6.4000000000000001E-2</v>
      </c>
    </row>
    <row r="202" spans="1:3" x14ac:dyDescent="0.45">
      <c r="A202" t="s">
        <v>83</v>
      </c>
      <c r="B202">
        <v>22</v>
      </c>
      <c r="C202">
        <v>6.0999999999999999E-2</v>
      </c>
    </row>
    <row r="203" spans="1:3" x14ac:dyDescent="0.45">
      <c r="A203" t="s">
        <v>83</v>
      </c>
      <c r="B203">
        <v>23</v>
      </c>
      <c r="C203">
        <v>5.3999999999999999E-2</v>
      </c>
    </row>
    <row r="204" spans="1:3" x14ac:dyDescent="0.45">
      <c r="A204" t="s">
        <v>83</v>
      </c>
      <c r="B204">
        <v>24</v>
      </c>
      <c r="C204">
        <v>5.6000000000000001E-2</v>
      </c>
    </row>
    <row r="205" spans="1:3" x14ac:dyDescent="0.45">
      <c r="A205" t="s">
        <v>83</v>
      </c>
      <c r="B205">
        <v>25</v>
      </c>
      <c r="C205">
        <v>6.9000000000000006E-2</v>
      </c>
    </row>
    <row r="206" spans="1:3" x14ac:dyDescent="0.45">
      <c r="A206" t="s">
        <v>83</v>
      </c>
      <c r="B206">
        <v>26</v>
      </c>
      <c r="C206">
        <v>7.1999999999999995E-2</v>
      </c>
    </row>
    <row r="207" spans="1:3" x14ac:dyDescent="0.45">
      <c r="A207" t="s">
        <v>83</v>
      </c>
      <c r="B207">
        <v>27</v>
      </c>
      <c r="C207">
        <v>7.2999999999999995E-2</v>
      </c>
    </row>
    <row r="208" spans="1:3" x14ac:dyDescent="0.45">
      <c r="A208" t="s">
        <v>83</v>
      </c>
      <c r="B208">
        <v>28</v>
      </c>
      <c r="C208">
        <v>7.6999999999999999E-2</v>
      </c>
    </row>
    <row r="209" spans="1:7" x14ac:dyDescent="0.45">
      <c r="A209" t="s">
        <v>83</v>
      </c>
      <c r="B209">
        <v>29</v>
      </c>
      <c r="C209">
        <v>6.4000000000000001E-2</v>
      </c>
    </row>
    <row r="210" spans="1:7" x14ac:dyDescent="0.45">
      <c r="A210" t="s">
        <v>83</v>
      </c>
      <c r="B210">
        <v>30</v>
      </c>
      <c r="C210">
        <v>6.9000000000000006E-2</v>
      </c>
      <c r="G210" t="s">
        <v>14</v>
      </c>
    </row>
    <row r="211" spans="1:7" x14ac:dyDescent="0.45">
      <c r="A211" t="s">
        <v>83</v>
      </c>
      <c r="B211">
        <v>31</v>
      </c>
      <c r="C211">
        <v>6.0999999999999999E-2</v>
      </c>
    </row>
    <row r="212" spans="1:7" x14ac:dyDescent="0.45">
      <c r="A212" t="s">
        <v>83</v>
      </c>
      <c r="B212">
        <v>32</v>
      </c>
      <c r="C212">
        <v>7.2999999999999995E-2</v>
      </c>
    </row>
    <row r="213" spans="1:7" x14ac:dyDescent="0.45">
      <c r="A213" t="s">
        <v>83</v>
      </c>
      <c r="B213">
        <v>33</v>
      </c>
      <c r="C213">
        <v>6.5000000000000002E-2</v>
      </c>
    </row>
    <row r="214" spans="1:7" x14ac:dyDescent="0.45">
      <c r="A214" t="s">
        <v>83</v>
      </c>
      <c r="B214">
        <v>34</v>
      </c>
      <c r="C214">
        <v>6.8000000000000005E-2</v>
      </c>
    </row>
    <row r="215" spans="1:7" x14ac:dyDescent="0.45">
      <c r="A215" t="s">
        <v>83</v>
      </c>
      <c r="B215">
        <v>35</v>
      </c>
      <c r="C215">
        <v>0.09</v>
      </c>
    </row>
    <row r="216" spans="1:7" x14ac:dyDescent="0.45">
      <c r="A216" t="s">
        <v>83</v>
      </c>
      <c r="B216">
        <v>36</v>
      </c>
      <c r="C216">
        <v>6.3E-2</v>
      </c>
    </row>
    <row r="217" spans="1:7" x14ac:dyDescent="0.45">
      <c r="A217" t="s">
        <v>83</v>
      </c>
      <c r="B217">
        <v>37</v>
      </c>
      <c r="C217">
        <v>8.1000000000000003E-2</v>
      </c>
    </row>
    <row r="218" spans="1:7" x14ac:dyDescent="0.45">
      <c r="A218" t="s">
        <v>83</v>
      </c>
      <c r="B218">
        <v>38</v>
      </c>
      <c r="C218">
        <v>7.0000000000000007E-2</v>
      </c>
    </row>
    <row r="219" spans="1:7" x14ac:dyDescent="0.45">
      <c r="A219" t="s">
        <v>83</v>
      </c>
      <c r="B219">
        <v>39</v>
      </c>
      <c r="C219">
        <v>8.6999999999999994E-2</v>
      </c>
    </row>
    <row r="220" spans="1:7" x14ac:dyDescent="0.45">
      <c r="A220" t="s">
        <v>83</v>
      </c>
      <c r="B220">
        <v>40</v>
      </c>
      <c r="C220">
        <v>7.0999999999999994E-2</v>
      </c>
    </row>
    <row r="221" spans="1:7" x14ac:dyDescent="0.45">
      <c r="A221" t="s">
        <v>83</v>
      </c>
      <c r="B221">
        <v>41</v>
      </c>
      <c r="C221">
        <v>6.0999999999999999E-2</v>
      </c>
    </row>
    <row r="222" spans="1:7" x14ac:dyDescent="0.45">
      <c r="A222" t="s">
        <v>83</v>
      </c>
      <c r="B222">
        <v>42</v>
      </c>
      <c r="C222">
        <v>8.4000000000000005E-2</v>
      </c>
    </row>
    <row r="223" spans="1:7" x14ac:dyDescent="0.45">
      <c r="A223" t="s">
        <v>83</v>
      </c>
      <c r="B223">
        <v>43</v>
      </c>
      <c r="C223">
        <v>7.9000000000000001E-2</v>
      </c>
    </row>
    <row r="224" spans="1:7" x14ac:dyDescent="0.45">
      <c r="A224" t="s">
        <v>83</v>
      </c>
      <c r="B224">
        <v>44</v>
      </c>
      <c r="C224">
        <v>8.5999999999999993E-2</v>
      </c>
    </row>
    <row r="225" spans="1:6" x14ac:dyDescent="0.45">
      <c r="A225" t="s">
        <v>83</v>
      </c>
      <c r="B225">
        <v>45</v>
      </c>
      <c r="C225">
        <v>7.8E-2</v>
      </c>
    </row>
    <row r="226" spans="1:6" x14ac:dyDescent="0.45">
      <c r="A226" t="s">
        <v>83</v>
      </c>
      <c r="B226">
        <v>46</v>
      </c>
      <c r="C226">
        <v>6.7000000000000004E-2</v>
      </c>
    </row>
    <row r="227" spans="1:6" x14ac:dyDescent="0.45">
      <c r="A227" t="s">
        <v>83</v>
      </c>
      <c r="B227">
        <v>47</v>
      </c>
      <c r="C227">
        <v>7.2999999999999995E-2</v>
      </c>
    </row>
    <row r="228" spans="1:6" x14ac:dyDescent="0.45">
      <c r="A228" t="s">
        <v>83</v>
      </c>
      <c r="B228">
        <v>48</v>
      </c>
      <c r="C228">
        <v>6.7000000000000004E-2</v>
      </c>
    </row>
    <row r="229" spans="1:6" x14ac:dyDescent="0.45">
      <c r="A229" t="s">
        <v>83</v>
      </c>
      <c r="B229">
        <v>49</v>
      </c>
      <c r="C229">
        <v>8.5999999999999993E-2</v>
      </c>
    </row>
    <row r="230" spans="1:6" x14ac:dyDescent="0.45">
      <c r="A230" t="s">
        <v>83</v>
      </c>
      <c r="B230">
        <v>50</v>
      </c>
      <c r="C230">
        <v>7.5999999999999998E-2</v>
      </c>
    </row>
    <row r="231" spans="1:6" x14ac:dyDescent="0.45">
      <c r="B231" s="128" t="s">
        <v>61</v>
      </c>
      <c r="C231" s="128">
        <f>AVERAGE(C181:C230)</f>
        <v>6.8839999999999998E-2</v>
      </c>
    </row>
    <row r="232" spans="1:6" x14ac:dyDescent="0.45">
      <c r="B232" s="128" t="s">
        <v>189</v>
      </c>
      <c r="C232" s="128">
        <f>_xlfn.STDEV.P(C181:C230)</f>
        <v>9.8495888239052073E-3</v>
      </c>
    </row>
    <row r="235" spans="1:6" ht="14.65" thickBot="1" x14ac:dyDescent="0.5"/>
    <row r="236" spans="1:6" ht="15" thickTop="1" thickBot="1" x14ac:dyDescent="0.5">
      <c r="A236" s="17" t="s">
        <v>248</v>
      </c>
    </row>
    <row r="237" spans="1:6" ht="14.65" thickTop="1" x14ac:dyDescent="0.45">
      <c r="E237" s="133" t="s">
        <v>294</v>
      </c>
      <c r="F237" s="133"/>
    </row>
    <row r="238" spans="1:6" x14ac:dyDescent="0.45">
      <c r="A238" s="129" t="s">
        <v>188</v>
      </c>
      <c r="B238" s="129" t="s">
        <v>196</v>
      </c>
      <c r="E238" s="170" t="s">
        <v>284</v>
      </c>
      <c r="F238" s="15"/>
    </row>
    <row r="239" spans="1:6" x14ac:dyDescent="0.45">
      <c r="A239" s="130" t="s">
        <v>191</v>
      </c>
      <c r="B239" s="129">
        <f>D136-C231*40</f>
        <v>7.509983199277853</v>
      </c>
      <c r="E239" t="s">
        <v>285</v>
      </c>
      <c r="F239">
        <v>0.39</v>
      </c>
    </row>
    <row r="240" spans="1:6" x14ac:dyDescent="0.45">
      <c r="A240" s="130" t="s">
        <v>578</v>
      </c>
      <c r="B240" s="129">
        <f>B239/40</f>
        <v>0.18774957998194633</v>
      </c>
      <c r="E240" t="s">
        <v>286</v>
      </c>
      <c r="F240">
        <v>1.5399999999999999E-3</v>
      </c>
    </row>
    <row r="241" spans="1:6" x14ac:dyDescent="0.45">
      <c r="A241" s="130" t="s">
        <v>192</v>
      </c>
      <c r="B241" s="129">
        <f>D175-C231*40</f>
        <v>2.2695026279945698</v>
      </c>
      <c r="E241" s="171" t="s">
        <v>287</v>
      </c>
      <c r="F241" s="172">
        <f>F239/F240</f>
        <v>253.24675324675326</v>
      </c>
    </row>
    <row r="242" spans="1:6" x14ac:dyDescent="0.45">
      <c r="A242" s="130" t="s">
        <v>579</v>
      </c>
      <c r="B242" s="129">
        <f>B241/40</f>
        <v>5.6737565699864247E-2</v>
      </c>
      <c r="E242" s="173" t="s">
        <v>288</v>
      </c>
      <c r="F242" s="173">
        <v>9.4999999999999998E-3</v>
      </c>
    </row>
    <row r="243" spans="1:6" x14ac:dyDescent="0.45">
      <c r="A243" s="130" t="s">
        <v>580</v>
      </c>
      <c r="B243" s="129">
        <f>C74</f>
        <v>3.7276875</v>
      </c>
      <c r="E243" s="173" t="s">
        <v>289</v>
      </c>
      <c r="F243">
        <f>200*F242</f>
        <v>1.9</v>
      </c>
    </row>
    <row r="244" spans="1:6" x14ac:dyDescent="0.45">
      <c r="A244" s="130" t="s">
        <v>190</v>
      </c>
      <c r="B244" s="129">
        <f>SQRT(B243^2-((B240/2)-B242)^2)</f>
        <v>3.7275025049258117</v>
      </c>
      <c r="E244" s="173" t="s">
        <v>290</v>
      </c>
      <c r="F244">
        <v>1.35</v>
      </c>
    </row>
    <row r="245" spans="1:6" x14ac:dyDescent="0.45">
      <c r="A245" s="130" t="s">
        <v>249</v>
      </c>
      <c r="B245" s="129">
        <f>((B242+B240)/2)*B244</f>
        <v>0.45566322397555536</v>
      </c>
      <c r="E245" s="173" t="s">
        <v>291</v>
      </c>
      <c r="F245">
        <v>0.1105</v>
      </c>
    </row>
    <row r="246" spans="1:6" x14ac:dyDescent="0.45">
      <c r="A246" s="130" t="s">
        <v>193</v>
      </c>
      <c r="B246" s="129">
        <f>B243*B240</f>
        <v>0.69987176242895155</v>
      </c>
      <c r="E246" s="173" t="s">
        <v>292</v>
      </c>
      <c r="F246" s="174">
        <f>F244*F245</f>
        <v>0.149175</v>
      </c>
    </row>
    <row r="247" spans="1:6" x14ac:dyDescent="0.45">
      <c r="A247" s="130" t="s">
        <v>194</v>
      </c>
      <c r="B247" s="129">
        <f>B243*B242</f>
        <v>0.2114999144398127</v>
      </c>
      <c r="E247" s="175" t="s">
        <v>293</v>
      </c>
      <c r="F247" s="176">
        <f>F246/F240</f>
        <v>96.86688311688313</v>
      </c>
    </row>
    <row r="248" spans="1:6" x14ac:dyDescent="0.45">
      <c r="A248" s="130" t="s">
        <v>251</v>
      </c>
      <c r="B248" s="132">
        <f>B245/B244</f>
        <v>0.12224357284090528</v>
      </c>
      <c r="E248" s="173" t="s">
        <v>295</v>
      </c>
      <c r="F248" s="25">
        <f>F247/F241</f>
        <v>0.38250000000000006</v>
      </c>
    </row>
    <row r="249" spans="1:6" x14ac:dyDescent="0.45">
      <c r="A249" s="130" t="s">
        <v>250</v>
      </c>
      <c r="B249" s="319">
        <f>B245*40</f>
        <v>18.226528959022215</v>
      </c>
    </row>
    <row r="250" spans="1:6" x14ac:dyDescent="0.45">
      <c r="A250" s="129" t="s">
        <v>296</v>
      </c>
      <c r="B250" s="129">
        <f>B245*F248</f>
        <v>0.17429118317064995</v>
      </c>
    </row>
    <row r="251" spans="1:6" x14ac:dyDescent="0.45">
      <c r="A251" s="129" t="s">
        <v>297</v>
      </c>
      <c r="B251" s="129">
        <f>B250*C33</f>
        <v>6.9522816398070368</v>
      </c>
    </row>
    <row r="253" spans="1:6" x14ac:dyDescent="0.45">
      <c r="A253" s="133" t="s">
        <v>195</v>
      </c>
      <c r="B253" s="133">
        <f>AVERAGE(B246:B247)</f>
        <v>0.45568583843438215</v>
      </c>
    </row>
    <row r="255" spans="1:6" ht="14.65" thickBot="1" x14ac:dyDescent="0.5"/>
    <row r="256" spans="1:6" ht="15" thickTop="1" thickBot="1" x14ac:dyDescent="0.5">
      <c r="A256" s="17" t="s">
        <v>254</v>
      </c>
    </row>
    <row r="257" spans="1:4" ht="14.65" thickTop="1" x14ac:dyDescent="0.45"/>
    <row r="258" spans="1:4" x14ac:dyDescent="0.45">
      <c r="A258" s="27" t="s">
        <v>0</v>
      </c>
      <c r="B258" s="27" t="s">
        <v>40</v>
      </c>
      <c r="C258" s="27" t="s">
        <v>58</v>
      </c>
      <c r="D258" s="159" t="s">
        <v>258</v>
      </c>
    </row>
    <row r="259" spans="1:4" x14ac:dyDescent="0.45">
      <c r="A259">
        <v>1</v>
      </c>
      <c r="B259" t="s">
        <v>94</v>
      </c>
      <c r="C259">
        <v>0.93500000000000005</v>
      </c>
      <c r="D259">
        <f>C259/2</f>
        <v>0.46750000000000003</v>
      </c>
    </row>
    <row r="260" spans="1:4" x14ac:dyDescent="0.45">
      <c r="A260">
        <v>2</v>
      </c>
      <c r="B260" t="s">
        <v>94</v>
      </c>
      <c r="C260">
        <v>0.47399999999999998</v>
      </c>
      <c r="D260">
        <f t="shared" ref="D260:D286" si="2">C260/2</f>
        <v>0.23699999999999999</v>
      </c>
    </row>
    <row r="261" spans="1:4" x14ac:dyDescent="0.45">
      <c r="A261">
        <v>3</v>
      </c>
      <c r="B261" t="s">
        <v>94</v>
      </c>
      <c r="C261">
        <v>0.32600000000000001</v>
      </c>
      <c r="D261">
        <f t="shared" si="2"/>
        <v>0.16300000000000001</v>
      </c>
    </row>
    <row r="262" spans="1:4" x14ac:dyDescent="0.45">
      <c r="A262">
        <v>4</v>
      </c>
      <c r="B262" t="s">
        <v>94</v>
      </c>
      <c r="C262">
        <v>0.79500000000000004</v>
      </c>
      <c r="D262">
        <f t="shared" si="2"/>
        <v>0.39750000000000002</v>
      </c>
    </row>
    <row r="263" spans="1:4" x14ac:dyDescent="0.45">
      <c r="A263">
        <v>5</v>
      </c>
      <c r="B263" t="s">
        <v>94</v>
      </c>
      <c r="C263">
        <v>1.054</v>
      </c>
      <c r="D263">
        <f t="shared" si="2"/>
        <v>0.52700000000000002</v>
      </c>
    </row>
    <row r="264" spans="1:4" x14ac:dyDescent="0.45">
      <c r="A264">
        <v>6</v>
      </c>
      <c r="B264" t="s">
        <v>94</v>
      </c>
      <c r="C264">
        <v>2.0640000000000001</v>
      </c>
      <c r="D264">
        <f t="shared" si="2"/>
        <v>1.032</v>
      </c>
    </row>
    <row r="265" spans="1:4" x14ac:dyDescent="0.45">
      <c r="A265">
        <v>7</v>
      </c>
      <c r="B265" t="s">
        <v>94</v>
      </c>
      <c r="C265">
        <v>2.44</v>
      </c>
      <c r="D265">
        <f t="shared" si="2"/>
        <v>1.22</v>
      </c>
    </row>
    <row r="266" spans="1:4" x14ac:dyDescent="0.45">
      <c r="A266">
        <v>8</v>
      </c>
      <c r="B266" t="s">
        <v>94</v>
      </c>
      <c r="C266">
        <v>0.97199999999999998</v>
      </c>
      <c r="D266">
        <f t="shared" si="2"/>
        <v>0.48599999999999999</v>
      </c>
    </row>
    <row r="267" spans="1:4" x14ac:dyDescent="0.45">
      <c r="A267">
        <v>9</v>
      </c>
      <c r="B267" t="s">
        <v>94</v>
      </c>
      <c r="C267">
        <v>0.66600000000000004</v>
      </c>
      <c r="D267">
        <f t="shared" si="2"/>
        <v>0.33300000000000002</v>
      </c>
    </row>
    <row r="268" spans="1:4" x14ac:dyDescent="0.45">
      <c r="A268">
        <v>10</v>
      </c>
      <c r="B268" t="s">
        <v>94</v>
      </c>
      <c r="C268">
        <v>0.73</v>
      </c>
      <c r="D268">
        <f t="shared" si="2"/>
        <v>0.36499999999999999</v>
      </c>
    </row>
    <row r="269" spans="1:4" x14ac:dyDescent="0.45">
      <c r="A269">
        <v>11</v>
      </c>
      <c r="B269" t="s">
        <v>94</v>
      </c>
      <c r="C269">
        <v>0.874</v>
      </c>
      <c r="D269">
        <f t="shared" si="2"/>
        <v>0.437</v>
      </c>
    </row>
    <row r="270" spans="1:4" x14ac:dyDescent="0.45">
      <c r="A270">
        <v>12</v>
      </c>
      <c r="B270" t="s">
        <v>94</v>
      </c>
      <c r="C270">
        <v>0.85299999999999998</v>
      </c>
      <c r="D270">
        <f t="shared" si="2"/>
        <v>0.42649999999999999</v>
      </c>
    </row>
    <row r="271" spans="1:4" x14ac:dyDescent="0.45">
      <c r="A271">
        <v>13</v>
      </c>
      <c r="B271" t="s">
        <v>94</v>
      </c>
      <c r="C271">
        <v>0.58099999999999996</v>
      </c>
      <c r="D271">
        <f t="shared" si="2"/>
        <v>0.29049999999999998</v>
      </c>
    </row>
    <row r="272" spans="1:4" x14ac:dyDescent="0.45">
      <c r="A272">
        <v>14</v>
      </c>
      <c r="B272" t="s">
        <v>94</v>
      </c>
      <c r="C272">
        <v>0.501</v>
      </c>
      <c r="D272">
        <f t="shared" si="2"/>
        <v>0.2505</v>
      </c>
    </row>
    <row r="273" spans="1:4" x14ac:dyDescent="0.45">
      <c r="A273">
        <v>15</v>
      </c>
      <c r="B273" t="s">
        <v>94</v>
      </c>
      <c r="C273">
        <v>2.008</v>
      </c>
      <c r="D273">
        <f t="shared" si="2"/>
        <v>1.004</v>
      </c>
    </row>
    <row r="274" spans="1:4" x14ac:dyDescent="0.45">
      <c r="A274">
        <v>16</v>
      </c>
      <c r="B274" t="s">
        <v>94</v>
      </c>
      <c r="C274">
        <v>2.42</v>
      </c>
      <c r="D274">
        <f t="shared" si="2"/>
        <v>1.21</v>
      </c>
    </row>
    <row r="275" spans="1:4" x14ac:dyDescent="0.45">
      <c r="A275">
        <v>17</v>
      </c>
      <c r="B275" t="s">
        <v>94</v>
      </c>
      <c r="C275">
        <v>0.90800000000000003</v>
      </c>
      <c r="D275">
        <f t="shared" si="2"/>
        <v>0.45400000000000001</v>
      </c>
    </row>
    <row r="276" spans="1:4" x14ac:dyDescent="0.45">
      <c r="A276">
        <v>18</v>
      </c>
      <c r="B276" t="s">
        <v>94</v>
      </c>
      <c r="C276">
        <v>0.313</v>
      </c>
      <c r="D276">
        <f t="shared" si="2"/>
        <v>0.1565</v>
      </c>
    </row>
    <row r="277" spans="1:4" x14ac:dyDescent="0.45">
      <c r="A277">
        <v>19</v>
      </c>
      <c r="B277" t="s">
        <v>94</v>
      </c>
      <c r="C277">
        <v>1.165</v>
      </c>
      <c r="D277">
        <f t="shared" si="2"/>
        <v>0.58250000000000002</v>
      </c>
    </row>
    <row r="278" spans="1:4" x14ac:dyDescent="0.45">
      <c r="A278">
        <v>20</v>
      </c>
      <c r="B278" t="s">
        <v>94</v>
      </c>
      <c r="C278">
        <v>3.355</v>
      </c>
      <c r="D278">
        <f t="shared" si="2"/>
        <v>1.6775</v>
      </c>
    </row>
    <row r="279" spans="1:4" x14ac:dyDescent="0.45">
      <c r="A279">
        <v>21</v>
      </c>
      <c r="B279" t="s">
        <v>94</v>
      </c>
      <c r="C279">
        <v>0.75600000000000001</v>
      </c>
      <c r="D279">
        <f t="shared" si="2"/>
        <v>0.378</v>
      </c>
    </row>
    <row r="280" spans="1:4" x14ac:dyDescent="0.45">
      <c r="A280">
        <v>22</v>
      </c>
      <c r="B280" t="s">
        <v>94</v>
      </c>
      <c r="C280">
        <v>0.499</v>
      </c>
      <c r="D280">
        <f t="shared" si="2"/>
        <v>0.2495</v>
      </c>
    </row>
    <row r="281" spans="1:4" x14ac:dyDescent="0.45">
      <c r="A281">
        <v>23</v>
      </c>
      <c r="B281" t="s">
        <v>94</v>
      </c>
      <c r="C281">
        <v>0.755</v>
      </c>
      <c r="D281">
        <f t="shared" si="2"/>
        <v>0.3775</v>
      </c>
    </row>
    <row r="282" spans="1:4" x14ac:dyDescent="0.45">
      <c r="A282">
        <v>24</v>
      </c>
      <c r="B282" t="s">
        <v>94</v>
      </c>
      <c r="C282">
        <v>2.5680000000000001</v>
      </c>
      <c r="D282">
        <f t="shared" si="2"/>
        <v>1.284</v>
      </c>
    </row>
    <row r="283" spans="1:4" x14ac:dyDescent="0.45">
      <c r="A283">
        <v>25</v>
      </c>
      <c r="B283" t="s">
        <v>94</v>
      </c>
      <c r="C283">
        <v>1.2190000000000001</v>
      </c>
      <c r="D283">
        <f t="shared" si="2"/>
        <v>0.60950000000000004</v>
      </c>
    </row>
    <row r="284" spans="1:4" x14ac:dyDescent="0.45">
      <c r="A284">
        <v>26</v>
      </c>
      <c r="B284" t="s">
        <v>94</v>
      </c>
      <c r="C284">
        <v>2.0459999999999998</v>
      </c>
      <c r="D284">
        <f t="shared" si="2"/>
        <v>1.0229999999999999</v>
      </c>
    </row>
    <row r="285" spans="1:4" x14ac:dyDescent="0.45">
      <c r="A285">
        <v>27</v>
      </c>
      <c r="B285" t="s">
        <v>94</v>
      </c>
      <c r="C285">
        <v>1.5720000000000001</v>
      </c>
      <c r="D285">
        <f t="shared" si="2"/>
        <v>0.78600000000000003</v>
      </c>
    </row>
    <row r="286" spans="1:4" x14ac:dyDescent="0.45">
      <c r="A286">
        <v>28</v>
      </c>
      <c r="B286" t="s">
        <v>94</v>
      </c>
      <c r="C286">
        <v>2.1680000000000001</v>
      </c>
      <c r="D286">
        <f t="shared" si="2"/>
        <v>1.0840000000000001</v>
      </c>
    </row>
    <row r="287" spans="1:4" x14ac:dyDescent="0.45">
      <c r="B287" s="128" t="s">
        <v>11</v>
      </c>
      <c r="C287" s="128">
        <f>AVERAGE(C259:C286)</f>
        <v>1.2506071428571428</v>
      </c>
      <c r="D287" s="128">
        <f>AVERAGE(D259:D286)</f>
        <v>0.6253035714285714</v>
      </c>
    </row>
    <row r="289" spans="1:6" ht="14.65" thickBot="1" x14ac:dyDescent="0.5"/>
    <row r="290" spans="1:6" ht="15" thickTop="1" thickBot="1" x14ac:dyDescent="0.5">
      <c r="A290" s="17" t="s">
        <v>577</v>
      </c>
    </row>
    <row r="291" spans="1:6" ht="14.65" thickTop="1" x14ac:dyDescent="0.45"/>
    <row r="293" spans="1:6" x14ac:dyDescent="0.45">
      <c r="A293" s="129" t="s">
        <v>555</v>
      </c>
      <c r="B293" s="129">
        <f>C74</f>
        <v>3.7276875</v>
      </c>
    </row>
    <row r="294" spans="1:6" x14ac:dyDescent="0.45">
      <c r="A294" s="129" t="s">
        <v>256</v>
      </c>
      <c r="B294" s="129">
        <f>Prosopyles!D32</f>
        <v>1.2164761904761905</v>
      </c>
    </row>
    <row r="295" spans="1:6" x14ac:dyDescent="0.45">
      <c r="A295" s="129" t="s">
        <v>257</v>
      </c>
      <c r="B295" s="129">
        <f>D287</f>
        <v>0.6253035714285714</v>
      </c>
    </row>
    <row r="296" spans="1:6" x14ac:dyDescent="0.45">
      <c r="A296" s="129" t="s">
        <v>259</v>
      </c>
      <c r="B296" s="129">
        <f>(1/3*PI())*(B294^2+(B295*B295)+B295^2)*B293</f>
        <v>8.8293110072553525</v>
      </c>
    </row>
    <row r="297" spans="1:6" x14ac:dyDescent="0.45">
      <c r="A297" s="129" t="s">
        <v>263</v>
      </c>
      <c r="B297" s="129">
        <f>(B295+B294)*B293</f>
        <v>6.8655793962053568</v>
      </c>
    </row>
    <row r="298" spans="1:6" x14ac:dyDescent="0.45">
      <c r="A298" s="129" t="s">
        <v>554</v>
      </c>
      <c r="B298" s="132">
        <f>B297/B293</f>
        <v>1.8417797619047618</v>
      </c>
      <c r="F298" s="296"/>
    </row>
    <row r="299" spans="1:6" x14ac:dyDescent="0.45">
      <c r="A299" s="129" t="s">
        <v>264</v>
      </c>
      <c r="B299" s="129">
        <f>B297*B5</f>
        <v>2620.0710289664457</v>
      </c>
      <c r="F299" s="296"/>
    </row>
    <row r="300" spans="1:6" x14ac:dyDescent="0.45">
      <c r="A300" s="129" t="s">
        <v>265</v>
      </c>
      <c r="B300" s="129">
        <f>B299*Chamber!B7</f>
        <v>9193646.1801739689</v>
      </c>
      <c r="F300" s="296"/>
    </row>
    <row r="301" spans="1:6" x14ac:dyDescent="0.45">
      <c r="A301" s="129" t="s">
        <v>266</v>
      </c>
      <c r="B301" s="132">
        <f>B300/(1000*1000)</f>
        <v>9.1936461801739693</v>
      </c>
      <c r="F301" s="296"/>
    </row>
    <row r="302" spans="1:6" x14ac:dyDescent="0.45">
      <c r="F302" s="296"/>
    </row>
    <row r="303" spans="1:6" x14ac:dyDescent="0.45">
      <c r="A303" t="s">
        <v>261</v>
      </c>
      <c r="F303" s="296"/>
    </row>
    <row r="304" spans="1:6" x14ac:dyDescent="0.45">
      <c r="A304" s="129" t="s">
        <v>255</v>
      </c>
      <c r="B304" s="129">
        <f>C74</f>
        <v>3.7276875</v>
      </c>
    </row>
    <row r="305" spans="1:3" x14ac:dyDescent="0.45">
      <c r="A305" s="129" t="s">
        <v>256</v>
      </c>
      <c r="B305" s="129">
        <f>C175/2</f>
        <v>0.79945161290322586</v>
      </c>
    </row>
    <row r="306" spans="1:3" x14ac:dyDescent="0.45">
      <c r="A306" s="129" t="s">
        <v>257</v>
      </c>
      <c r="B306" s="129">
        <f>C122/2</f>
        <v>1.8610736460173403</v>
      </c>
    </row>
    <row r="307" spans="1:3" x14ac:dyDescent="0.45">
      <c r="A307" s="129" t="s">
        <v>259</v>
      </c>
      <c r="B307" s="129">
        <f>(1/3*PI())*(B305^2+(B306*B306)+B306^2)*B304</f>
        <v>29.536050703307303</v>
      </c>
    </row>
    <row r="308" spans="1:3" x14ac:dyDescent="0.45">
      <c r="A308" s="129" t="s">
        <v>263</v>
      </c>
      <c r="B308" s="129">
        <f>(B306+B305)*B304</f>
        <v>9.9176067511124586</v>
      </c>
    </row>
    <row r="309" spans="1:3" x14ac:dyDescent="0.45">
      <c r="A309" s="129" t="s">
        <v>260</v>
      </c>
      <c r="B309" s="132">
        <f>B308/B304</f>
        <v>2.6605252589205661</v>
      </c>
    </row>
    <row r="310" spans="1:3" x14ac:dyDescent="0.45">
      <c r="A310" s="129" t="s">
        <v>264</v>
      </c>
      <c r="B310" s="129">
        <f>B308*B5</f>
        <v>3784.7984307972242</v>
      </c>
    </row>
    <row r="311" spans="1:3" x14ac:dyDescent="0.45">
      <c r="A311" s="129" t="s">
        <v>265</v>
      </c>
      <c r="B311" s="129">
        <f>B310*Chamber!B7</f>
        <v>13280593.255425425</v>
      </c>
    </row>
    <row r="312" spans="1:3" x14ac:dyDescent="0.45">
      <c r="A312" s="129" t="s">
        <v>266</v>
      </c>
      <c r="B312" s="132">
        <f>B311/(1000*1000)</f>
        <v>13.280593255425424</v>
      </c>
    </row>
    <row r="316" spans="1:3" ht="14.65" thickBot="1" x14ac:dyDescent="0.5"/>
    <row r="317" spans="1:3" ht="15" thickTop="1" thickBot="1" x14ac:dyDescent="0.5">
      <c r="A317" s="17" t="s">
        <v>281</v>
      </c>
    </row>
    <row r="318" spans="1:3" ht="14.65" thickTop="1" x14ac:dyDescent="0.45">
      <c r="A318" t="s">
        <v>0</v>
      </c>
      <c r="B318" t="s">
        <v>40</v>
      </c>
      <c r="C318" t="s">
        <v>273</v>
      </c>
    </row>
    <row r="319" spans="1:3" x14ac:dyDescent="0.45">
      <c r="A319" t="s">
        <v>89</v>
      </c>
      <c r="B319">
        <v>1</v>
      </c>
      <c r="C319">
        <v>0.76300000000000001</v>
      </c>
    </row>
    <row r="320" spans="1:3" x14ac:dyDescent="0.45">
      <c r="A320" t="s">
        <v>89</v>
      </c>
      <c r="B320">
        <v>2</v>
      </c>
      <c r="C320">
        <v>0.72899999999999998</v>
      </c>
    </row>
    <row r="321" spans="1:3" x14ac:dyDescent="0.45">
      <c r="A321" t="s">
        <v>89</v>
      </c>
      <c r="B321">
        <v>3</v>
      </c>
      <c r="C321">
        <v>0.89500000000000002</v>
      </c>
    </row>
    <row r="322" spans="1:3" x14ac:dyDescent="0.45">
      <c r="A322" t="s">
        <v>89</v>
      </c>
      <c r="B322">
        <v>4</v>
      </c>
      <c r="C322">
        <v>0.71899999999999997</v>
      </c>
    </row>
    <row r="323" spans="1:3" x14ac:dyDescent="0.45">
      <c r="A323" t="s">
        <v>91</v>
      </c>
      <c r="B323">
        <v>5</v>
      </c>
      <c r="C323">
        <v>0.68500000000000005</v>
      </c>
    </row>
    <row r="324" spans="1:3" x14ac:dyDescent="0.45">
      <c r="A324" t="s">
        <v>91</v>
      </c>
      <c r="B324">
        <v>6</v>
      </c>
      <c r="C324">
        <v>0.94299999999999995</v>
      </c>
    </row>
    <row r="325" spans="1:3" x14ac:dyDescent="0.45">
      <c r="A325" t="s">
        <v>91</v>
      </c>
      <c r="B325">
        <v>7</v>
      </c>
      <c r="C325">
        <v>0.44400000000000001</v>
      </c>
    </row>
    <row r="326" spans="1:3" x14ac:dyDescent="0.45">
      <c r="A326" t="s">
        <v>91</v>
      </c>
      <c r="B326">
        <v>8</v>
      </c>
      <c r="C326">
        <v>0.52</v>
      </c>
    </row>
    <row r="327" spans="1:3" x14ac:dyDescent="0.45">
      <c r="B327" s="128" t="s">
        <v>61</v>
      </c>
      <c r="C327" s="128">
        <f>AVERAGE(C319:C326)</f>
        <v>0.71225000000000005</v>
      </c>
    </row>
  </sheetData>
  <pageMargins left="0.7" right="0.7" top="0.75" bottom="0.75" header="0.3" footer="0.3"/>
  <pageSetup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L43"/>
  <sheetViews>
    <sheetView workbookViewId="0">
      <selection activeCell="E12" sqref="E12"/>
    </sheetView>
  </sheetViews>
  <sheetFormatPr defaultRowHeight="14.25" x14ac:dyDescent="0.45"/>
  <cols>
    <col min="1" max="1" width="33.53125" customWidth="1"/>
    <col min="2" max="2" width="19.06640625" customWidth="1"/>
    <col min="3" max="3" width="20.9296875" bestFit="1" customWidth="1"/>
    <col min="4" max="6" width="19.06640625" customWidth="1"/>
  </cols>
  <sheetData>
    <row r="1" spans="1:12" ht="49.8" customHeight="1" x14ac:dyDescent="0.45">
      <c r="A1" s="310" t="s">
        <v>582</v>
      </c>
    </row>
    <row r="2" spans="1:12" ht="28.5" x14ac:dyDescent="0.45">
      <c r="A2" s="15" t="s">
        <v>40</v>
      </c>
      <c r="B2" s="15" t="s">
        <v>30</v>
      </c>
      <c r="C2" s="23" t="s">
        <v>31</v>
      </c>
      <c r="D2" s="182" t="s">
        <v>32</v>
      </c>
      <c r="E2" s="182" t="s">
        <v>33</v>
      </c>
      <c r="F2" s="182" t="s">
        <v>34</v>
      </c>
    </row>
    <row r="3" spans="1:12" x14ac:dyDescent="0.45">
      <c r="A3">
        <v>1</v>
      </c>
      <c r="B3" t="s">
        <v>35</v>
      </c>
      <c r="C3">
        <v>29.795999999999999</v>
      </c>
      <c r="D3">
        <f t="shared" ref="D3:D8" si="0">C3/2</f>
        <v>14.898</v>
      </c>
      <c r="E3">
        <f t="shared" ref="E3:E8" si="1">PI()*D3^2</f>
        <v>697.27775866768661</v>
      </c>
    </row>
    <row r="4" spans="1:12" x14ac:dyDescent="0.45">
      <c r="A4">
        <v>2</v>
      </c>
      <c r="B4" t="s">
        <v>36</v>
      </c>
      <c r="C4">
        <v>29.513999999999999</v>
      </c>
      <c r="D4">
        <f t="shared" si="0"/>
        <v>14.757</v>
      </c>
      <c r="E4">
        <f t="shared" si="1"/>
        <v>684.14164451763565</v>
      </c>
    </row>
    <row r="5" spans="1:12" x14ac:dyDescent="0.45">
      <c r="A5">
        <v>3</v>
      </c>
      <c r="B5" t="s">
        <v>37</v>
      </c>
      <c r="C5">
        <v>31.538</v>
      </c>
      <c r="D5">
        <f t="shared" si="0"/>
        <v>15.769</v>
      </c>
      <c r="E5">
        <f t="shared" si="1"/>
        <v>781.19270494923944</v>
      </c>
    </row>
    <row r="6" spans="1:12" x14ac:dyDescent="0.45">
      <c r="A6">
        <v>4</v>
      </c>
      <c r="B6" t="s">
        <v>38</v>
      </c>
      <c r="C6">
        <v>42.301000000000002</v>
      </c>
      <c r="D6">
        <f t="shared" si="0"/>
        <v>21.150500000000001</v>
      </c>
      <c r="E6">
        <f t="shared" si="1"/>
        <v>1405.3715252554421</v>
      </c>
    </row>
    <row r="7" spans="1:12" x14ac:dyDescent="0.45">
      <c r="A7">
        <v>5</v>
      </c>
      <c r="B7" t="s">
        <v>39</v>
      </c>
      <c r="C7">
        <v>33.902999999999999</v>
      </c>
      <c r="D7">
        <f t="shared" si="0"/>
        <v>16.951499999999999</v>
      </c>
      <c r="E7">
        <f t="shared" si="1"/>
        <v>902.74718041300002</v>
      </c>
    </row>
    <row r="8" spans="1:12" x14ac:dyDescent="0.45">
      <c r="A8">
        <v>6</v>
      </c>
      <c r="B8" t="s">
        <v>39</v>
      </c>
      <c r="C8">
        <v>46.417000000000002</v>
      </c>
      <c r="D8">
        <f t="shared" si="0"/>
        <v>23.208500000000001</v>
      </c>
      <c r="E8">
        <f t="shared" si="1"/>
        <v>1692.1701009908154</v>
      </c>
      <c r="L8" t="s">
        <v>14</v>
      </c>
    </row>
    <row r="9" spans="1:12" x14ac:dyDescent="0.45">
      <c r="B9" s="18" t="s">
        <v>11</v>
      </c>
      <c r="C9" s="320">
        <f>AVERAGE(C3:C8)</f>
        <v>35.578166666666668</v>
      </c>
      <c r="D9" s="18">
        <f>AVERAGE(D3:D8)</f>
        <v>17.789083333333334</v>
      </c>
      <c r="E9" s="18">
        <f>AVERAGE(E3:E8)</f>
        <v>1027.1501524656367</v>
      </c>
      <c r="F9" s="180">
        <f>E9*Chamber!B7/(1000*1000)</f>
        <v>3.6041981195471426</v>
      </c>
    </row>
    <row r="10" spans="1:12" x14ac:dyDescent="0.45">
      <c r="B10" s="18" t="s">
        <v>13</v>
      </c>
      <c r="C10" s="18">
        <f>_xlfn.STDEV.P(C3:C8)</f>
        <v>6.4809142209173665</v>
      </c>
      <c r="D10" s="18">
        <f>_xlfn.STDEV.P(D3:D8)</f>
        <v>3.2404571104586832</v>
      </c>
      <c r="E10" s="18">
        <f>_xlfn.STDEV.P(E3:E8)</f>
        <v>384.65238352969419</v>
      </c>
      <c r="G10" t="s">
        <v>205</v>
      </c>
    </row>
    <row r="11" spans="1:12" ht="14.25" customHeight="1" x14ac:dyDescent="0.45">
      <c r="B11" s="18" t="s">
        <v>12</v>
      </c>
      <c r="C11" s="18">
        <f>C10/SQRT(COUNT(C3:C8))</f>
        <v>2.6458221513324536</v>
      </c>
      <c r="D11" s="18">
        <f>D10/SQRT(COUNT(D3:D8))</f>
        <v>1.3229110756662268</v>
      </c>
      <c r="E11" s="18">
        <f>E10/SQRT(COUNT(E3:E8))</f>
        <v>157.03367799884785</v>
      </c>
    </row>
    <row r="35" spans="1:3" ht="14.65" thickBot="1" x14ac:dyDescent="0.5"/>
    <row r="36" spans="1:3" ht="15" thickTop="1" thickBot="1" x14ac:dyDescent="0.5">
      <c r="A36" s="17" t="s">
        <v>280</v>
      </c>
    </row>
    <row r="37" spans="1:3" ht="14.65" thickTop="1" x14ac:dyDescent="0.45">
      <c r="A37" s="27" t="s">
        <v>0</v>
      </c>
      <c r="B37" s="27" t="s">
        <v>40</v>
      </c>
      <c r="C37" s="27" t="s">
        <v>86</v>
      </c>
    </row>
    <row r="38" spans="1:3" x14ac:dyDescent="0.45">
      <c r="A38" t="s">
        <v>38</v>
      </c>
      <c r="B38">
        <v>1</v>
      </c>
      <c r="C38">
        <v>4.0060000000000002</v>
      </c>
    </row>
    <row r="39" spans="1:3" x14ac:dyDescent="0.45">
      <c r="A39" t="s">
        <v>38</v>
      </c>
      <c r="B39">
        <v>2</v>
      </c>
      <c r="C39">
        <v>5.4909999999999997</v>
      </c>
    </row>
    <row r="40" spans="1:3" x14ac:dyDescent="0.45">
      <c r="A40" t="s">
        <v>279</v>
      </c>
      <c r="B40">
        <v>3</v>
      </c>
      <c r="C40">
        <v>2.0590000000000002</v>
      </c>
    </row>
    <row r="41" spans="1:3" x14ac:dyDescent="0.45">
      <c r="A41" t="s">
        <v>37</v>
      </c>
      <c r="B41">
        <v>4</v>
      </c>
      <c r="C41">
        <v>2.8079999999999998</v>
      </c>
    </row>
    <row r="42" spans="1:3" x14ac:dyDescent="0.45">
      <c r="A42" t="s">
        <v>37</v>
      </c>
      <c r="B42">
        <v>5</v>
      </c>
      <c r="C42">
        <v>4.3840000000000003</v>
      </c>
    </row>
    <row r="43" spans="1:3" x14ac:dyDescent="0.45">
      <c r="B43" s="128" t="s">
        <v>61</v>
      </c>
      <c r="C43" s="311">
        <f>AVERAGE(C38:C42)</f>
        <v>3.7496</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K62"/>
  <sheetViews>
    <sheetView zoomScale="85" zoomScaleNormal="85" workbookViewId="0">
      <selection activeCell="C54" sqref="C54"/>
    </sheetView>
  </sheetViews>
  <sheetFormatPr defaultRowHeight="14.25" x14ac:dyDescent="0.45"/>
  <cols>
    <col min="1" max="1" width="55.53125" customWidth="1"/>
    <col min="2" max="2" width="29.9296875" bestFit="1" customWidth="1"/>
    <col min="3" max="3" width="18.33203125" customWidth="1"/>
    <col min="4" max="4" width="11.06640625" bestFit="1" customWidth="1"/>
    <col min="5" max="5" width="27.59765625" bestFit="1" customWidth="1"/>
    <col min="6" max="6" width="12.9296875" customWidth="1"/>
    <col min="7" max="7" width="18.59765625" customWidth="1"/>
    <col min="8" max="8" width="24.06640625" bestFit="1" customWidth="1"/>
    <col min="9" max="9" width="28.46484375" bestFit="1" customWidth="1"/>
    <col min="10" max="10" width="28.9296875" customWidth="1"/>
    <col min="11" max="11" width="13.33203125" bestFit="1" customWidth="1"/>
  </cols>
  <sheetData>
    <row r="1" spans="1:11" ht="94.25" customHeight="1" x14ac:dyDescent="0.45">
      <c r="A1" s="310" t="s">
        <v>583</v>
      </c>
    </row>
    <row r="7" spans="1:11" x14ac:dyDescent="0.45">
      <c r="A7" s="27" t="s">
        <v>56</v>
      </c>
      <c r="B7" s="27" t="s">
        <v>57</v>
      </c>
      <c r="C7" s="27" t="s">
        <v>58</v>
      </c>
      <c r="D7" s="27" t="s">
        <v>17</v>
      </c>
      <c r="E7" s="27" t="s">
        <v>60</v>
      </c>
      <c r="F7" s="27" t="s">
        <v>43</v>
      </c>
      <c r="G7" s="27" t="s">
        <v>44</v>
      </c>
      <c r="H7" s="27" t="s">
        <v>63</v>
      </c>
      <c r="I7" s="27" t="s">
        <v>62</v>
      </c>
      <c r="J7" s="27" t="s">
        <v>46</v>
      </c>
      <c r="K7" s="27" t="s">
        <v>22</v>
      </c>
    </row>
    <row r="8" spans="1:11" ht="14.65" thickBot="1" x14ac:dyDescent="0.5">
      <c r="A8">
        <v>1</v>
      </c>
      <c r="B8" t="s">
        <v>39</v>
      </c>
      <c r="C8">
        <v>105.92</v>
      </c>
      <c r="D8">
        <f>C8/2</f>
        <v>52.96</v>
      </c>
      <c r="E8">
        <f>PI()*(D8)^2</f>
        <v>8811.4184376307549</v>
      </c>
      <c r="F8" s="26"/>
      <c r="G8" s="26"/>
      <c r="H8" s="26"/>
      <c r="I8" s="26"/>
      <c r="J8" s="26"/>
      <c r="K8" s="26"/>
    </row>
    <row r="9" spans="1:11" ht="15" thickTop="1" thickBot="1" x14ac:dyDescent="0.5">
      <c r="A9">
        <v>2</v>
      </c>
      <c r="B9" t="s">
        <v>54</v>
      </c>
      <c r="C9">
        <v>94.655000000000001</v>
      </c>
      <c r="D9">
        <f>C9/2</f>
        <v>47.327500000000001</v>
      </c>
      <c r="E9">
        <f>PI()*(D9)^2</f>
        <v>7036.8290570676672</v>
      </c>
      <c r="F9" s="17"/>
      <c r="G9" s="17"/>
      <c r="H9" s="17"/>
      <c r="I9" s="17"/>
      <c r="J9" s="17"/>
      <c r="K9" s="17"/>
    </row>
    <row r="10" spans="1:11" ht="15" thickTop="1" thickBot="1" x14ac:dyDescent="0.5">
      <c r="A10">
        <v>3</v>
      </c>
      <c r="B10" t="s">
        <v>54</v>
      </c>
      <c r="C10">
        <v>101.636</v>
      </c>
      <c r="D10">
        <f>C10/2</f>
        <v>50.817999999999998</v>
      </c>
      <c r="E10">
        <f>PI()*(D10)^2</f>
        <v>8113.0660280808679</v>
      </c>
      <c r="F10" s="17"/>
      <c r="G10" s="17"/>
      <c r="H10" s="17"/>
      <c r="I10" s="17"/>
      <c r="J10" s="17"/>
      <c r="K10" s="17"/>
    </row>
    <row r="11" spans="1:11" ht="15" thickTop="1" thickBot="1" x14ac:dyDescent="0.5">
      <c r="A11">
        <v>4</v>
      </c>
      <c r="B11" t="s">
        <v>55</v>
      </c>
      <c r="C11">
        <v>97.352000000000004</v>
      </c>
      <c r="D11">
        <f>C11/2</f>
        <v>48.676000000000002</v>
      </c>
      <c r="E11">
        <f>PI()*(D11)^2</f>
        <v>7443.5419031627134</v>
      </c>
      <c r="F11" s="17"/>
      <c r="G11" s="17"/>
      <c r="H11" s="17"/>
      <c r="I11" s="17"/>
      <c r="J11" s="17"/>
      <c r="K11" s="17"/>
    </row>
    <row r="12" spans="1:11" ht="15" thickTop="1" thickBot="1" x14ac:dyDescent="0.5">
      <c r="A12">
        <v>5</v>
      </c>
      <c r="B12" t="s">
        <v>55</v>
      </c>
      <c r="C12">
        <v>114.619</v>
      </c>
      <c r="D12">
        <f>C12/2</f>
        <v>57.3095</v>
      </c>
      <c r="E12">
        <f>PI()*(D12)^2</f>
        <v>10318.180279055532</v>
      </c>
      <c r="F12" s="17"/>
      <c r="G12" s="17"/>
      <c r="H12" s="17"/>
      <c r="I12" s="17"/>
      <c r="J12" s="17"/>
      <c r="K12" s="17"/>
    </row>
    <row r="13" spans="1:11" ht="15" thickTop="1" thickBot="1" x14ac:dyDescent="0.5">
      <c r="A13">
        <v>6</v>
      </c>
      <c r="B13" t="s">
        <v>59</v>
      </c>
      <c r="C13" s="17"/>
      <c r="D13" s="17"/>
      <c r="E13" s="17"/>
      <c r="F13" s="17"/>
      <c r="G13">
        <v>178996.99799999999</v>
      </c>
      <c r="H13">
        <v>4</v>
      </c>
      <c r="I13" s="17"/>
      <c r="J13" s="17"/>
      <c r="K13" s="17"/>
    </row>
    <row r="14" spans="1:11" ht="15" thickTop="1" thickBot="1" x14ac:dyDescent="0.5">
      <c r="B14" t="s">
        <v>61</v>
      </c>
      <c r="C14" s="180">
        <f>AVERAGE(C8:C12)</f>
        <v>102.8364</v>
      </c>
      <c r="D14">
        <f>AVERAGE(D8:D12)</f>
        <v>51.418199999999999</v>
      </c>
      <c r="E14">
        <f>AVERAGE(E8:E12)</f>
        <v>8344.6071409995075</v>
      </c>
      <c r="F14">
        <v>5</v>
      </c>
      <c r="G14" s="17"/>
      <c r="H14" s="17"/>
      <c r="I14">
        <f>4*E14</f>
        <v>33378.42856399803</v>
      </c>
      <c r="J14" s="180">
        <f>I14/G13</f>
        <v>0.18647479531471267</v>
      </c>
      <c r="K14" s="25">
        <f>I14/G13</f>
        <v>0.18647479531471267</v>
      </c>
    </row>
    <row r="15" spans="1:11" ht="14.65" thickTop="1" x14ac:dyDescent="0.45"/>
    <row r="51" spans="1:3" x14ac:dyDescent="0.45">
      <c r="A51" s="129" t="s">
        <v>278</v>
      </c>
    </row>
    <row r="54" spans="1:3" x14ac:dyDescent="0.45">
      <c r="A54" s="27" t="s">
        <v>0</v>
      </c>
      <c r="B54" s="27" t="s">
        <v>40</v>
      </c>
      <c r="C54" s="27" t="s">
        <v>86</v>
      </c>
    </row>
    <row r="55" spans="1:3" x14ac:dyDescent="0.45">
      <c r="A55" t="s">
        <v>274</v>
      </c>
      <c r="B55">
        <v>1</v>
      </c>
      <c r="C55">
        <v>533.52200000000005</v>
      </c>
    </row>
    <row r="56" spans="1:3" x14ac:dyDescent="0.45">
      <c r="A56" t="s">
        <v>275</v>
      </c>
      <c r="B56">
        <v>2</v>
      </c>
      <c r="C56">
        <v>405.435</v>
      </c>
    </row>
    <row r="57" spans="1:3" x14ac:dyDescent="0.45">
      <c r="A57" t="s">
        <v>276</v>
      </c>
      <c r="B57">
        <v>3</v>
      </c>
      <c r="C57">
        <v>649.24699999999996</v>
      </c>
    </row>
    <row r="58" spans="1:3" x14ac:dyDescent="0.45">
      <c r="A58" t="s">
        <v>213</v>
      </c>
      <c r="B58">
        <v>4</v>
      </c>
      <c r="C58">
        <v>367.58</v>
      </c>
    </row>
    <row r="59" spans="1:3" x14ac:dyDescent="0.45">
      <c r="A59" t="s">
        <v>277</v>
      </c>
      <c r="B59">
        <v>5</v>
      </c>
      <c r="C59">
        <v>295.45600000000002</v>
      </c>
    </row>
    <row r="60" spans="1:3" x14ac:dyDescent="0.45">
      <c r="A60" t="s">
        <v>270</v>
      </c>
      <c r="B60">
        <v>6</v>
      </c>
      <c r="C60">
        <v>365.97699999999998</v>
      </c>
    </row>
    <row r="61" spans="1:3" x14ac:dyDescent="0.45">
      <c r="A61" t="s">
        <v>270</v>
      </c>
      <c r="B61">
        <v>7</v>
      </c>
      <c r="C61">
        <v>385.34500000000003</v>
      </c>
    </row>
    <row r="62" spans="1:3" x14ac:dyDescent="0.45">
      <c r="B62" s="128" t="s">
        <v>61</v>
      </c>
      <c r="C62" s="311">
        <f>AVERAGE(C55:C61)</f>
        <v>428.93742857142854</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E13"/>
  <sheetViews>
    <sheetView workbookViewId="0">
      <selection activeCell="D13" sqref="D13"/>
    </sheetView>
  </sheetViews>
  <sheetFormatPr defaultRowHeight="14.25" x14ac:dyDescent="0.45"/>
  <cols>
    <col min="1" max="1" width="35" customWidth="1"/>
    <col min="2" max="2" width="21.59765625" bestFit="1" customWidth="1"/>
    <col min="3" max="3" width="24.33203125" bestFit="1" customWidth="1"/>
    <col min="4" max="4" width="19.9296875" bestFit="1" customWidth="1"/>
  </cols>
  <sheetData>
    <row r="1" spans="1:5" ht="71.25" x14ac:dyDescent="0.45">
      <c r="A1" s="310" t="s">
        <v>584</v>
      </c>
    </row>
    <row r="2" spans="1:5" x14ac:dyDescent="0.45">
      <c r="A2" t="s">
        <v>303</v>
      </c>
    </row>
    <row r="4" spans="1:5" x14ac:dyDescent="0.45">
      <c r="A4" s="27" t="s">
        <v>0</v>
      </c>
      <c r="B4" s="27" t="s">
        <v>75</v>
      </c>
      <c r="C4" s="27" t="s">
        <v>301</v>
      </c>
      <c r="D4" s="27" t="s">
        <v>307</v>
      </c>
      <c r="E4" s="159" t="s">
        <v>305</v>
      </c>
    </row>
    <row r="5" spans="1:5" x14ac:dyDescent="0.45">
      <c r="A5" t="s">
        <v>298</v>
      </c>
      <c r="B5">
        <v>1</v>
      </c>
      <c r="C5" t="s">
        <v>299</v>
      </c>
      <c r="D5">
        <v>3.157</v>
      </c>
    </row>
    <row r="6" spans="1:5" x14ac:dyDescent="0.45">
      <c r="A6" t="s">
        <v>298</v>
      </c>
      <c r="B6">
        <v>2</v>
      </c>
      <c r="C6" t="s">
        <v>299</v>
      </c>
      <c r="D6">
        <v>3.1070000000000002</v>
      </c>
    </row>
    <row r="7" spans="1:5" x14ac:dyDescent="0.45">
      <c r="A7" t="s">
        <v>298</v>
      </c>
      <c r="B7">
        <v>3</v>
      </c>
      <c r="C7" t="s">
        <v>374</v>
      </c>
      <c r="D7">
        <v>2.3119999999999998</v>
      </c>
      <c r="E7">
        <f>D7/2</f>
        <v>1.1559999999999999</v>
      </c>
    </row>
    <row r="8" spans="1:5" x14ac:dyDescent="0.45">
      <c r="A8" t="s">
        <v>298</v>
      </c>
      <c r="B8">
        <v>4</v>
      </c>
      <c r="C8" t="s">
        <v>300</v>
      </c>
      <c r="D8" s="180">
        <f>'Lauren Oscula Diameters'!I59</f>
        <v>2.2231330000000002</v>
      </c>
      <c r="E8">
        <f>D8/2</f>
        <v>1.1115665000000001</v>
      </c>
    </row>
    <row r="9" spans="1:5" x14ac:dyDescent="0.45">
      <c r="C9" t="s">
        <v>302</v>
      </c>
      <c r="D9">
        <f>AVERAGE(D5:D6)</f>
        <v>3.1320000000000001</v>
      </c>
    </row>
    <row r="10" spans="1:5" x14ac:dyDescent="0.45">
      <c r="C10" t="s">
        <v>304</v>
      </c>
      <c r="D10">
        <v>3.0568</v>
      </c>
    </row>
    <row r="11" spans="1:5" x14ac:dyDescent="0.45">
      <c r="C11" t="s">
        <v>306</v>
      </c>
      <c r="D11" s="180">
        <v>21.53</v>
      </c>
    </row>
    <row r="12" spans="1:5" x14ac:dyDescent="0.45">
      <c r="C12" t="s">
        <v>308</v>
      </c>
      <c r="D12" s="178">
        <v>43.75</v>
      </c>
    </row>
    <row r="13" spans="1:5" x14ac:dyDescent="0.45">
      <c r="C13" t="s">
        <v>569</v>
      </c>
      <c r="D13" s="180">
        <f>D12-PI()*E7^2-PI()*E8^2</f>
        <v>35.670087325100432</v>
      </c>
    </row>
  </sheetData>
  <pageMargins left="0.7" right="0.7" top="0.75" bottom="0.75" header="0.3" footer="0.3"/>
  <pageSetup orientation="portrait" horizontalDpi="0" verticalDpi="0" r:id="rId1"/>
  <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D57"/>
  <sheetViews>
    <sheetView workbookViewId="0">
      <selection activeCell="B34" sqref="B34"/>
    </sheetView>
  </sheetViews>
  <sheetFormatPr defaultColWidth="8.9296875" defaultRowHeight="12.75" x14ac:dyDescent="0.35"/>
  <cols>
    <col min="1" max="1" width="92" style="73" customWidth="1"/>
    <col min="2" max="2" width="23.33203125" style="37" customWidth="1"/>
    <col min="3" max="3" width="30.53125" style="37" customWidth="1"/>
    <col min="4" max="4" width="27" style="73" customWidth="1"/>
    <col min="5" max="5" width="11.33203125" style="37" customWidth="1"/>
    <col min="6" max="6" width="8.9296875" style="73" customWidth="1"/>
    <col min="7" max="9" width="10.33203125" style="37" customWidth="1"/>
    <col min="10" max="11" width="19.06640625" style="52" customWidth="1"/>
    <col min="12" max="13" width="13.59765625" style="52" customWidth="1"/>
    <col min="14" max="14" width="16.59765625" style="37" customWidth="1"/>
    <col min="15" max="15" width="18.06640625" style="37" customWidth="1"/>
    <col min="16" max="16" width="12.46484375" style="37" bestFit="1" customWidth="1"/>
    <col min="17" max="17" width="12.46484375" style="37" customWidth="1"/>
    <col min="18" max="18" width="16.33203125" style="37" customWidth="1"/>
    <col min="19" max="19" width="15.33203125" style="52" customWidth="1"/>
    <col min="20" max="20" width="11.06640625" style="52" bestFit="1" customWidth="1"/>
    <col min="21" max="22" width="12.33203125" style="52" bestFit="1" customWidth="1"/>
    <col min="23" max="23" width="8.9296875" style="52"/>
    <col min="24" max="24" width="8.9296875" style="52" customWidth="1"/>
    <col min="25" max="25" width="5.9296875" style="52" bestFit="1" customWidth="1"/>
    <col min="26" max="26" width="4.33203125" style="52" bestFit="1" customWidth="1"/>
    <col min="27" max="27" width="5.53125" style="52" bestFit="1" customWidth="1"/>
    <col min="28" max="28" width="5.9296875" style="52" bestFit="1" customWidth="1"/>
    <col min="29" max="29" width="8.9296875" style="52"/>
    <col min="30" max="30" width="6.59765625" style="52" bestFit="1" customWidth="1"/>
    <col min="31" max="16384" width="8.9296875" style="52"/>
  </cols>
  <sheetData>
    <row r="1" spans="1:28" s="37" customFormat="1" ht="17.25" x14ac:dyDescent="0.45">
      <c r="A1" s="183" t="s">
        <v>309</v>
      </c>
      <c r="B1" s="23"/>
      <c r="C1" s="23"/>
      <c r="D1" s="79"/>
      <c r="E1" s="80" t="s">
        <v>159</v>
      </c>
      <c r="F1" s="73"/>
      <c r="J1" s="52"/>
      <c r="K1" s="52"/>
      <c r="L1" s="52"/>
      <c r="M1" s="62"/>
      <c r="N1" s="81"/>
      <c r="O1" s="82"/>
      <c r="P1" s="83"/>
      <c r="Q1" s="83"/>
    </row>
    <row r="2" spans="1:28" s="37" customFormat="1" ht="13.15" thickBot="1" x14ac:dyDescent="0.4">
      <c r="A2" s="84" t="s">
        <v>160</v>
      </c>
      <c r="B2" s="85"/>
      <c r="C2" s="86"/>
      <c r="D2" s="87"/>
      <c r="E2" s="85"/>
      <c r="F2" s="88"/>
      <c r="G2" s="85"/>
      <c r="H2" s="85"/>
      <c r="I2" s="85"/>
      <c r="J2" s="52"/>
      <c r="K2" s="52"/>
      <c r="L2" s="52"/>
      <c r="M2" s="62"/>
      <c r="N2" s="83"/>
      <c r="O2" s="83"/>
      <c r="P2" s="83"/>
      <c r="Q2" s="83"/>
    </row>
    <row r="3" spans="1:28" s="37" customFormat="1" ht="15" thickTop="1" thickBot="1" x14ac:dyDescent="0.5">
      <c r="A3" s="17" t="s">
        <v>283</v>
      </c>
      <c r="B3" s="17">
        <v>7.45</v>
      </c>
      <c r="C3" s="17" t="s">
        <v>282</v>
      </c>
      <c r="D3" s="17">
        <f>SQRT(B3/PI())*2</f>
        <v>3.0798757455905528</v>
      </c>
      <c r="E3" s="146"/>
      <c r="F3" s="146"/>
      <c r="G3" s="146"/>
      <c r="H3" s="146"/>
      <c r="I3" s="146"/>
      <c r="J3" s="52"/>
      <c r="K3" s="52"/>
      <c r="L3" s="52"/>
      <c r="M3" s="62"/>
      <c r="N3" s="83"/>
      <c r="O3" s="83"/>
      <c r="P3" s="83"/>
      <c r="Q3" s="83"/>
    </row>
    <row r="4" spans="1:28" s="37" customFormat="1" ht="13.15" thickTop="1" x14ac:dyDescent="0.35">
      <c r="A4" s="37" t="s">
        <v>161</v>
      </c>
      <c r="C4" s="39"/>
      <c r="D4" s="40"/>
      <c r="F4" s="73"/>
      <c r="J4" s="52"/>
      <c r="K4" s="52"/>
      <c r="L4" s="52"/>
      <c r="M4" s="62"/>
      <c r="N4" s="83"/>
      <c r="O4" s="83"/>
      <c r="P4" s="83"/>
      <c r="Q4" s="83"/>
      <c r="S4" s="52"/>
      <c r="T4" s="52"/>
      <c r="U4" s="52"/>
    </row>
    <row r="5" spans="1:28" s="37" customFormat="1" ht="28.9" x14ac:dyDescent="0.45">
      <c r="A5" s="89" t="s">
        <v>162</v>
      </c>
      <c r="B5" s="90" t="s">
        <v>163</v>
      </c>
      <c r="C5" s="90" t="s">
        <v>164</v>
      </c>
      <c r="D5" s="91" t="s">
        <v>165</v>
      </c>
      <c r="E5" s="92" t="s">
        <v>166</v>
      </c>
      <c r="F5" s="93" t="s">
        <v>167</v>
      </c>
      <c r="G5" s="94" t="s">
        <v>168</v>
      </c>
      <c r="H5" s="95" t="s">
        <v>169</v>
      </c>
      <c r="J5" s="96" t="s">
        <v>170</v>
      </c>
      <c r="K5" s="97" t="s">
        <v>171</v>
      </c>
      <c r="L5" s="97" t="s">
        <v>172</v>
      </c>
      <c r="M5" s="52"/>
      <c r="S5" s="52"/>
      <c r="T5" s="52"/>
      <c r="U5" s="52"/>
    </row>
    <row r="6" spans="1:28" s="37" customFormat="1" ht="14.25" x14ac:dyDescent="0.45">
      <c r="A6" s="177">
        <f>B3</f>
        <v>7.45</v>
      </c>
      <c r="B6" s="167">
        <v>1.4500000000000001E-2</v>
      </c>
      <c r="C6" s="168">
        <f>ExcurrentSpeed*PI()*(D3/100/2)^2</f>
        <v>1.0802500000000002E-5</v>
      </c>
      <c r="D6" s="169">
        <f>100/0.7</f>
        <v>142.85714285714286</v>
      </c>
      <c r="E6" s="98">
        <v>1025</v>
      </c>
      <c r="F6" s="99">
        <f>Density*9.81</f>
        <v>10055.25</v>
      </c>
      <c r="G6" s="100">
        <v>1.48E-3</v>
      </c>
      <c r="H6" s="101">
        <v>0.09</v>
      </c>
      <c r="J6" s="179">
        <f>ExCurrentFlowRate*60/('Trumpet shape'!D11)</f>
        <v>3.010450534138412E-5</v>
      </c>
      <c r="K6" s="181">
        <f>ExCurrentFlowRate/('Trumpet shape'!D11)</f>
        <v>5.0174175568973528E-7</v>
      </c>
      <c r="L6" s="102">
        <f>3600*ExCurrentFlowRate*1000*1000*1000*1000/(K7*K8*SpVol*1000000)</f>
        <v>9.5396133815304596E-2</v>
      </c>
      <c r="M6" s="52"/>
      <c r="P6" s="83"/>
      <c r="Q6" s="83"/>
      <c r="R6" s="83"/>
      <c r="S6" s="62"/>
      <c r="T6" s="62"/>
      <c r="U6" s="62"/>
    </row>
    <row r="7" spans="1:28" s="37" customFormat="1" ht="14.25" x14ac:dyDescent="0.45">
      <c r="A7" s="37" t="s">
        <v>252</v>
      </c>
      <c r="D7" s="28"/>
      <c r="F7" s="73"/>
      <c r="J7" s="85" t="s">
        <v>173</v>
      </c>
      <c r="K7" s="154">
        <f>Chamber!B7</f>
        <v>3508.9301314860304</v>
      </c>
      <c r="P7" s="83"/>
      <c r="Q7" s="83"/>
      <c r="R7" s="83"/>
      <c r="S7" s="83"/>
      <c r="T7" s="83"/>
      <c r="U7" s="83"/>
    </row>
    <row r="8" spans="1:28" s="37" customFormat="1" x14ac:dyDescent="0.35">
      <c r="D8" s="73"/>
      <c r="F8" s="73"/>
      <c r="J8" s="85" t="s">
        <v>174</v>
      </c>
      <c r="K8" s="154">
        <f>'Collar Bodies'!B5</f>
        <v>381.62416859013723</v>
      </c>
      <c r="P8" s="103"/>
      <c r="Q8" s="83"/>
      <c r="R8" s="104"/>
      <c r="S8" s="83"/>
      <c r="T8" s="83"/>
      <c r="U8" s="83"/>
    </row>
    <row r="9" spans="1:28" s="37" customFormat="1" x14ac:dyDescent="0.35">
      <c r="D9" s="73"/>
      <c r="F9" s="73"/>
      <c r="J9" s="85" t="s">
        <v>175</v>
      </c>
      <c r="K9" s="155">
        <f>'Collar Bodies'!C33</f>
        <v>39.888888888888886</v>
      </c>
      <c r="L9" s="52"/>
      <c r="M9" s="52"/>
      <c r="P9" s="83"/>
      <c r="Q9" s="83"/>
      <c r="R9" s="83"/>
      <c r="S9" s="83"/>
      <c r="T9" s="83"/>
      <c r="U9" s="83"/>
    </row>
    <row r="10" spans="1:28" s="37" customFormat="1" x14ac:dyDescent="0.35">
      <c r="B10" s="153"/>
      <c r="D10" s="73"/>
      <c r="F10" s="73"/>
      <c r="L10" s="52"/>
      <c r="M10" s="52"/>
      <c r="P10" s="83"/>
      <c r="Q10" s="83"/>
      <c r="R10" s="83"/>
      <c r="S10" s="35"/>
      <c r="T10" s="35"/>
      <c r="U10" s="35"/>
    </row>
    <row r="11" spans="1:28" s="37" customFormat="1" x14ac:dyDescent="0.35">
      <c r="A11" s="73"/>
      <c r="D11" s="73"/>
      <c r="F11" s="73"/>
      <c r="J11" s="52"/>
      <c r="K11" s="52"/>
      <c r="L11" s="52"/>
      <c r="M11" s="52"/>
      <c r="N11" s="65"/>
      <c r="S11" s="105"/>
      <c r="T11" s="105"/>
      <c r="U11" s="105"/>
    </row>
    <row r="12" spans="1:28" s="35" customFormat="1" ht="64.150000000000006" x14ac:dyDescent="0.4">
      <c r="A12" s="31" t="s">
        <v>102</v>
      </c>
      <c r="B12" s="32" t="s">
        <v>103</v>
      </c>
      <c r="C12" s="33" t="s">
        <v>58</v>
      </c>
      <c r="D12" s="34"/>
      <c r="E12" s="32" t="s">
        <v>104</v>
      </c>
      <c r="F12" s="31"/>
      <c r="G12" s="32" t="s">
        <v>105</v>
      </c>
      <c r="H12" s="32" t="s">
        <v>106</v>
      </c>
      <c r="I12" s="32" t="s">
        <v>107</v>
      </c>
      <c r="J12" s="35" t="s">
        <v>108</v>
      </c>
      <c r="K12" s="35" t="s">
        <v>109</v>
      </c>
      <c r="L12" s="35" t="s">
        <v>110</v>
      </c>
      <c r="M12" s="32" t="s">
        <v>111</v>
      </c>
      <c r="N12" s="32" t="s">
        <v>112</v>
      </c>
      <c r="O12" s="32" t="s">
        <v>113</v>
      </c>
      <c r="P12" s="32" t="s">
        <v>114</v>
      </c>
      <c r="Q12" s="32" t="s">
        <v>115</v>
      </c>
      <c r="R12" s="32" t="s">
        <v>116</v>
      </c>
      <c r="S12" s="105"/>
      <c r="T12" s="105"/>
    </row>
    <row r="13" spans="1:28" ht="13.5" x14ac:dyDescent="0.35">
      <c r="A13" s="36" t="str">
        <f>'[1]Comparison table for paper'!B16</f>
        <v>Ostia</v>
      </c>
      <c r="B13" s="37" t="s">
        <v>117</v>
      </c>
      <c r="C13" s="156">
        <f>Ostia!C86</f>
        <v>16.356880000000004</v>
      </c>
      <c r="D13" s="38" t="s">
        <v>118</v>
      </c>
      <c r="E13" s="163">
        <f>Ostia!C98</f>
        <v>13.575000000000001</v>
      </c>
      <c r="F13" s="40" t="s">
        <v>119</v>
      </c>
      <c r="G13" s="41">
        <v>0</v>
      </c>
      <c r="H13" s="42">
        <f t="shared" ref="H13:H28" si="0">(G13/$G$27)</f>
        <v>0</v>
      </c>
      <c r="I13" s="43">
        <f>H13*100</f>
        <v>0</v>
      </c>
      <c r="J13" s="145">
        <f>Ostia!L6</f>
        <v>0.28368372911041712</v>
      </c>
      <c r="K13" s="45">
        <f>$D$6*J13</f>
        <v>40.526247015773876</v>
      </c>
      <c r="L13" s="46">
        <f>(K13/$D$6)*100</f>
        <v>28.36837291104171</v>
      </c>
      <c r="M13" s="47">
        <f t="shared" ref="M13:M26" si="1">ExCurrentFlowRate/AtriumArea/(L13/100)</f>
        <v>5.1113259281628469E-6</v>
      </c>
      <c r="N13" s="47">
        <f>M13*PI()*(C13/2/1000000)^2</f>
        <v>1.074049732974106E-15</v>
      </c>
      <c r="O13" s="48">
        <f t="shared" ref="O13:O26" si="2">128*N13*Viscosity*E13/1000000/(PI()*(C13/1000000)^4)</f>
        <v>1.2282426442123283E-2</v>
      </c>
      <c r="P13" s="43">
        <f t="shared" ref="P13:P26" si="3">1000000*O13/gamma</f>
        <v>1.2214938904674955</v>
      </c>
      <c r="Q13" s="49">
        <f t="shared" ref="Q13:Q26" si="4">P13/$P$29</f>
        <v>2.3134306758325996E-2</v>
      </c>
      <c r="R13" s="50">
        <f>P29-P13</f>
        <v>51.578613898709371</v>
      </c>
    </row>
    <row r="14" spans="1:28" ht="13.5" x14ac:dyDescent="0.35">
      <c r="A14" s="36" t="str">
        <f>'[1]Comparison table for paper'!B17</f>
        <v>Subdermal spaces</v>
      </c>
      <c r="B14" s="37" t="s">
        <v>120</v>
      </c>
      <c r="C14" s="156">
        <f>'Subdermal Space'!C54</f>
        <v>29.900200000000002</v>
      </c>
      <c r="D14" s="38" t="s">
        <v>121</v>
      </c>
      <c r="E14" s="163">
        <f>'Subdermal Space'!C22</f>
        <v>61.362999999999992</v>
      </c>
      <c r="F14" s="40" t="s">
        <v>122</v>
      </c>
      <c r="G14" s="41">
        <f>E13</f>
        <v>13.575000000000001</v>
      </c>
      <c r="H14" s="42">
        <f t="shared" si="0"/>
        <v>2.0945452456466264E-2</v>
      </c>
      <c r="I14" s="43">
        <f t="shared" ref="I14:I28" si="5">H14*100</f>
        <v>2.0945452456466263</v>
      </c>
      <c r="J14" s="145">
        <f>'Subdermal Space'!B3</f>
        <v>8.6713617760160802E-2</v>
      </c>
      <c r="K14" s="45">
        <f>$D$6*J14</f>
        <v>12.387659680022972</v>
      </c>
      <c r="L14" s="46">
        <f t="shared" ref="L14:L26" si="6">(K14/$D$6)*100</f>
        <v>8.6713617760160808</v>
      </c>
      <c r="M14" s="47">
        <f t="shared" si="1"/>
        <v>1.6721710354774055E-5</v>
      </c>
      <c r="N14" s="47">
        <f t="shared" ref="N14:N26" si="7">M14*PI()*(C14/2/1000000)^2</f>
        <v>1.1741369743354789E-14</v>
      </c>
      <c r="O14" s="48">
        <f t="shared" si="2"/>
        <v>5.4356412719242096E-2</v>
      </c>
      <c r="P14" s="43">
        <f t="shared" si="3"/>
        <v>5.4057743685380366</v>
      </c>
      <c r="Q14" s="51">
        <f t="shared" si="4"/>
        <v>0.10238188130453267</v>
      </c>
      <c r="R14" s="50">
        <f>R13-P14</f>
        <v>46.172839530171331</v>
      </c>
      <c r="Y14" s="106"/>
      <c r="Z14" s="107"/>
      <c r="AA14" s="108"/>
      <c r="AB14" s="109"/>
    </row>
    <row r="15" spans="1:28" ht="13.5" x14ac:dyDescent="0.35">
      <c r="A15" s="36" t="str">
        <f>'[1]Comparison table for paper'!B18</f>
        <v>Apertures of Inhalent canals</v>
      </c>
      <c r="B15" s="52" t="s">
        <v>123</v>
      </c>
      <c r="C15" s="156">
        <f>'Incurrent Canal'!F22</f>
        <v>133.02754166666668</v>
      </c>
      <c r="D15" s="38" t="s">
        <v>124</v>
      </c>
      <c r="E15" s="164">
        <f>'Incurrent Canal'!C61/2</f>
        <v>263.23475000000002</v>
      </c>
      <c r="F15" s="53" t="s">
        <v>125</v>
      </c>
      <c r="G15" s="41">
        <f>G14+E14</f>
        <v>74.937999999999988</v>
      </c>
      <c r="H15" s="42">
        <f t="shared" si="0"/>
        <v>0.11562506933205662</v>
      </c>
      <c r="I15" s="43">
        <f t="shared" si="5"/>
        <v>11.562506933205661</v>
      </c>
      <c r="J15" s="145">
        <f>'Incurrent Canal'!L21</f>
        <v>0.15881998361522648</v>
      </c>
      <c r="K15" s="45">
        <f>$D$6*J15</f>
        <v>22.688569087889498</v>
      </c>
      <c r="L15" s="46">
        <f t="shared" si="6"/>
        <v>15.881998361522648</v>
      </c>
      <c r="M15" s="47">
        <f t="shared" si="1"/>
        <v>9.129833456682117E-6</v>
      </c>
      <c r="N15" s="47">
        <f t="shared" si="7"/>
        <v>1.2689247481309883E-13</v>
      </c>
      <c r="O15" s="48">
        <f t="shared" si="2"/>
        <v>6.4318312101691944E-3</v>
      </c>
      <c r="P15" s="43">
        <f t="shared" si="3"/>
        <v>0.63964905996063692</v>
      </c>
      <c r="Q15" s="51">
        <f t="shared" si="4"/>
        <v>1.2114540798186671E-2</v>
      </c>
      <c r="R15" s="50">
        <f t="shared" ref="R15:R26" si="8">R14-P15</f>
        <v>45.533190470210691</v>
      </c>
      <c r="Y15" s="106"/>
      <c r="Z15" s="107"/>
      <c r="AA15" s="108"/>
      <c r="AB15" s="109"/>
    </row>
    <row r="16" spans="1:28" ht="14.25" customHeight="1" x14ac:dyDescent="0.35">
      <c r="A16" s="36" t="str">
        <f>'[1]Comparison table for paper'!B19</f>
        <v>Prosopyles</v>
      </c>
      <c r="B16" s="54" t="s">
        <v>126</v>
      </c>
      <c r="C16" s="157">
        <f>Prosopyles!C32</f>
        <v>2.432952380952381</v>
      </c>
      <c r="D16" s="55" t="s">
        <v>127</v>
      </c>
      <c r="E16" s="162">
        <f>Prosopyles!C49</f>
        <v>0.68100000000000005</v>
      </c>
      <c r="F16" s="57" t="s">
        <v>128</v>
      </c>
      <c r="G16" s="41">
        <f>G15+E15</f>
        <v>338.17275000000001</v>
      </c>
      <c r="H16" s="42">
        <f t="shared" si="0"/>
        <v>0.52178130808084355</v>
      </c>
      <c r="I16" s="43">
        <f t="shared" si="5"/>
        <v>52.178130808084354</v>
      </c>
      <c r="J16" s="145">
        <f>Prosopyles!B7</f>
        <v>3.6639206826755406</v>
      </c>
      <c r="K16" s="45">
        <f>(J16*100)</f>
        <v>366.39206826755407</v>
      </c>
      <c r="L16" s="46">
        <f t="shared" si="6"/>
        <v>256.47444778728783</v>
      </c>
      <c r="M16" s="47">
        <f t="shared" si="1"/>
        <v>5.6535846456040972E-7</v>
      </c>
      <c r="N16" s="47">
        <f t="shared" si="7"/>
        <v>2.6283366908522469E-18</v>
      </c>
      <c r="O16" s="48">
        <f t="shared" si="2"/>
        <v>3.0804593835409145E-3</v>
      </c>
      <c r="P16" s="43">
        <f t="shared" si="3"/>
        <v>0.3063533361717426</v>
      </c>
      <c r="Q16" s="51">
        <f t="shared" si="4"/>
        <v>5.8021346735685998E-3</v>
      </c>
      <c r="R16" s="50">
        <f>R15-P16</f>
        <v>45.226837134038945</v>
      </c>
      <c r="Y16" s="106"/>
      <c r="Z16" s="107"/>
      <c r="AA16" s="108"/>
      <c r="AB16" s="109"/>
    </row>
    <row r="17" spans="1:30" ht="14.25" customHeight="1" x14ac:dyDescent="0.35">
      <c r="A17" s="36" t="str">
        <f>'[1]Comparison table for paper'!B20</f>
        <v>Pre-collar slit</v>
      </c>
      <c r="B17" s="54" t="s">
        <v>129</v>
      </c>
      <c r="C17" s="157">
        <f>'Collar Bodies'!B298</f>
        <v>1.8417797619047618</v>
      </c>
      <c r="D17" s="55" t="s">
        <v>130</v>
      </c>
      <c r="E17" s="162">
        <f>'Collar Bodies'!C74/2</f>
        <v>1.86384375</v>
      </c>
      <c r="F17" s="57" t="s">
        <v>131</v>
      </c>
      <c r="G17" s="41">
        <f t="shared" ref="G17:G27" si="9">G16+E16</f>
        <v>338.85374999999999</v>
      </c>
      <c r="H17" s="42">
        <f t="shared" si="0"/>
        <v>0.52283205232562102</v>
      </c>
      <c r="I17" s="43">
        <f t="shared" si="5"/>
        <v>52.283205232562104</v>
      </c>
      <c r="J17" s="145">
        <f>'Collar Bodies'!B301</f>
        <v>9.1936461801739693</v>
      </c>
      <c r="K17" s="45">
        <f t="shared" ref="K17:K24" si="10">(J17*100)</f>
        <v>919.36461801739688</v>
      </c>
      <c r="L17" s="46">
        <f t="shared" si="6"/>
        <v>643.55523261217775</v>
      </c>
      <c r="M17" s="47">
        <f t="shared" si="1"/>
        <v>2.2531088654418667E-7</v>
      </c>
      <c r="N17" s="47">
        <f t="shared" si="7"/>
        <v>6.0027112207152379E-19</v>
      </c>
      <c r="O17" s="48">
        <f t="shared" si="2"/>
        <v>5.8631091447490132E-3</v>
      </c>
      <c r="P17" s="43">
        <f t="shared" si="3"/>
        <v>0.58308934583914007</v>
      </c>
      <c r="Q17" s="51">
        <f t="shared" si="4"/>
        <v>1.1043336278163122E-2</v>
      </c>
      <c r="R17" s="50">
        <f t="shared" si="8"/>
        <v>44.643747788199803</v>
      </c>
      <c r="Y17" s="106"/>
      <c r="Z17" s="107"/>
      <c r="AA17" s="108"/>
      <c r="AB17" s="109"/>
    </row>
    <row r="18" spans="1:30" ht="13.5" x14ac:dyDescent="0.35">
      <c r="A18" s="36" t="str">
        <f>'[1]Comparison table for paper'!B21</f>
        <v xml:space="preserve">Glycocalyx mesh </v>
      </c>
      <c r="B18" s="58" t="s">
        <v>132</v>
      </c>
      <c r="C18" s="59">
        <v>4.4999999999999998E-2</v>
      </c>
      <c r="D18" s="55" t="s">
        <v>133</v>
      </c>
      <c r="E18" s="56">
        <f>'[1]collars '!B34</f>
        <v>9.4999999999999998E-3</v>
      </c>
      <c r="F18" s="57" t="s">
        <v>134</v>
      </c>
      <c r="G18" s="41">
        <f t="shared" si="9"/>
        <v>340.71759374999999</v>
      </c>
      <c r="H18" s="42">
        <f t="shared" si="0"/>
        <v>0.52570785716185719</v>
      </c>
      <c r="I18" s="43">
        <f t="shared" si="5"/>
        <v>52.570785716185718</v>
      </c>
      <c r="J18" s="44">
        <f>'[1]collars '!$L$28</f>
        <v>2.5133091651266217</v>
      </c>
      <c r="K18" s="45">
        <f t="shared" si="10"/>
        <v>251.33091651266218</v>
      </c>
      <c r="L18" s="46">
        <f t="shared" si="6"/>
        <v>175.9316415588635</v>
      </c>
      <c r="M18" s="47">
        <f t="shared" si="1"/>
        <v>8.2418374952458847E-7</v>
      </c>
      <c r="N18" s="47">
        <f t="shared" si="7"/>
        <v>1.3108076164367344E-21</v>
      </c>
      <c r="O18" s="48">
        <f t="shared" si="2"/>
        <v>0.18311938399313715</v>
      </c>
      <c r="P18" s="43">
        <f t="shared" si="3"/>
        <v>18.21132085160858</v>
      </c>
      <c r="Q18" s="51">
        <f t="shared" si="4"/>
        <v>0.34491067564338562</v>
      </c>
      <c r="R18" s="50">
        <f t="shared" si="8"/>
        <v>26.432426936591224</v>
      </c>
      <c r="Y18" s="106"/>
      <c r="Z18" s="107"/>
      <c r="AA18" s="108"/>
      <c r="AB18" s="109"/>
    </row>
    <row r="19" spans="1:30" ht="13.5" x14ac:dyDescent="0.35">
      <c r="A19" s="36" t="str">
        <f>'[1]Comparison table for paper'!B22</f>
        <v>Collar slits</v>
      </c>
      <c r="B19" s="37" t="s">
        <v>135</v>
      </c>
      <c r="C19" s="157">
        <f>'Collar Bodies'!B248</f>
        <v>0.12224357284090528</v>
      </c>
      <c r="D19" s="55" t="s">
        <v>136</v>
      </c>
      <c r="E19" s="165">
        <f>'Collar Bodies'!C231</f>
        <v>6.8839999999999998E-2</v>
      </c>
      <c r="F19" s="60" t="s">
        <v>137</v>
      </c>
      <c r="G19" s="41">
        <f t="shared" si="9"/>
        <v>340.72709374999999</v>
      </c>
      <c r="H19" s="42">
        <f t="shared" si="0"/>
        <v>0.52572251512121904</v>
      </c>
      <c r="I19" s="43">
        <f t="shared" si="5"/>
        <v>52.572251512121902</v>
      </c>
      <c r="J19" s="145">
        <f>'Collar Bodies'!B8</f>
        <v>24.407009033288684</v>
      </c>
      <c r="K19" s="45">
        <f t="shared" si="10"/>
        <v>2440.7009033288682</v>
      </c>
      <c r="L19" s="46">
        <f t="shared" si="6"/>
        <v>1708.490632330208</v>
      </c>
      <c r="M19" s="47">
        <f t="shared" si="1"/>
        <v>8.4870234144763642E-8</v>
      </c>
      <c r="N19" s="47">
        <f t="shared" si="7"/>
        <v>9.9608718085974962E-22</v>
      </c>
      <c r="O19" s="48">
        <f t="shared" si="2"/>
        <v>1.8516371535465662E-2</v>
      </c>
      <c r="P19" s="43">
        <f t="shared" si="3"/>
        <v>1.8414630700843504</v>
      </c>
      <c r="Q19" s="51">
        <f t="shared" si="4"/>
        <v>3.4876123310903909E-2</v>
      </c>
      <c r="R19" s="50">
        <f t="shared" si="8"/>
        <v>24.590963866506872</v>
      </c>
      <c r="S19" s="62"/>
      <c r="T19" s="62"/>
      <c r="U19" s="62"/>
      <c r="Y19" s="106"/>
      <c r="Z19" s="107"/>
      <c r="AA19" s="108"/>
      <c r="AB19" s="109"/>
    </row>
    <row r="20" spans="1:30" ht="13.9" x14ac:dyDescent="0.4">
      <c r="A20" s="36" t="str">
        <f>'[1]Comparison table for paper'!B23</f>
        <v xml:space="preserve">Glycocalyx mesh </v>
      </c>
      <c r="B20" s="58" t="s">
        <v>132</v>
      </c>
      <c r="C20" s="59">
        <v>4.4999999999999998E-2</v>
      </c>
      <c r="D20" s="55" t="s">
        <v>133</v>
      </c>
      <c r="E20" s="56">
        <f>'[1]collars '!B34</f>
        <v>9.4999999999999998E-3</v>
      </c>
      <c r="F20" s="57" t="s">
        <v>134</v>
      </c>
      <c r="G20" s="41">
        <f t="shared" si="9"/>
        <v>340.79593375000002</v>
      </c>
      <c r="H20" s="42">
        <f t="shared" si="0"/>
        <v>0.52582873132358388</v>
      </c>
      <c r="I20" s="43">
        <f t="shared" si="5"/>
        <v>52.582873132358387</v>
      </c>
      <c r="J20" s="61">
        <f>'[1]collars '!$L$28</f>
        <v>2.5133091651266217</v>
      </c>
      <c r="K20" s="45">
        <f t="shared" si="10"/>
        <v>251.33091651266218</v>
      </c>
      <c r="L20" s="46">
        <f t="shared" si="6"/>
        <v>175.9316415588635</v>
      </c>
      <c r="M20" s="47">
        <f t="shared" si="1"/>
        <v>8.2418374952458847E-7</v>
      </c>
      <c r="N20" s="47">
        <f t="shared" si="7"/>
        <v>1.3108076164367344E-21</v>
      </c>
      <c r="O20" s="48">
        <f t="shared" si="2"/>
        <v>0.18311938399313715</v>
      </c>
      <c r="P20" s="43">
        <f t="shared" si="3"/>
        <v>18.21132085160858</v>
      </c>
      <c r="Q20" s="51">
        <f t="shared" si="4"/>
        <v>0.34491067564338562</v>
      </c>
      <c r="R20" s="50">
        <f t="shared" si="8"/>
        <v>6.3796430148982921</v>
      </c>
      <c r="Y20" s="106"/>
      <c r="Z20" s="107"/>
      <c r="AA20" s="108"/>
      <c r="AB20" s="109"/>
      <c r="AD20" s="110"/>
    </row>
    <row r="21" spans="1:30" s="62" customFormat="1" ht="13.9" x14ac:dyDescent="0.4">
      <c r="A21" s="36" t="str">
        <f>'[1]Comparison table for paper'!B24</f>
        <v>Post-collar slit</v>
      </c>
      <c r="B21" s="62" t="s">
        <v>138</v>
      </c>
      <c r="C21" s="160">
        <f>'Collar Bodies'!B309</f>
        <v>2.6605252589205661</v>
      </c>
      <c r="D21" s="63" t="s">
        <v>130</v>
      </c>
      <c r="E21" s="166">
        <f>'Collar Bodies'!C74/2</f>
        <v>1.86384375</v>
      </c>
      <c r="F21" s="64" t="s">
        <v>131</v>
      </c>
      <c r="G21" s="41">
        <f t="shared" si="9"/>
        <v>340.80543375000002</v>
      </c>
      <c r="H21" s="42">
        <f t="shared" si="0"/>
        <v>0.52584338928294572</v>
      </c>
      <c r="I21" s="43">
        <f t="shared" si="5"/>
        <v>52.584338928294571</v>
      </c>
      <c r="J21" s="161">
        <f>'Collar Bodies'!B312</f>
        <v>13.280593255425424</v>
      </c>
      <c r="K21" s="45">
        <f t="shared" si="10"/>
        <v>1328.0593255425424</v>
      </c>
      <c r="L21" s="46">
        <f t="shared" si="6"/>
        <v>929.64152787977969</v>
      </c>
      <c r="M21" s="47">
        <f t="shared" si="1"/>
        <v>1.559740993183679E-7</v>
      </c>
      <c r="N21" s="47">
        <f t="shared" si="7"/>
        <v>8.6711588187950886E-19</v>
      </c>
      <c r="O21" s="48">
        <f t="shared" si="2"/>
        <v>1.9450864523117152E-3</v>
      </c>
      <c r="P21" s="43">
        <f t="shared" si="3"/>
        <v>0.19343988983980659</v>
      </c>
      <c r="Q21" s="51">
        <f t="shared" si="4"/>
        <v>3.6636267981153348E-3</v>
      </c>
      <c r="R21" s="50">
        <f t="shared" si="8"/>
        <v>6.1862031250584852</v>
      </c>
      <c r="S21" s="52"/>
      <c r="T21" s="52"/>
      <c r="U21" s="52"/>
      <c r="Y21" s="106"/>
      <c r="Z21" s="107"/>
      <c r="AA21" s="108"/>
      <c r="AB21" s="109"/>
      <c r="AD21" s="110"/>
    </row>
    <row r="22" spans="1:30" ht="13.9" x14ac:dyDescent="0.4">
      <c r="A22" s="36" t="str">
        <f>'[1]Comparison table for paper'!B25</f>
        <v>Collar apertures (2 retic AV)</v>
      </c>
      <c r="B22" s="37" t="s">
        <v>139</v>
      </c>
      <c r="C22" s="157">
        <f>'Collar Bodies'!C120</f>
        <v>11.693470588235295</v>
      </c>
      <c r="D22" s="55" t="s">
        <v>140</v>
      </c>
      <c r="E22" s="162">
        <f>'Collar Bodies'!C327</f>
        <v>0.71225000000000005</v>
      </c>
      <c r="F22" s="57" t="s">
        <v>141</v>
      </c>
      <c r="G22" s="41">
        <f t="shared" si="9"/>
        <v>342.66927750000002</v>
      </c>
      <c r="H22" s="42">
        <f t="shared" si="0"/>
        <v>0.528719194119182</v>
      </c>
      <c r="I22" s="43">
        <f t="shared" si="5"/>
        <v>52.871919411918199</v>
      </c>
      <c r="J22" s="152">
        <f>'Collar Bodies'!B11</f>
        <v>15.658639278998804</v>
      </c>
      <c r="K22" s="45">
        <f t="shared" si="10"/>
        <v>1565.8639278998803</v>
      </c>
      <c r="L22" s="46">
        <f t="shared" si="6"/>
        <v>1096.1047495299163</v>
      </c>
      <c r="M22" s="47">
        <f t="shared" si="1"/>
        <v>1.3228662685950939E-7</v>
      </c>
      <c r="N22" s="47">
        <f t="shared" si="7"/>
        <v>1.4206682650666831E-17</v>
      </c>
      <c r="O22" s="48">
        <f t="shared" si="2"/>
        <v>3.263422015260986E-5</v>
      </c>
      <c r="P22" s="43">
        <f t="shared" si="3"/>
        <v>3.2454906792580849E-3</v>
      </c>
      <c r="Q22" s="51">
        <f t="shared" si="4"/>
        <v>6.1467501017552017E-5</v>
      </c>
      <c r="R22" s="50">
        <f t="shared" si="8"/>
        <v>6.1829576343792274</v>
      </c>
      <c r="Y22" s="106"/>
      <c r="Z22" s="107"/>
      <c r="AA22" s="108"/>
      <c r="AB22" s="109"/>
      <c r="AD22" s="110"/>
    </row>
    <row r="23" spans="1:30" ht="13.9" x14ac:dyDescent="0.4">
      <c r="A23" s="36" t="str">
        <f>'[1]Comparison table for paper'!B26</f>
        <v>Chamber</v>
      </c>
      <c r="B23" s="37" t="s">
        <v>142</v>
      </c>
      <c r="C23" s="157">
        <f>Chamber!F55</f>
        <v>50.248090909090905</v>
      </c>
      <c r="D23" s="55" t="s">
        <v>143</v>
      </c>
      <c r="E23" s="157">
        <f>Chamber!F55</f>
        <v>50.248090909090905</v>
      </c>
      <c r="F23" s="57" t="s">
        <v>144</v>
      </c>
      <c r="G23" s="41">
        <f t="shared" si="9"/>
        <v>343.3815275</v>
      </c>
      <c r="H23" s="42">
        <f t="shared" si="0"/>
        <v>0.52981815533554422</v>
      </c>
      <c r="I23" s="43">
        <f t="shared" si="5"/>
        <v>52.981815533554425</v>
      </c>
      <c r="J23" s="145">
        <f>Chamber!B8</f>
        <v>7.3478796789562901</v>
      </c>
      <c r="K23" s="45">
        <f t="shared" si="10"/>
        <v>734.78796789562898</v>
      </c>
      <c r="L23" s="46">
        <f t="shared" si="6"/>
        <v>514.35157752694022</v>
      </c>
      <c r="M23" s="47">
        <f t="shared" si="1"/>
        <v>2.8190834117234794E-7</v>
      </c>
      <c r="N23" s="47">
        <f t="shared" si="7"/>
        <v>5.5903234920931308E-16</v>
      </c>
      <c r="O23" s="48">
        <f t="shared" si="2"/>
        <v>2.6570519986674553E-4</v>
      </c>
      <c r="P23" s="43">
        <f t="shared" si="3"/>
        <v>2.642452448887353E-2</v>
      </c>
      <c r="Q23" s="51">
        <f t="shared" si="4"/>
        <v>5.0046345727896625E-4</v>
      </c>
      <c r="R23" s="50">
        <f t="shared" si="8"/>
        <v>6.1565331098903542</v>
      </c>
      <c r="Y23" s="106"/>
      <c r="Z23" s="107"/>
      <c r="AA23" s="108"/>
      <c r="AB23" s="109"/>
      <c r="AD23" s="110"/>
    </row>
    <row r="24" spans="1:30" ht="13.9" x14ac:dyDescent="0.4">
      <c r="A24" s="36" t="str">
        <f>'[1]Comparison table for paper'!B27</f>
        <v>Apopyles</v>
      </c>
      <c r="B24" s="37" t="s">
        <v>145</v>
      </c>
      <c r="C24" s="157">
        <f>Apopyles!C9</f>
        <v>35.578166666666668</v>
      </c>
      <c r="D24" s="55" t="s">
        <v>146</v>
      </c>
      <c r="E24" s="162">
        <f>Apopyles!C43</f>
        <v>3.7496</v>
      </c>
      <c r="F24" s="57" t="s">
        <v>147</v>
      </c>
      <c r="G24" s="41">
        <f t="shared" si="9"/>
        <v>393.62961840909088</v>
      </c>
      <c r="H24" s="42">
        <f t="shared" si="0"/>
        <v>0.60734810002538275</v>
      </c>
      <c r="I24" s="43">
        <f t="shared" si="5"/>
        <v>60.734810002538275</v>
      </c>
      <c r="J24" s="145">
        <f>Apopyles!F9</f>
        <v>3.6041981195471426</v>
      </c>
      <c r="K24" s="45">
        <f t="shared" si="10"/>
        <v>360.41981195471425</v>
      </c>
      <c r="L24" s="46">
        <f t="shared" si="6"/>
        <v>252.29386836829994</v>
      </c>
      <c r="M24" s="47">
        <f t="shared" si="1"/>
        <v>5.7472661122436892E-7</v>
      </c>
      <c r="N24" s="47">
        <f t="shared" si="7"/>
        <v>5.7137116366183665E-16</v>
      </c>
      <c r="O24" s="48">
        <f t="shared" si="2"/>
        <v>8.0628913987812478E-5</v>
      </c>
      <c r="P24" s="43">
        <f t="shared" si="3"/>
        <v>8.0185886962345528E-3</v>
      </c>
      <c r="Q24" s="51">
        <f t="shared" si="4"/>
        <v>1.5186690012549992E-4</v>
      </c>
      <c r="R24" s="50">
        <f t="shared" si="8"/>
        <v>6.1485145211941195</v>
      </c>
      <c r="Y24" s="106"/>
      <c r="Z24" s="107"/>
      <c r="AA24" s="108"/>
      <c r="AB24" s="109"/>
      <c r="AD24" s="110"/>
    </row>
    <row r="25" spans="1:30" ht="13.9" x14ac:dyDescent="0.4">
      <c r="A25" s="36" t="str">
        <f>'[1]Comparison table for paper'!B28</f>
        <v>Apertures of exhalent canals</v>
      </c>
      <c r="B25" s="37" t="s">
        <v>148</v>
      </c>
      <c r="C25" s="158">
        <f>'Excurrent Canal'!C14</f>
        <v>102.8364</v>
      </c>
      <c r="D25" s="38" t="s">
        <v>149</v>
      </c>
      <c r="E25" s="163">
        <f>'Excurrent Canal'!C62/2</f>
        <v>214.46871428571427</v>
      </c>
      <c r="F25" s="53" t="s">
        <v>90</v>
      </c>
      <c r="G25" s="41">
        <f>G24+E24</f>
        <v>397.37921840909087</v>
      </c>
      <c r="H25" s="42">
        <f t="shared" si="0"/>
        <v>0.6131335194383305</v>
      </c>
      <c r="I25" s="43">
        <f t="shared" si="5"/>
        <v>61.313351943833048</v>
      </c>
      <c r="J25" s="145">
        <f>'Excurrent Canal'!J14</f>
        <v>0.18647479531471267</v>
      </c>
      <c r="K25" s="45">
        <f>J25*D6</f>
        <v>26.639256473530381</v>
      </c>
      <c r="L25" s="46">
        <f t="shared" si="6"/>
        <v>18.647479531471266</v>
      </c>
      <c r="M25" s="47">
        <f t="shared" si="1"/>
        <v>7.7758498007885821E-6</v>
      </c>
      <c r="N25" s="47">
        <f t="shared" si="7"/>
        <v>6.4584971788897126E-14</v>
      </c>
      <c r="O25" s="48">
        <f t="shared" si="2"/>
        <v>7.4684379199952515E-3</v>
      </c>
      <c r="P25" s="43">
        <f t="shared" si="3"/>
        <v>0.74274015265610027</v>
      </c>
      <c r="Q25" s="51">
        <f t="shared" si="4"/>
        <v>1.4067019628477909E-2</v>
      </c>
      <c r="R25" s="50">
        <f>R24-P25</f>
        <v>5.4057743685380188</v>
      </c>
      <c r="Y25" s="106"/>
      <c r="Z25" s="107"/>
      <c r="AA25" s="108"/>
      <c r="AB25" s="109"/>
      <c r="AD25" s="110"/>
    </row>
    <row r="26" spans="1:30" ht="13.9" x14ac:dyDescent="0.4">
      <c r="A26" s="36" t="str">
        <f>'[1]Comparison table for paper'!B29</f>
        <v>Atrial subdermal space (AV)</v>
      </c>
      <c r="B26" s="37" t="s">
        <v>150</v>
      </c>
      <c r="C26" s="158">
        <f>'Subdermal Space'!C54</f>
        <v>29.900200000000002</v>
      </c>
      <c r="D26" s="38" t="s">
        <v>151</v>
      </c>
      <c r="E26" s="163">
        <f>'Subdermal Space'!C38</f>
        <v>36.264111111111113</v>
      </c>
      <c r="F26" s="53" t="s">
        <v>152</v>
      </c>
      <c r="G26" s="41">
        <f t="shared" si="9"/>
        <v>611.84793269480519</v>
      </c>
      <c r="H26" s="42">
        <f t="shared" si="0"/>
        <v>0.944046540320163</v>
      </c>
      <c r="I26" s="43">
        <f t="shared" si="5"/>
        <v>94.404654032016296</v>
      </c>
      <c r="J26" s="145">
        <f>'Subdermal Space'!B26</f>
        <v>5.1245738788861198E-2</v>
      </c>
      <c r="K26" s="45">
        <f>J26*D6</f>
        <v>7.3208198269801716</v>
      </c>
      <c r="L26" s="46">
        <f t="shared" si="6"/>
        <v>5.1245738788861201</v>
      </c>
      <c r="M26" s="47">
        <f t="shared" si="1"/>
        <v>2.8295035534060306E-5</v>
      </c>
      <c r="N26" s="47">
        <f t="shared" si="7"/>
        <v>1.9867732848985431E-14</v>
      </c>
      <c r="O26" s="48">
        <f t="shared" si="2"/>
        <v>5.4356412719242096E-2</v>
      </c>
      <c r="P26" s="43">
        <f t="shared" si="3"/>
        <v>5.4057743685380366</v>
      </c>
      <c r="Q26" s="51">
        <f t="shared" si="4"/>
        <v>0.10238188130453267</v>
      </c>
      <c r="R26" s="50">
        <f t="shared" si="8"/>
        <v>-1.7763568394002505E-14</v>
      </c>
      <c r="Y26" s="106"/>
      <c r="Z26" s="107"/>
      <c r="AA26" s="108"/>
      <c r="AB26" s="109"/>
      <c r="AD26" s="110"/>
    </row>
    <row r="27" spans="1:30" ht="14.25" x14ac:dyDescent="0.45">
      <c r="A27" s="36"/>
      <c r="B27" s="37" t="s">
        <v>153</v>
      </c>
      <c r="C27" s="180">
        <f>'Trumpet shape'!D7*10000</f>
        <v>23120</v>
      </c>
      <c r="D27" s="66"/>
      <c r="E27" s="163">
        <f>'Trumpet shape'!D5*10000</f>
        <v>31570</v>
      </c>
      <c r="F27" s="40"/>
      <c r="G27" s="41">
        <f t="shared" si="9"/>
        <v>648.1120438059163</v>
      </c>
      <c r="H27" s="42">
        <f t="shared" si="0"/>
        <v>1</v>
      </c>
      <c r="I27" s="43">
        <f t="shared" si="5"/>
        <v>100</v>
      </c>
      <c r="J27" s="67"/>
      <c r="K27" s="68"/>
      <c r="M27" s="69"/>
      <c r="N27" s="65"/>
      <c r="R27" s="70"/>
      <c r="Y27" s="106"/>
      <c r="Z27" s="107"/>
      <c r="AA27" s="108"/>
      <c r="AB27" s="109"/>
      <c r="AD27" s="110"/>
    </row>
    <row r="28" spans="1:30" ht="15.75" x14ac:dyDescent="0.5">
      <c r="A28" s="36" t="str">
        <f>'[1]Comparison table for paper'!B31</f>
        <v>Osculum</v>
      </c>
      <c r="B28" s="37" t="s">
        <v>154</v>
      </c>
      <c r="C28" s="180">
        <f>'Trumpet shape'!D8*10000</f>
        <v>22231.33</v>
      </c>
      <c r="D28" s="66" t="s">
        <v>155</v>
      </c>
      <c r="E28" s="163">
        <v>500</v>
      </c>
      <c r="F28" s="53" t="s">
        <v>156</v>
      </c>
      <c r="G28" s="43">
        <f>G27+E27</f>
        <v>32218.112043805915</v>
      </c>
      <c r="H28" s="42">
        <f t="shared" si="0"/>
        <v>49.710713373896127</v>
      </c>
      <c r="I28" s="43">
        <f t="shared" si="5"/>
        <v>4971.0713373896124</v>
      </c>
      <c r="J28" s="196">
        <f>(PI()*(C28/2/1000)^2)/(D6*1000)</f>
        <v>2.7171825202004013E-3</v>
      </c>
      <c r="K28" s="71">
        <f>J28*D6</f>
        <v>0.38816893145720022</v>
      </c>
      <c r="L28" s="72">
        <f>(K28/$D$6)*100</f>
        <v>0.27171825202004013</v>
      </c>
      <c r="M28" s="69"/>
      <c r="N28" s="65"/>
      <c r="R28" s="70"/>
      <c r="AD28" s="110"/>
    </row>
    <row r="29" spans="1:30" ht="14.25" x14ac:dyDescent="0.45">
      <c r="A29" s="36"/>
      <c r="C29" s="37" t="s">
        <v>157</v>
      </c>
      <c r="E29" s="74">
        <f>SUM(E13:E28)</f>
        <v>32718.112043805915</v>
      </c>
      <c r="M29" s="69"/>
      <c r="N29" s="75" t="s">
        <v>158</v>
      </c>
      <c r="O29" s="76">
        <f>SUM(O13:O26)</f>
        <v>0.5309182838471207</v>
      </c>
      <c r="P29" s="77">
        <f>SUM(P13:P26)</f>
        <v>52.800107789176863</v>
      </c>
      <c r="Q29" s="78"/>
      <c r="R29" s="78"/>
      <c r="AD29" s="110"/>
    </row>
    <row r="30" spans="1:30" ht="13.15" x14ac:dyDescent="0.4">
      <c r="A30" s="36"/>
      <c r="G30" s="43"/>
      <c r="AD30" s="110"/>
    </row>
    <row r="31" spans="1:30" ht="16.149999999999999" thickBot="1" x14ac:dyDescent="0.55000000000000004">
      <c r="A31" s="36"/>
      <c r="B31" s="237"/>
      <c r="C31" s="237"/>
      <c r="J31" s="111"/>
      <c r="L31" s="37"/>
      <c r="N31" s="112" t="s">
        <v>176</v>
      </c>
      <c r="O31" s="112">
        <v>20.866676721853448</v>
      </c>
      <c r="P31" s="112" t="s">
        <v>177</v>
      </c>
      <c r="Q31" s="112"/>
      <c r="AD31" s="110"/>
    </row>
    <row r="32" spans="1:30" ht="15.75" x14ac:dyDescent="0.5">
      <c r="A32" s="36"/>
      <c r="B32" s="237"/>
      <c r="C32" s="237"/>
      <c r="E32" s="74"/>
      <c r="J32" s="111"/>
      <c r="Q32" s="52"/>
      <c r="R32" s="113"/>
      <c r="AD32" s="110"/>
    </row>
    <row r="33" spans="1:26" ht="54.75" thickBot="1" x14ac:dyDescent="0.55000000000000004">
      <c r="A33" s="36"/>
      <c r="B33" s="237"/>
      <c r="C33" s="237"/>
      <c r="J33" s="37"/>
      <c r="K33" s="114" t="s">
        <v>178</v>
      </c>
      <c r="M33" s="114" t="s">
        <v>179</v>
      </c>
      <c r="N33" s="114" t="s">
        <v>180</v>
      </c>
      <c r="O33" s="112" t="s">
        <v>176</v>
      </c>
      <c r="P33" s="115" t="s">
        <v>181</v>
      </c>
      <c r="Q33" s="114" t="s">
        <v>182</v>
      </c>
      <c r="R33" s="114" t="s">
        <v>183</v>
      </c>
      <c r="S33" s="114" t="s">
        <v>184</v>
      </c>
      <c r="Z33" s="110"/>
    </row>
    <row r="34" spans="1:26" ht="15.75" x14ac:dyDescent="0.5">
      <c r="A34" s="36"/>
      <c r="B34" s="237"/>
      <c r="C34" s="237"/>
      <c r="J34" s="37"/>
      <c r="K34" s="116">
        <f>N34*3600*1000</f>
        <v>0</v>
      </c>
      <c r="M34" s="117">
        <v>0</v>
      </c>
      <c r="N34" s="118">
        <f t="shared" ref="N34:N57" si="11">M34*PI()*(OscDiam/2/100)^2</f>
        <v>0</v>
      </c>
      <c r="O34" s="119">
        <f>$O$31*100*M34</f>
        <v>0</v>
      </c>
      <c r="P34" s="120">
        <f t="shared" ref="P34:P57" si="12">1000*O34/gamma</f>
        <v>0</v>
      </c>
      <c r="Q34" s="117">
        <f t="shared" ref="Q34:Q57" si="13">M34/alfa</f>
        <v>0</v>
      </c>
      <c r="R34" s="121">
        <f t="shared" ref="R34:R57" si="14">1000000*O34*N34</f>
        <v>0</v>
      </c>
      <c r="S34" s="122" t="e">
        <f>R34/N34/1000000</f>
        <v>#DIV/0!</v>
      </c>
    </row>
    <row r="35" spans="1:26" ht="15.75" x14ac:dyDescent="0.5">
      <c r="B35" s="237"/>
      <c r="C35" s="237"/>
      <c r="J35" s="37"/>
      <c r="K35" s="116">
        <f t="shared" ref="K35:K57" si="15">N35*3600*1000</f>
        <v>5.6579829285598224</v>
      </c>
      <c r="M35" s="117">
        <v>1E-3</v>
      </c>
      <c r="N35" s="118">
        <f t="shared" si="11"/>
        <v>1.5716619245999508E-6</v>
      </c>
      <c r="O35" s="119">
        <f t="shared" ref="O35:O57" si="16">$O$31*100*M35</f>
        <v>2.0866676721853445</v>
      </c>
      <c r="P35" s="120">
        <f t="shared" si="12"/>
        <v>0.20752021801400708</v>
      </c>
      <c r="Q35" s="117">
        <f t="shared" si="13"/>
        <v>1.1111111111111112E-2</v>
      </c>
      <c r="R35" s="121">
        <f t="shared" si="14"/>
        <v>3.279536129667318</v>
      </c>
      <c r="S35" s="122">
        <f t="shared" ref="S35:S57" si="17">R35/N35/1000000</f>
        <v>2.0866676721853445</v>
      </c>
    </row>
    <row r="36" spans="1:26" ht="15.75" x14ac:dyDescent="0.5">
      <c r="B36" s="237"/>
      <c r="C36" s="237"/>
      <c r="J36" s="37"/>
      <c r="K36" s="116">
        <f t="shared" si="15"/>
        <v>11.315965857119645</v>
      </c>
      <c r="M36" s="117">
        <v>2E-3</v>
      </c>
      <c r="N36" s="118">
        <f t="shared" si="11"/>
        <v>3.1433238491999015E-6</v>
      </c>
      <c r="O36" s="119">
        <f t="shared" si="16"/>
        <v>4.1733353443706891</v>
      </c>
      <c r="P36" s="120">
        <f t="shared" si="12"/>
        <v>0.41504043602801416</v>
      </c>
      <c r="Q36" s="117">
        <f t="shared" si="13"/>
        <v>2.2222222222222223E-2</v>
      </c>
      <c r="R36" s="121">
        <f t="shared" si="14"/>
        <v>13.118144518669272</v>
      </c>
      <c r="S36" s="122">
        <f t="shared" si="17"/>
        <v>4.1733353443706891</v>
      </c>
    </row>
    <row r="37" spans="1:26" ht="15.75" x14ac:dyDescent="0.5">
      <c r="B37" s="237"/>
      <c r="C37" s="237"/>
      <c r="J37" s="37"/>
      <c r="K37" s="116">
        <f t="shared" si="15"/>
        <v>16.973948785679468</v>
      </c>
      <c r="M37" s="117">
        <v>3.0000000000000001E-3</v>
      </c>
      <c r="N37" s="118">
        <f t="shared" si="11"/>
        <v>4.7149857737998521E-6</v>
      </c>
      <c r="O37" s="119">
        <f t="shared" si="16"/>
        <v>6.2600030165560341</v>
      </c>
      <c r="P37" s="120">
        <f t="shared" si="12"/>
        <v>0.62256065404202121</v>
      </c>
      <c r="Q37" s="117">
        <f t="shared" si="13"/>
        <v>3.3333333333333333E-2</v>
      </c>
      <c r="R37" s="121">
        <f t="shared" si="14"/>
        <v>29.515825167005861</v>
      </c>
      <c r="S37" s="122">
        <f t="shared" si="17"/>
        <v>6.2600030165560341</v>
      </c>
    </row>
    <row r="38" spans="1:26" ht="15.75" x14ac:dyDescent="0.5">
      <c r="B38" s="237"/>
      <c r="C38" s="237"/>
      <c r="J38" s="37"/>
      <c r="K38" s="116">
        <f t="shared" si="15"/>
        <v>22.63193171423929</v>
      </c>
      <c r="M38" s="117">
        <v>4.0000000000000001E-3</v>
      </c>
      <c r="N38" s="118">
        <f t="shared" si="11"/>
        <v>6.286647698399803E-6</v>
      </c>
      <c r="O38" s="119">
        <f t="shared" si="16"/>
        <v>8.3466706887413782</v>
      </c>
      <c r="P38" s="120">
        <f t="shared" si="12"/>
        <v>0.83008087205602832</v>
      </c>
      <c r="Q38" s="117">
        <f t="shared" si="13"/>
        <v>4.4444444444444446E-2</v>
      </c>
      <c r="R38" s="121">
        <f t="shared" si="14"/>
        <v>52.472578074677088</v>
      </c>
      <c r="S38" s="122">
        <f t="shared" si="17"/>
        <v>8.3466706887413782</v>
      </c>
    </row>
    <row r="39" spans="1:26" ht="15.75" x14ac:dyDescent="0.5">
      <c r="B39" s="237"/>
      <c r="C39" s="237"/>
      <c r="K39" s="116">
        <f t="shared" si="15"/>
        <v>28.289914642799118</v>
      </c>
      <c r="M39" s="117">
        <v>5.0000000000000001E-3</v>
      </c>
      <c r="N39" s="118">
        <f t="shared" si="11"/>
        <v>7.8583096229997549E-6</v>
      </c>
      <c r="O39" s="119">
        <f t="shared" si="16"/>
        <v>10.433338360926724</v>
      </c>
      <c r="P39" s="120">
        <f t="shared" si="12"/>
        <v>1.0376010900700354</v>
      </c>
      <c r="Q39" s="117">
        <f t="shared" si="13"/>
        <v>5.5555555555555559E-2</v>
      </c>
      <c r="R39" s="121">
        <f t="shared" si="14"/>
        <v>81.988403241682974</v>
      </c>
      <c r="S39" s="122">
        <f t="shared" si="17"/>
        <v>10.433338360926726</v>
      </c>
    </row>
    <row r="40" spans="1:26" ht="15.75" x14ac:dyDescent="0.5">
      <c r="B40" s="237"/>
      <c r="C40" s="237"/>
      <c r="F40" s="37"/>
      <c r="G40" s="73"/>
      <c r="I40" s="73"/>
      <c r="J40" s="37"/>
      <c r="K40" s="116">
        <f t="shared" si="15"/>
        <v>56.579829285598237</v>
      </c>
      <c r="M40" s="117">
        <v>0.01</v>
      </c>
      <c r="N40" s="118">
        <f t="shared" si="11"/>
        <v>1.571661924599951E-5</v>
      </c>
      <c r="O40" s="119">
        <f t="shared" si="16"/>
        <v>20.866676721853448</v>
      </c>
      <c r="P40" s="120">
        <f t="shared" si="12"/>
        <v>2.0752021801400709</v>
      </c>
      <c r="Q40" s="117">
        <f t="shared" si="13"/>
        <v>0.11111111111111112</v>
      </c>
      <c r="R40" s="121">
        <f t="shared" si="14"/>
        <v>327.9536129667319</v>
      </c>
      <c r="S40" s="122">
        <f t="shared" si="17"/>
        <v>20.866676721853452</v>
      </c>
    </row>
    <row r="41" spans="1:26" ht="15.75" x14ac:dyDescent="0.5">
      <c r="B41" s="237"/>
      <c r="C41" s="237"/>
      <c r="F41" s="37"/>
      <c r="G41" s="73"/>
      <c r="I41" s="73"/>
      <c r="J41" s="37"/>
      <c r="K41" s="116">
        <f t="shared" si="15"/>
        <v>84.869743928397327</v>
      </c>
      <c r="M41" s="117">
        <v>1.4999999999999999E-2</v>
      </c>
      <c r="N41" s="118">
        <f t="shared" si="11"/>
        <v>2.357492886899926E-5</v>
      </c>
      <c r="O41" s="119">
        <f t="shared" si="16"/>
        <v>31.300015082780167</v>
      </c>
      <c r="P41" s="120">
        <f t="shared" si="12"/>
        <v>3.1128032702101058</v>
      </c>
      <c r="Q41" s="117">
        <f t="shared" si="13"/>
        <v>0.16666666666666666</v>
      </c>
      <c r="R41" s="121">
        <f t="shared" si="14"/>
        <v>737.89562917514638</v>
      </c>
      <c r="S41" s="122">
        <f t="shared" si="17"/>
        <v>31.300015082780167</v>
      </c>
    </row>
    <row r="42" spans="1:26" ht="15.75" x14ac:dyDescent="0.5">
      <c r="B42" s="237"/>
      <c r="C42" s="237"/>
      <c r="K42" s="116">
        <f t="shared" si="15"/>
        <v>113.15965857119647</v>
      </c>
      <c r="M42" s="117">
        <v>0.02</v>
      </c>
      <c r="N42" s="118">
        <f t="shared" si="11"/>
        <v>3.1433238491999019E-5</v>
      </c>
      <c r="O42" s="119">
        <f t="shared" si="16"/>
        <v>41.733353443706896</v>
      </c>
      <c r="P42" s="120">
        <f t="shared" si="12"/>
        <v>4.1504043602801417</v>
      </c>
      <c r="Q42" s="117">
        <f t="shared" si="13"/>
        <v>0.22222222222222224</v>
      </c>
      <c r="R42" s="121">
        <f t="shared" si="14"/>
        <v>1311.8144518669276</v>
      </c>
      <c r="S42" s="122">
        <f t="shared" si="17"/>
        <v>41.733353443706903</v>
      </c>
    </row>
    <row r="43" spans="1:26" ht="15.75" x14ac:dyDescent="0.5">
      <c r="B43" s="237"/>
      <c r="C43" s="237"/>
      <c r="H43" s="37">
        <f>6.3/1000</f>
        <v>6.3E-3</v>
      </c>
      <c r="I43" s="37" t="s">
        <v>185</v>
      </c>
      <c r="K43" s="116">
        <f t="shared" si="15"/>
        <v>141.44957321399556</v>
      </c>
      <c r="M43" s="117">
        <v>2.5000000000000001E-2</v>
      </c>
      <c r="N43" s="118">
        <f t="shared" si="11"/>
        <v>3.9291548114998769E-5</v>
      </c>
      <c r="O43" s="119">
        <f t="shared" si="16"/>
        <v>52.166691804633615</v>
      </c>
      <c r="P43" s="120">
        <f t="shared" si="12"/>
        <v>5.1880054503501762</v>
      </c>
      <c r="Q43" s="117">
        <f t="shared" si="13"/>
        <v>0.27777777777777779</v>
      </c>
      <c r="R43" s="121">
        <f t="shared" si="14"/>
        <v>2049.7100810420739</v>
      </c>
      <c r="S43" s="122">
        <f t="shared" si="17"/>
        <v>52.166691804633615</v>
      </c>
    </row>
    <row r="44" spans="1:26" ht="15.75" x14ac:dyDescent="0.5">
      <c r="B44" s="237"/>
      <c r="C44" s="237"/>
      <c r="H44" s="37">
        <f>9.8*1025*H43</f>
        <v>63.283500000000004</v>
      </c>
      <c r="I44" s="37" t="s">
        <v>186</v>
      </c>
      <c r="K44" s="116">
        <f t="shared" si="15"/>
        <v>169.73948785679465</v>
      </c>
      <c r="M44" s="117">
        <v>0.03</v>
      </c>
      <c r="N44" s="118">
        <f t="shared" si="11"/>
        <v>4.7149857737998519E-5</v>
      </c>
      <c r="O44" s="119">
        <f t="shared" si="16"/>
        <v>62.600030165560334</v>
      </c>
      <c r="P44" s="120">
        <f t="shared" si="12"/>
        <v>6.2256065404202117</v>
      </c>
      <c r="Q44" s="117">
        <f t="shared" si="13"/>
        <v>0.33333333333333331</v>
      </c>
      <c r="R44" s="121">
        <f t="shared" si="14"/>
        <v>2951.5825167005855</v>
      </c>
      <c r="S44" s="122">
        <f t="shared" si="17"/>
        <v>62.600030165560334</v>
      </c>
    </row>
    <row r="45" spans="1:26" ht="13.15" x14ac:dyDescent="0.4">
      <c r="H45" s="65">
        <v>4.6999999999999997E-5</v>
      </c>
      <c r="K45" s="116">
        <f t="shared" si="15"/>
        <v>198.0294024995938</v>
      </c>
      <c r="M45" s="117">
        <v>3.5000000000000003E-2</v>
      </c>
      <c r="N45" s="118">
        <f t="shared" si="11"/>
        <v>5.5008167360998282E-5</v>
      </c>
      <c r="O45" s="119">
        <f t="shared" si="16"/>
        <v>73.033368526487067</v>
      </c>
      <c r="P45" s="120">
        <f t="shared" si="12"/>
        <v>7.2632076304902489</v>
      </c>
      <c r="Q45" s="117">
        <f t="shared" si="13"/>
        <v>0.38888888888888895</v>
      </c>
      <c r="R45" s="121">
        <f t="shared" si="14"/>
        <v>4017.4317588424651</v>
      </c>
      <c r="S45" s="122">
        <f t="shared" si="17"/>
        <v>73.033368526487067</v>
      </c>
    </row>
    <row r="46" spans="1:26" ht="13.15" x14ac:dyDescent="0.4">
      <c r="H46" s="65">
        <f>1000*H45*H44</f>
        <v>2.9743245000000003</v>
      </c>
      <c r="K46" s="116">
        <f t="shared" si="15"/>
        <v>226.31931714239295</v>
      </c>
      <c r="M46" s="117">
        <v>0.04</v>
      </c>
      <c r="N46" s="118">
        <f t="shared" si="11"/>
        <v>6.2866476983998039E-5</v>
      </c>
      <c r="O46" s="119">
        <f t="shared" si="16"/>
        <v>83.466706887413793</v>
      </c>
      <c r="P46" s="120">
        <f t="shared" si="12"/>
        <v>8.3008087205602834</v>
      </c>
      <c r="Q46" s="117">
        <f t="shared" si="13"/>
        <v>0.44444444444444448</v>
      </c>
      <c r="R46" s="121">
        <f t="shared" si="14"/>
        <v>5247.2578074677103</v>
      </c>
      <c r="S46" s="122">
        <f t="shared" si="17"/>
        <v>83.466706887413807</v>
      </c>
    </row>
    <row r="47" spans="1:26" ht="13.15" x14ac:dyDescent="0.4">
      <c r="A47" s="52"/>
      <c r="B47" s="52"/>
      <c r="C47" s="52"/>
      <c r="D47" s="52"/>
      <c r="E47" s="52"/>
      <c r="F47" s="52"/>
      <c r="G47" s="52"/>
      <c r="K47" s="116">
        <f t="shared" si="15"/>
        <v>282.89914642799113</v>
      </c>
      <c r="M47" s="67">
        <v>0.05</v>
      </c>
      <c r="N47" s="118">
        <f t="shared" si="11"/>
        <v>7.8583096229997538E-5</v>
      </c>
      <c r="O47" s="119">
        <f t="shared" si="16"/>
        <v>104.33338360926723</v>
      </c>
      <c r="P47" s="120">
        <f t="shared" si="12"/>
        <v>10.376010900700352</v>
      </c>
      <c r="Q47" s="117">
        <f t="shared" si="13"/>
        <v>0.55555555555555558</v>
      </c>
      <c r="R47" s="121">
        <f t="shared" si="14"/>
        <v>8198.8403241682954</v>
      </c>
      <c r="S47" s="122">
        <f t="shared" si="17"/>
        <v>104.33338360926723</v>
      </c>
    </row>
    <row r="48" spans="1:26" ht="13.15" x14ac:dyDescent="0.4">
      <c r="A48" s="52"/>
      <c r="B48" s="52"/>
      <c r="C48" s="52"/>
      <c r="D48" s="52"/>
      <c r="E48" s="52"/>
      <c r="F48" s="52"/>
      <c r="G48" s="52"/>
      <c r="H48" s="37">
        <f>2.3*0.75</f>
        <v>1.7249999999999999</v>
      </c>
      <c r="K48" s="116">
        <f t="shared" si="15"/>
        <v>339.47897571358931</v>
      </c>
      <c r="M48" s="117">
        <v>0.06</v>
      </c>
      <c r="N48" s="118">
        <f t="shared" si="11"/>
        <v>9.4299715475997038E-5</v>
      </c>
      <c r="O48" s="119">
        <f t="shared" si="16"/>
        <v>125.20006033112067</v>
      </c>
      <c r="P48" s="120">
        <f t="shared" si="12"/>
        <v>12.451213080840423</v>
      </c>
      <c r="Q48" s="117">
        <f t="shared" si="13"/>
        <v>0.66666666666666663</v>
      </c>
      <c r="R48" s="121">
        <f t="shared" si="14"/>
        <v>11806.330066802342</v>
      </c>
      <c r="S48" s="122">
        <f t="shared" si="17"/>
        <v>125.20006033112067</v>
      </c>
    </row>
    <row r="49" spans="1:19" ht="13.15" x14ac:dyDescent="0.4">
      <c r="A49" s="52"/>
      <c r="B49" s="52"/>
      <c r="C49" s="52"/>
      <c r="D49" s="52"/>
      <c r="E49" s="52"/>
      <c r="F49" s="52"/>
      <c r="G49" s="52"/>
      <c r="K49" s="116">
        <f t="shared" si="15"/>
        <v>396.0588049991876</v>
      </c>
      <c r="M49" s="67">
        <v>7.0000000000000007E-2</v>
      </c>
      <c r="N49" s="118">
        <f t="shared" si="11"/>
        <v>1.1001633472199656E-4</v>
      </c>
      <c r="O49" s="119">
        <f t="shared" si="16"/>
        <v>146.06673705297413</v>
      </c>
      <c r="P49" s="120">
        <f t="shared" si="12"/>
        <v>14.526415260980498</v>
      </c>
      <c r="Q49" s="117">
        <f t="shared" si="13"/>
        <v>0.7777777777777779</v>
      </c>
      <c r="R49" s="121">
        <f t="shared" si="14"/>
        <v>16069.72703536986</v>
      </c>
      <c r="S49" s="122">
        <f t="shared" si="17"/>
        <v>146.06673705297413</v>
      </c>
    </row>
    <row r="50" spans="1:19" ht="13.15" x14ac:dyDescent="0.4">
      <c r="A50" s="52"/>
      <c r="B50" s="52"/>
      <c r="C50" s="52"/>
      <c r="D50" s="52"/>
      <c r="E50" s="52"/>
      <c r="F50" s="52"/>
      <c r="G50" s="52"/>
      <c r="K50" s="116">
        <f t="shared" si="15"/>
        <v>452.63863428478589</v>
      </c>
      <c r="M50" s="117">
        <v>0.08</v>
      </c>
      <c r="N50" s="118">
        <f t="shared" si="11"/>
        <v>1.2573295396799608E-4</v>
      </c>
      <c r="O50" s="119">
        <f t="shared" si="16"/>
        <v>166.93341377482759</v>
      </c>
      <c r="P50" s="120">
        <f t="shared" si="12"/>
        <v>16.601617441120567</v>
      </c>
      <c r="Q50" s="117">
        <f t="shared" si="13"/>
        <v>0.88888888888888895</v>
      </c>
      <c r="R50" s="121">
        <f t="shared" si="14"/>
        <v>20989.031229870841</v>
      </c>
      <c r="S50" s="122">
        <f t="shared" si="17"/>
        <v>166.93341377482761</v>
      </c>
    </row>
    <row r="51" spans="1:19" ht="13.15" x14ac:dyDescent="0.4">
      <c r="A51" s="52"/>
      <c r="B51" s="52"/>
      <c r="C51" s="52"/>
      <c r="D51" s="52"/>
      <c r="E51" s="52"/>
      <c r="F51" s="52"/>
      <c r="G51" s="52"/>
      <c r="K51" s="116">
        <f t="shared" si="15"/>
        <v>509.21846357038402</v>
      </c>
      <c r="M51" s="67">
        <v>0.09</v>
      </c>
      <c r="N51" s="118">
        <f t="shared" si="11"/>
        <v>1.4144957321399556E-4</v>
      </c>
      <c r="O51" s="119">
        <f t="shared" si="16"/>
        <v>187.80009049668101</v>
      </c>
      <c r="P51" s="120">
        <f t="shared" si="12"/>
        <v>18.676819621260638</v>
      </c>
      <c r="Q51" s="117">
        <f t="shared" si="13"/>
        <v>1</v>
      </c>
      <c r="R51" s="121">
        <f t="shared" si="14"/>
        <v>26564.242650305274</v>
      </c>
      <c r="S51" s="122">
        <f t="shared" si="17"/>
        <v>187.80009049668101</v>
      </c>
    </row>
    <row r="52" spans="1:19" ht="13.15" x14ac:dyDescent="0.4">
      <c r="A52" s="52"/>
      <c r="B52" s="52"/>
      <c r="C52" s="52"/>
      <c r="D52" s="52"/>
      <c r="E52" s="52"/>
      <c r="F52" s="52"/>
      <c r="G52" s="52"/>
      <c r="K52" s="116">
        <f t="shared" si="15"/>
        <v>565.79829285598225</v>
      </c>
      <c r="M52" s="117">
        <v>0.1</v>
      </c>
      <c r="N52" s="118">
        <f t="shared" si="11"/>
        <v>1.5716619245999508E-4</v>
      </c>
      <c r="O52" s="119">
        <f t="shared" si="16"/>
        <v>208.66676721853446</v>
      </c>
      <c r="P52" s="120">
        <f t="shared" si="12"/>
        <v>20.752021801400705</v>
      </c>
      <c r="Q52" s="117">
        <f t="shared" si="13"/>
        <v>1.1111111111111112</v>
      </c>
      <c r="R52" s="121">
        <f t="shared" si="14"/>
        <v>32795.361296673182</v>
      </c>
      <c r="S52" s="122">
        <f t="shared" si="17"/>
        <v>208.66676721853446</v>
      </c>
    </row>
    <row r="53" spans="1:19" ht="13.15" x14ac:dyDescent="0.4">
      <c r="A53" s="52"/>
      <c r="B53" s="52"/>
      <c r="C53" s="52"/>
      <c r="D53" s="52"/>
      <c r="E53" s="52"/>
      <c r="F53" s="52"/>
      <c r="G53" s="52"/>
      <c r="K53" s="116">
        <f t="shared" si="15"/>
        <v>678.95795142717861</v>
      </c>
      <c r="M53" s="67">
        <v>0.12</v>
      </c>
      <c r="N53" s="118">
        <f t="shared" si="11"/>
        <v>1.8859943095199408E-4</v>
      </c>
      <c r="O53" s="119">
        <f t="shared" si="16"/>
        <v>250.40012066224133</v>
      </c>
      <c r="P53" s="120">
        <f t="shared" si="12"/>
        <v>24.902426161680847</v>
      </c>
      <c r="Q53" s="117">
        <f t="shared" si="13"/>
        <v>1.3333333333333333</v>
      </c>
      <c r="R53" s="121">
        <f t="shared" si="14"/>
        <v>47225.320267209368</v>
      </c>
      <c r="S53" s="122">
        <f t="shared" si="17"/>
        <v>250.40012066224133</v>
      </c>
    </row>
    <row r="54" spans="1:19" ht="13.15" x14ac:dyDescent="0.4">
      <c r="A54" s="52"/>
      <c r="B54" s="52"/>
      <c r="C54" s="52"/>
      <c r="D54" s="52"/>
      <c r="E54" s="52"/>
      <c r="F54" s="52"/>
      <c r="G54" s="52"/>
      <c r="K54" s="116">
        <f t="shared" si="15"/>
        <v>792.1176099983752</v>
      </c>
      <c r="M54" s="67">
        <v>0.14000000000000001</v>
      </c>
      <c r="N54" s="118">
        <f t="shared" si="11"/>
        <v>2.2003266944399313E-4</v>
      </c>
      <c r="O54" s="119">
        <f t="shared" si="16"/>
        <v>292.13347410594827</v>
      </c>
      <c r="P54" s="120">
        <f t="shared" si="12"/>
        <v>29.052830521960995</v>
      </c>
      <c r="Q54" s="117">
        <f t="shared" si="13"/>
        <v>1.5555555555555558</v>
      </c>
      <c r="R54" s="121">
        <f t="shared" si="14"/>
        <v>64278.908141479442</v>
      </c>
      <c r="S54" s="122">
        <f t="shared" si="17"/>
        <v>292.13347410594827</v>
      </c>
    </row>
    <row r="55" spans="1:19" ht="13.15" x14ac:dyDescent="0.4">
      <c r="A55" s="52"/>
      <c r="B55" s="52"/>
      <c r="C55" s="52"/>
      <c r="D55" s="52"/>
      <c r="E55" s="52"/>
      <c r="F55" s="52"/>
      <c r="G55" s="52"/>
      <c r="K55" s="116">
        <f t="shared" si="15"/>
        <v>905.27726856957179</v>
      </c>
      <c r="M55" s="67">
        <v>0.16</v>
      </c>
      <c r="N55" s="118">
        <f t="shared" si="11"/>
        <v>2.5146590793599216E-4</v>
      </c>
      <c r="O55" s="119">
        <f t="shared" si="16"/>
        <v>333.86682754965517</v>
      </c>
      <c r="P55" s="120">
        <f t="shared" si="12"/>
        <v>33.203234882241134</v>
      </c>
      <c r="Q55" s="117">
        <f t="shared" si="13"/>
        <v>1.7777777777777779</v>
      </c>
      <c r="R55" s="121">
        <f t="shared" si="14"/>
        <v>83956.124919483365</v>
      </c>
      <c r="S55" s="122">
        <f t="shared" si="17"/>
        <v>333.86682754965523</v>
      </c>
    </row>
    <row r="56" spans="1:19" ht="13.15" x14ac:dyDescent="0.4">
      <c r="A56" s="52"/>
      <c r="B56" s="52"/>
      <c r="C56" s="52"/>
      <c r="D56" s="52"/>
      <c r="E56" s="52"/>
      <c r="F56" s="52"/>
      <c r="G56" s="52"/>
      <c r="K56" s="116">
        <f t="shared" si="15"/>
        <v>1018.436927140768</v>
      </c>
      <c r="M56" s="67">
        <v>0.18</v>
      </c>
      <c r="N56" s="118">
        <f t="shared" si="11"/>
        <v>2.8289914642799113E-4</v>
      </c>
      <c r="O56" s="119">
        <f t="shared" si="16"/>
        <v>375.60018099336202</v>
      </c>
      <c r="P56" s="120">
        <f t="shared" si="12"/>
        <v>37.353639242521275</v>
      </c>
      <c r="Q56" s="117">
        <f t="shared" si="13"/>
        <v>2</v>
      </c>
      <c r="R56" s="121">
        <f t="shared" si="14"/>
        <v>106256.9706012211</v>
      </c>
      <c r="S56" s="122">
        <f t="shared" si="17"/>
        <v>375.60018099336202</v>
      </c>
    </row>
    <row r="57" spans="1:19" ht="13.5" thickBot="1" x14ac:dyDescent="0.45">
      <c r="A57" s="52"/>
      <c r="B57" s="52"/>
      <c r="C57" s="52"/>
      <c r="D57" s="52"/>
      <c r="E57" s="52"/>
      <c r="F57" s="52"/>
      <c r="G57" s="52"/>
      <c r="K57" s="116">
        <f t="shared" si="15"/>
        <v>1131.5965857119645</v>
      </c>
      <c r="M57" s="123">
        <v>0.2</v>
      </c>
      <c r="N57" s="124">
        <f t="shared" si="11"/>
        <v>3.1433238491999015E-4</v>
      </c>
      <c r="O57" s="125">
        <f t="shared" si="16"/>
        <v>417.33353443706892</v>
      </c>
      <c r="P57" s="126">
        <f t="shared" si="12"/>
        <v>41.50404360280141</v>
      </c>
      <c r="Q57" s="123">
        <f t="shared" si="13"/>
        <v>2.2222222222222223</v>
      </c>
      <c r="R57" s="127">
        <f t="shared" si="14"/>
        <v>131181.44518669273</v>
      </c>
      <c r="S57" s="122">
        <f t="shared" si="17"/>
        <v>417.33353443706892</v>
      </c>
    </row>
  </sheetData>
  <pageMargins left="0.7" right="0.7" top="0.75" bottom="0.75" header="0.3" footer="0.3"/>
  <pageSetup orientation="portrait" horizontalDpi="0" verticalDpi="0" r:id="rId1"/>
  <drawing r:id="rId2"/>
  <legacy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92D050"/>
  </sheetPr>
  <dimension ref="A1:AH56"/>
  <sheetViews>
    <sheetView tabSelected="1" topLeftCell="V36" zoomScaleNormal="100" workbookViewId="0">
      <selection activeCell="B26" sqref="B26"/>
    </sheetView>
  </sheetViews>
  <sheetFormatPr defaultColWidth="12.19921875" defaultRowHeight="14.25" x14ac:dyDescent="0.45"/>
  <cols>
    <col min="1" max="1" width="50.59765625" customWidth="1"/>
    <col min="2" max="2" width="23.53125" customWidth="1"/>
    <col min="3" max="3" width="39.06640625" customWidth="1"/>
    <col min="8" max="8" width="26.9296875" customWidth="1"/>
    <col min="9" max="9" width="14.796875" bestFit="1" customWidth="1"/>
    <col min="10" max="10" width="20.9296875" customWidth="1"/>
    <col min="11" max="11" width="31.9296875" customWidth="1"/>
    <col min="12" max="12" width="16.06640625" customWidth="1"/>
    <col min="13" max="13" width="13.9296875" customWidth="1"/>
    <col min="14" max="14" width="15.9296875" customWidth="1"/>
    <col min="16" max="16" width="14.46484375" customWidth="1"/>
    <col min="19" max="19" width="15" customWidth="1"/>
    <col min="20" max="20" width="18.59765625" bestFit="1" customWidth="1"/>
    <col min="21" max="21" width="15" customWidth="1"/>
    <col min="24" max="24" width="12.46484375" bestFit="1" customWidth="1"/>
    <col min="27" max="27" width="12.46484375" bestFit="1" customWidth="1"/>
  </cols>
  <sheetData>
    <row r="1" spans="1:15" ht="96.7" customHeight="1" x14ac:dyDescent="0.45">
      <c r="A1" s="310" t="s">
        <v>585</v>
      </c>
    </row>
    <row r="2" spans="1:15" ht="21" x14ac:dyDescent="0.65">
      <c r="A2" s="241" t="s">
        <v>375</v>
      </c>
      <c r="I2" t="s">
        <v>387</v>
      </c>
      <c r="J2" t="s">
        <v>388</v>
      </c>
    </row>
    <row r="3" spans="1:15" ht="15.75" x14ac:dyDescent="0.5">
      <c r="A3" s="240" t="s">
        <v>310</v>
      </c>
      <c r="H3" s="37" t="s">
        <v>385</v>
      </c>
      <c r="I3" s="153">
        <f>'[3] High vs Low Am 10-11'!$M$6</f>
        <v>1.021219400417013</v>
      </c>
      <c r="J3" s="321">
        <f>'[3] High vs Low Am 10-11'!$K$6</f>
        <v>1.5879743501937953</v>
      </c>
    </row>
    <row r="4" spans="1:15" x14ac:dyDescent="0.45">
      <c r="A4" s="239" t="s">
        <v>311</v>
      </c>
      <c r="H4" s="37" t="s">
        <v>386</v>
      </c>
      <c r="I4" s="153">
        <f>'[3]High vs. Low Am 12-13'!$J$5</f>
        <v>1.9314658962970832</v>
      </c>
      <c r="J4" s="321">
        <f>'[3]High vs. Low Am 12-13'!$H$5</f>
        <v>1.3191249208514384</v>
      </c>
    </row>
    <row r="5" spans="1:15" x14ac:dyDescent="0.45">
      <c r="A5" s="239" t="s">
        <v>312</v>
      </c>
      <c r="H5" s="62" t="s">
        <v>27</v>
      </c>
      <c r="I5" s="180">
        <f>AVERAGE(I3:I4)</f>
        <v>1.4763426483570481</v>
      </c>
      <c r="J5" s="180">
        <f>AVERAGE(J3:J4)</f>
        <v>1.453549635522617</v>
      </c>
    </row>
    <row r="6" spans="1:15" x14ac:dyDescent="0.45">
      <c r="A6" s="239" t="s">
        <v>313</v>
      </c>
      <c r="H6" s="62"/>
    </row>
    <row r="7" spans="1:15" x14ac:dyDescent="0.45">
      <c r="A7" s="239"/>
    </row>
    <row r="8" spans="1:15" x14ac:dyDescent="0.45">
      <c r="A8" s="239" t="s">
        <v>314</v>
      </c>
    </row>
    <row r="9" spans="1:15" ht="15.75" x14ac:dyDescent="0.5">
      <c r="A9" s="240"/>
    </row>
    <row r="10" spans="1:15" x14ac:dyDescent="0.45">
      <c r="A10" s="239" t="s">
        <v>315</v>
      </c>
    </row>
    <row r="11" spans="1:15" ht="15.75" x14ac:dyDescent="0.5">
      <c r="A11" s="240" t="s">
        <v>316</v>
      </c>
    </row>
    <row r="12" spans="1:15" ht="15.75" x14ac:dyDescent="0.5">
      <c r="A12" s="240" t="s">
        <v>317</v>
      </c>
    </row>
    <row r="13" spans="1:15" ht="16.149999999999999" thickBot="1" x14ac:dyDescent="0.55000000000000004">
      <c r="A13" s="240"/>
    </row>
    <row r="14" spans="1:15" ht="15" thickTop="1" thickBot="1" x14ac:dyDescent="0.5">
      <c r="A14" s="17" t="s">
        <v>379</v>
      </c>
      <c r="B14" s="262">
        <f>'Lauren Oscula Diameters'!J59</f>
        <v>5.6012126911111118</v>
      </c>
      <c r="C14" s="17" t="s">
        <v>378</v>
      </c>
      <c r="D14" s="262">
        <f>'Lauren Oscula Diameters'!I59</f>
        <v>2.2231330000000002</v>
      </c>
    </row>
    <row r="15" spans="1:15" ht="72" thickTop="1" x14ac:dyDescent="0.5">
      <c r="A15" s="253" t="s">
        <v>318</v>
      </c>
      <c r="B15" s="246" t="s">
        <v>179</v>
      </c>
      <c r="C15" s="246" t="s">
        <v>319</v>
      </c>
      <c r="D15" s="250" t="s">
        <v>165</v>
      </c>
      <c r="E15" s="252" t="s">
        <v>363</v>
      </c>
      <c r="F15" s="252" t="s">
        <v>364</v>
      </c>
      <c r="G15" s="251" t="s">
        <v>365</v>
      </c>
      <c r="H15" s="250" t="s">
        <v>320</v>
      </c>
      <c r="I15" s="250" t="s">
        <v>169</v>
      </c>
      <c r="J15" s="238" t="s">
        <v>321</v>
      </c>
      <c r="K15" s="249" t="s">
        <v>170</v>
      </c>
      <c r="L15" s="248" t="s">
        <v>171</v>
      </c>
      <c r="M15" s="247" t="s">
        <v>172</v>
      </c>
      <c r="N15" s="105"/>
      <c r="O15" s="236"/>
    </row>
    <row r="16" spans="1:15" ht="15.75" x14ac:dyDescent="0.5">
      <c r="A16" s="197">
        <f>'Trumpet shape'!D13</f>
        <v>35.670087325100432</v>
      </c>
      <c r="B16" s="197">
        <f>I5/100</f>
        <v>1.476342648357048E-2</v>
      </c>
      <c r="C16" s="302">
        <f>1/4*PI()*(D14^2)*(B16*100)</f>
        <v>5.7307034827744845</v>
      </c>
      <c r="D16" s="197">
        <f>100/0.7</f>
        <v>142.85714285714286</v>
      </c>
      <c r="E16" s="245">
        <v>1022</v>
      </c>
      <c r="F16" s="244">
        <v>9806.65</v>
      </c>
      <c r="G16" s="243">
        <f>E16*9.81</f>
        <v>10025.82</v>
      </c>
      <c r="H16" s="257">
        <v>1.3447</v>
      </c>
      <c r="I16" s="242"/>
      <c r="J16" s="258">
        <f>'Trumpet shape'!D11</f>
        <v>21.53</v>
      </c>
      <c r="K16" s="259">
        <f>C16*60/J16</f>
        <v>15.970376635692942</v>
      </c>
      <c r="L16" s="259">
        <f>K16/60</f>
        <v>0.26617294392821572</v>
      </c>
      <c r="M16" s="260">
        <f>(C16*3600*1000000)/(L18*L19*L20)</f>
        <v>1.793923329131963E-2</v>
      </c>
      <c r="N16" s="235"/>
      <c r="O16" s="236"/>
    </row>
    <row r="17" spans="1:34" x14ac:dyDescent="0.45">
      <c r="A17" s="37"/>
      <c r="B17" s="37"/>
      <c r="C17" s="43">
        <f>C16*60</f>
        <v>343.84220896646906</v>
      </c>
      <c r="D17" s="37"/>
      <c r="E17" s="37" t="s">
        <v>376</v>
      </c>
      <c r="G17" s="73"/>
      <c r="H17" s="255"/>
      <c r="I17" s="37"/>
      <c r="J17" s="37"/>
      <c r="K17" s="234" t="s">
        <v>322</v>
      </c>
      <c r="L17" s="322">
        <f>Chamber!B7</f>
        <v>3508.9301314860304</v>
      </c>
      <c r="M17" s="37"/>
      <c r="V17" s="43"/>
    </row>
    <row r="18" spans="1:34" x14ac:dyDescent="0.45">
      <c r="D18" s="73"/>
      <c r="E18" s="37"/>
      <c r="G18" s="73"/>
      <c r="H18" s="37"/>
      <c r="I18" s="37"/>
      <c r="J18" s="37"/>
      <c r="K18" s="233" t="s">
        <v>323</v>
      </c>
      <c r="L18" s="232">
        <f>L17*(J16*1000)</f>
        <v>75547265.730894238</v>
      </c>
      <c r="M18" s="37"/>
      <c r="R18" s="236"/>
    </row>
    <row r="19" spans="1:34" x14ac:dyDescent="0.45">
      <c r="C19" s="37"/>
      <c r="D19" s="73"/>
      <c r="E19" s="37"/>
      <c r="G19" s="73"/>
      <c r="H19" s="37"/>
      <c r="I19" s="37"/>
      <c r="J19" s="37"/>
      <c r="K19" s="233" t="s">
        <v>324</v>
      </c>
      <c r="L19" s="323">
        <f>'Collar Bodies'!B5</f>
        <v>381.62416859013723</v>
      </c>
      <c r="M19" s="52"/>
      <c r="R19" s="236"/>
      <c r="T19" s="231"/>
      <c r="U19" s="231"/>
      <c r="V19" s="231"/>
      <c r="W19" s="231"/>
      <c r="X19" s="231"/>
      <c r="Y19" s="231"/>
      <c r="Z19" s="231"/>
      <c r="AA19" s="231"/>
      <c r="AB19" s="231"/>
      <c r="AC19" s="231"/>
    </row>
    <row r="20" spans="1:34" x14ac:dyDescent="0.45">
      <c r="K20" s="230" t="s">
        <v>325</v>
      </c>
      <c r="L20" s="323">
        <f>'Collar Bodies'!C33</f>
        <v>39.888888888888886</v>
      </c>
      <c r="R20" s="236"/>
      <c r="T20" s="231"/>
      <c r="U20" s="231"/>
      <c r="V20" s="231"/>
      <c r="W20" s="231"/>
      <c r="X20" s="231"/>
      <c r="Y20" s="231"/>
      <c r="Z20" s="231"/>
      <c r="AA20" s="231"/>
      <c r="AB20" s="231"/>
      <c r="AC20" s="231"/>
    </row>
    <row r="21" spans="1:34" x14ac:dyDescent="0.45">
      <c r="R21" s="236"/>
      <c r="T21" s="231"/>
      <c r="U21" s="231"/>
      <c r="V21" s="231"/>
      <c r="W21" s="231"/>
      <c r="X21" s="231"/>
      <c r="Y21" s="231"/>
      <c r="Z21" s="231"/>
      <c r="AA21" s="231"/>
      <c r="AB21" s="231"/>
      <c r="AC21" s="325" t="s">
        <v>556</v>
      </c>
      <c r="AD21" s="325"/>
      <c r="AE21" s="325"/>
      <c r="AF21" s="326" t="s">
        <v>560</v>
      </c>
      <c r="AG21" s="326"/>
      <c r="AH21" s="326"/>
    </row>
    <row r="22" spans="1:34" s="35" customFormat="1" ht="64.150000000000006" x14ac:dyDescent="0.4">
      <c r="A22" s="229" t="s">
        <v>102</v>
      </c>
      <c r="B22" s="228" t="s">
        <v>103</v>
      </c>
      <c r="C22" s="228" t="s">
        <v>58</v>
      </c>
      <c r="D22" s="228" t="s">
        <v>104</v>
      </c>
      <c r="E22" s="228" t="s">
        <v>105</v>
      </c>
      <c r="F22" s="228" t="s">
        <v>106</v>
      </c>
      <c r="G22" s="228" t="s">
        <v>107</v>
      </c>
      <c r="H22" s="228" t="s">
        <v>108</v>
      </c>
      <c r="I22" s="228" t="s">
        <v>109</v>
      </c>
      <c r="J22" s="228" t="s">
        <v>110</v>
      </c>
      <c r="K22" s="228" t="s">
        <v>111</v>
      </c>
      <c r="L22" s="227" t="s">
        <v>559</v>
      </c>
      <c r="M22" s="226" t="s">
        <v>326</v>
      </c>
      <c r="N22" s="225" t="s">
        <v>327</v>
      </c>
      <c r="O22" s="224" t="s">
        <v>328</v>
      </c>
      <c r="P22" s="223" t="s">
        <v>329</v>
      </c>
      <c r="Q22" s="223" t="s">
        <v>559</v>
      </c>
      <c r="R22" s="223" t="s">
        <v>330</v>
      </c>
      <c r="S22" s="223" t="s">
        <v>331</v>
      </c>
      <c r="T22" s="222" t="s">
        <v>366</v>
      </c>
      <c r="U22" s="223" t="s">
        <v>332</v>
      </c>
      <c r="V22" s="223" t="s">
        <v>558</v>
      </c>
      <c r="W22" s="223"/>
      <c r="X22" s="223"/>
      <c r="Y22" s="223"/>
      <c r="Z22" s="221"/>
      <c r="AC22" s="228" t="s">
        <v>107</v>
      </c>
      <c r="AD22" s="301" t="s">
        <v>557</v>
      </c>
      <c r="AE22" s="35" t="s">
        <v>562</v>
      </c>
      <c r="AF22" s="228" t="s">
        <v>107</v>
      </c>
      <c r="AG22" s="35" t="s">
        <v>563</v>
      </c>
      <c r="AH22" s="301" t="s">
        <v>561</v>
      </c>
    </row>
    <row r="23" spans="1:34" ht="15.75" x14ac:dyDescent="0.5">
      <c r="A23" s="36" t="s">
        <v>117</v>
      </c>
      <c r="B23" s="37" t="s">
        <v>117</v>
      </c>
      <c r="C23" s="156">
        <f>Ostia!C86</f>
        <v>16.356880000000004</v>
      </c>
      <c r="D23" s="199">
        <f>Ostia!C98</f>
        <v>13.575000000000001</v>
      </c>
      <c r="E23" s="200">
        <v>0</v>
      </c>
      <c r="F23" s="200">
        <f>E23/$E$37</f>
        <v>0</v>
      </c>
      <c r="G23" s="200">
        <f t="shared" ref="G23:G37" si="0">F23*100</f>
        <v>0</v>
      </c>
      <c r="H23" s="199">
        <f>Ostia!L6</f>
        <v>0.28368372911041712</v>
      </c>
      <c r="I23" s="220">
        <f>H23*$D$16</f>
        <v>40.526247015773876</v>
      </c>
      <c r="J23" s="220">
        <f t="shared" ref="J23:J36" si="1">I23/$D$16*100</f>
        <v>28.36837291104171</v>
      </c>
      <c r="K23" s="220">
        <f>$K$38/(J23/$J$38)</f>
        <v>9.8985046317779217E-5</v>
      </c>
      <c r="L23" s="219">
        <f>K23*1000</f>
        <v>9.8985046317779213E-2</v>
      </c>
      <c r="M23" s="218">
        <f>(8*$H$16*L23*($D23/1000))/($F$16*(($C23/1000/2)^2))</f>
        <v>2.2037544456574153E-2</v>
      </c>
      <c r="N23" s="217">
        <f>M23*1000</f>
        <v>22.037544456574153</v>
      </c>
      <c r="O23" s="216" t="s">
        <v>333</v>
      </c>
      <c r="P23" s="215">
        <v>15</v>
      </c>
      <c r="Q23" s="215">
        <f t="shared" ref="Q23:Q37" si="2">K23*1000</f>
        <v>9.8985046317779213E-2</v>
      </c>
      <c r="R23" s="215">
        <f>(6*PI()*$H$16*Q23)/($F$16*(C23/1000))</f>
        <v>1.5641376698363661E-2</v>
      </c>
      <c r="S23" s="254">
        <f>R23*1000</f>
        <v>15.641376698363661</v>
      </c>
      <c r="T23" s="214">
        <f t="shared" ref="T23:T38" si="3">S23/$S$39*100</f>
        <v>0.44119948938641346</v>
      </c>
      <c r="U23" s="213">
        <f>S39-S23</f>
        <v>3529.5523677723049</v>
      </c>
      <c r="V23" s="213">
        <f t="shared" ref="V23:V37" si="4">U23/$U$23</f>
        <v>1</v>
      </c>
      <c r="W23" s="213"/>
      <c r="X23" s="215"/>
      <c r="Y23" s="215"/>
      <c r="Z23" s="212"/>
      <c r="AC23" s="297">
        <v>0</v>
      </c>
      <c r="AD23" s="213">
        <v>1</v>
      </c>
      <c r="AE23" s="219">
        <v>6.5658271785869848</v>
      </c>
      <c r="AF23" s="265">
        <v>0</v>
      </c>
      <c r="AG23" s="219">
        <v>0.68308055269572165</v>
      </c>
      <c r="AH23" s="213">
        <v>1</v>
      </c>
    </row>
    <row r="24" spans="1:34" ht="15.75" x14ac:dyDescent="0.5">
      <c r="A24" s="36" t="s">
        <v>367</v>
      </c>
      <c r="B24" s="37" t="s">
        <v>120</v>
      </c>
      <c r="C24" s="156">
        <f>'Subdermal Space'!C54</f>
        <v>29.900200000000002</v>
      </c>
      <c r="D24" s="199">
        <f>'Subdermal Space'!C22</f>
        <v>61.362999999999992</v>
      </c>
      <c r="E24" s="200">
        <f>D23</f>
        <v>13.575000000000001</v>
      </c>
      <c r="F24" s="200">
        <f t="shared" ref="F24:F38" si="5">E24/$E$37</f>
        <v>2.0945452456466264E-2</v>
      </c>
      <c r="G24" s="200">
        <f t="shared" si="0"/>
        <v>2.0945452456466263</v>
      </c>
      <c r="H24" s="256">
        <f>'Subdermal Space'!B3</f>
        <v>8.6713617760160802E-2</v>
      </c>
      <c r="I24" s="220">
        <f>H24*$D$16</f>
        <v>12.387659680022972</v>
      </c>
      <c r="J24" s="220">
        <f t="shared" si="1"/>
        <v>8.6713617760160808</v>
      </c>
      <c r="K24" s="220">
        <f t="shared" ref="K24:K36" si="6">$K$38/(J24/$J$38)</f>
        <v>3.2382972583685788E-4</v>
      </c>
      <c r="L24" s="219">
        <f t="shared" ref="L24:L37" si="7">K24*1000</f>
        <v>0.32382972583685787</v>
      </c>
      <c r="M24" s="218">
        <f t="shared" ref="M24:M38" si="8">(8*$H$16*L24*($D24/1000))/($F$16*(($C24/1000/2)^2))</f>
        <v>9.752811200985384E-2</v>
      </c>
      <c r="N24" s="217">
        <f t="shared" ref="N24:N37" si="9">M24*1000</f>
        <v>97.528112009853842</v>
      </c>
      <c r="O24" s="216" t="s">
        <v>334</v>
      </c>
      <c r="P24" s="215">
        <v>21</v>
      </c>
      <c r="Q24" s="215">
        <f t="shared" si="2"/>
        <v>0.32382972583685787</v>
      </c>
      <c r="R24" s="215">
        <f t="shared" ref="R24:R38" si="10">(6*PI()*$H$16*Q24)/($F$16*(C24/1000))</f>
        <v>2.799293729005577E-2</v>
      </c>
      <c r="S24" s="254">
        <f t="shared" ref="S24:S37" si="11">R24*1000</f>
        <v>27.992937290055771</v>
      </c>
      <c r="T24" s="214">
        <f t="shared" si="3"/>
        <v>0.7896024676709279</v>
      </c>
      <c r="U24" s="213">
        <f>U23-S24</f>
        <v>3501.5594304822494</v>
      </c>
      <c r="V24" s="213">
        <f t="shared" si="4"/>
        <v>0.99206898371996011</v>
      </c>
      <c r="W24" s="213"/>
      <c r="X24" s="215"/>
      <c r="Y24" s="215"/>
      <c r="Z24" s="212"/>
      <c r="AC24" s="297">
        <v>1.0587567876718442E-2</v>
      </c>
      <c r="AD24" s="213">
        <v>0.97927154530716942</v>
      </c>
      <c r="AE24" s="219">
        <v>5.5985985137647072</v>
      </c>
      <c r="AF24" s="265">
        <v>1.1780645828687132E-2</v>
      </c>
      <c r="AG24" s="219">
        <v>0.40112750877695535</v>
      </c>
      <c r="AH24" s="213">
        <v>0.99855143231652543</v>
      </c>
    </row>
    <row r="25" spans="1:34" ht="15.75" x14ac:dyDescent="0.5">
      <c r="A25" s="36" t="s">
        <v>335</v>
      </c>
      <c r="B25" s="52" t="s">
        <v>123</v>
      </c>
      <c r="C25" s="156">
        <f>'Incurrent Canal'!F22</f>
        <v>133.02754166666668</v>
      </c>
      <c r="D25" s="199">
        <f>'Incurrent Canal'!C61/2</f>
        <v>263.23475000000002</v>
      </c>
      <c r="E25" s="200">
        <f t="shared" ref="E25:E37" si="12">E24+D24</f>
        <v>74.937999999999988</v>
      </c>
      <c r="F25" s="200">
        <f t="shared" si="5"/>
        <v>0.11562506933205662</v>
      </c>
      <c r="G25" s="200">
        <f t="shared" si="0"/>
        <v>11.562506933205661</v>
      </c>
      <c r="H25" s="256">
        <f>'Incurrent Canal'!L21</f>
        <v>0.15881998361522648</v>
      </c>
      <c r="I25" s="220">
        <f>H25*100</f>
        <v>15.881998361522648</v>
      </c>
      <c r="J25" s="220">
        <f t="shared" si="1"/>
        <v>11.117398853065854</v>
      </c>
      <c r="K25" s="220">
        <f t="shared" si="6"/>
        <v>2.5258108876656163E-4</v>
      </c>
      <c r="L25" s="219">
        <f t="shared" si="7"/>
        <v>0.25258108876656166</v>
      </c>
      <c r="M25" s="218">
        <f t="shared" si="8"/>
        <v>1.6486012631740175E-2</v>
      </c>
      <c r="N25" s="217">
        <f t="shared" si="9"/>
        <v>16.486012631740174</v>
      </c>
      <c r="O25" s="216" t="s">
        <v>334</v>
      </c>
      <c r="P25" s="215">
        <v>19</v>
      </c>
      <c r="Q25" s="215">
        <f t="shared" si="2"/>
        <v>0.25258108876656166</v>
      </c>
      <c r="R25" s="215">
        <f t="shared" si="10"/>
        <v>4.9075543488157061E-3</v>
      </c>
      <c r="S25" s="254">
        <f t="shared" si="11"/>
        <v>4.9075543488157063</v>
      </c>
      <c r="T25" s="214">
        <f t="shared" si="3"/>
        <v>0.13842838227021781</v>
      </c>
      <c r="U25" s="213">
        <f t="shared" ref="U25:U37" si="13">U24-S25</f>
        <v>3496.6518761334337</v>
      </c>
      <c r="V25" s="213">
        <f t="shared" si="4"/>
        <v>0.99067856537863563</v>
      </c>
      <c r="W25" s="213"/>
      <c r="X25" s="215"/>
      <c r="Y25" s="215"/>
      <c r="Z25" s="212"/>
      <c r="AC25" s="297">
        <v>23.94818918143547</v>
      </c>
      <c r="AD25" s="213">
        <v>0.88415452175450204</v>
      </c>
      <c r="AE25" s="219">
        <v>7.2157209792035548</v>
      </c>
      <c r="AF25" s="265">
        <v>3.0958786221618206</v>
      </c>
      <c r="AG25" s="219">
        <v>0.62339297810684036</v>
      </c>
      <c r="AH25" s="213">
        <v>0.99513582837465897</v>
      </c>
    </row>
    <row r="26" spans="1:34" ht="15.75" x14ac:dyDescent="0.5">
      <c r="A26" s="36" t="s">
        <v>338</v>
      </c>
      <c r="B26" s="54" t="s">
        <v>126</v>
      </c>
      <c r="C26" s="156">
        <f>Prosopyles!C32</f>
        <v>2.432952380952381</v>
      </c>
      <c r="D26" s="199">
        <f>Prosopyles!C49</f>
        <v>0.68100000000000005</v>
      </c>
      <c r="E26" s="200">
        <f t="shared" si="12"/>
        <v>338.17275000000001</v>
      </c>
      <c r="F26" s="200">
        <f t="shared" si="5"/>
        <v>0.52178130808084355</v>
      </c>
      <c r="G26" s="200">
        <f t="shared" si="0"/>
        <v>52.178130808084354</v>
      </c>
      <c r="H26" s="199">
        <f>Prosopyles!B7</f>
        <v>3.6639206826755406</v>
      </c>
      <c r="I26" s="220">
        <f>H26*100</f>
        <v>366.39206826755407</v>
      </c>
      <c r="J26" s="220">
        <f t="shared" si="1"/>
        <v>256.47444778728783</v>
      </c>
      <c r="K26" s="220">
        <f t="shared" si="6"/>
        <v>1.0948633404948021E-5</v>
      </c>
      <c r="L26" s="219">
        <f t="shared" si="7"/>
        <v>1.0948633404948021E-2</v>
      </c>
      <c r="M26" s="218">
        <f t="shared" si="8"/>
        <v>5.5270642923319945E-3</v>
      </c>
      <c r="N26" s="217">
        <f t="shared" si="9"/>
        <v>5.5270642923319944</v>
      </c>
      <c r="O26" s="216" t="s">
        <v>334</v>
      </c>
      <c r="P26" s="215">
        <v>19</v>
      </c>
      <c r="Q26" s="215">
        <f t="shared" si="2"/>
        <v>1.0948633404948021E-2</v>
      </c>
      <c r="R26" s="215">
        <f t="shared" si="10"/>
        <v>1.1631404468129838E-2</v>
      </c>
      <c r="S26" s="254">
        <f t="shared" si="11"/>
        <v>11.631404468129839</v>
      </c>
      <c r="T26" s="214">
        <f t="shared" si="3"/>
        <v>0.3280893882392461</v>
      </c>
      <c r="U26" s="213">
        <f t="shared" si="13"/>
        <v>3485.0204716653038</v>
      </c>
      <c r="V26" s="213">
        <f t="shared" si="4"/>
        <v>0.98738313206127393</v>
      </c>
      <c r="W26" s="215" t="s">
        <v>336</v>
      </c>
      <c r="X26" s="215"/>
      <c r="Y26" s="215"/>
      <c r="Z26" s="212"/>
      <c r="AC26" s="297">
        <v>44.466959251923072</v>
      </c>
      <c r="AD26" s="213">
        <v>0.67145222955656314</v>
      </c>
      <c r="AE26" s="219">
        <v>10.835151482704052</v>
      </c>
      <c r="AF26" s="265">
        <v>24.846060912417038</v>
      </c>
      <c r="AG26" s="219">
        <v>3.2466683322456289</v>
      </c>
      <c r="AH26" s="213">
        <v>0.9343595876572427</v>
      </c>
    </row>
    <row r="27" spans="1:34" ht="15.75" x14ac:dyDescent="0.5">
      <c r="A27" s="36" t="s">
        <v>368</v>
      </c>
      <c r="B27" s="54" t="s">
        <v>129</v>
      </c>
      <c r="C27" s="156">
        <f>'Collar Bodies'!B298</f>
        <v>1.8417797619047618</v>
      </c>
      <c r="D27" s="199">
        <f>'Collar Bodies'!C74/2</f>
        <v>1.86384375</v>
      </c>
      <c r="E27" s="200">
        <f t="shared" si="12"/>
        <v>338.85374999999999</v>
      </c>
      <c r="F27" s="200">
        <f t="shared" si="5"/>
        <v>0.52283205232562102</v>
      </c>
      <c r="G27" s="200">
        <f t="shared" si="0"/>
        <v>52.283205232562104</v>
      </c>
      <c r="H27" s="199">
        <f>'Collar Bodies'!B301</f>
        <v>9.1936461801739693</v>
      </c>
      <c r="I27" s="220">
        <f>'[4]Incurrent Canals'!M28</f>
        <v>3.6651154155832066</v>
      </c>
      <c r="J27" s="220">
        <f t="shared" si="1"/>
        <v>2.5655807909082449</v>
      </c>
      <c r="K27" s="220">
        <f t="shared" si="6"/>
        <v>1.0945064433404246E-3</v>
      </c>
      <c r="L27" s="219">
        <f t="shared" si="7"/>
        <v>1.0945064433404246</v>
      </c>
      <c r="M27" s="218">
        <f t="shared" si="8"/>
        <v>2.6388040317357837</v>
      </c>
      <c r="N27" s="217">
        <f t="shared" si="9"/>
        <v>2638.8040317357836</v>
      </c>
      <c r="O27" s="216" t="s">
        <v>334</v>
      </c>
      <c r="P27" s="215">
        <v>19</v>
      </c>
      <c r="Q27" s="215">
        <f t="shared" si="2"/>
        <v>1.0945064433404246</v>
      </c>
      <c r="R27" s="215">
        <f t="shared" si="10"/>
        <v>1.535983245666807</v>
      </c>
      <c r="S27" s="254">
        <f t="shared" si="11"/>
        <v>1535.9832456668071</v>
      </c>
      <c r="T27" s="214">
        <f t="shared" si="3"/>
        <v>43.325791377761327</v>
      </c>
      <c r="U27" s="213">
        <f t="shared" si="13"/>
        <v>1949.0372259984968</v>
      </c>
      <c r="V27" s="213">
        <f t="shared" si="4"/>
        <v>0.5522052155380377</v>
      </c>
      <c r="W27" s="211" t="s">
        <v>122</v>
      </c>
      <c r="X27" s="215">
        <f>[4]Collars!C13/1000</f>
        <v>1.086E-4</v>
      </c>
      <c r="Y27" s="215" t="s">
        <v>337</v>
      </c>
      <c r="Z27" s="212"/>
      <c r="AC27" s="297">
        <v>49.773384746327089</v>
      </c>
      <c r="AD27" s="213">
        <v>0.60404917729245289</v>
      </c>
      <c r="AE27" s="219">
        <v>1.0449495464821557</v>
      </c>
      <c r="AF27" s="265">
        <v>41.938729532363311</v>
      </c>
      <c r="AG27" s="219">
        <v>2.3900204331172401</v>
      </c>
      <c r="AH27" s="213">
        <v>0.93374882886221966</v>
      </c>
    </row>
    <row r="28" spans="1:34" s="239" customFormat="1" ht="15.75" x14ac:dyDescent="0.5">
      <c r="A28" s="194" t="s">
        <v>369</v>
      </c>
      <c r="B28" s="193" t="s">
        <v>132</v>
      </c>
      <c r="C28" s="59">
        <v>4.4999999999999998E-2</v>
      </c>
      <c r="D28" s="198">
        <v>9.4999999999999998E-3</v>
      </c>
      <c r="E28" s="266">
        <f t="shared" si="12"/>
        <v>340.71759374999999</v>
      </c>
      <c r="F28" s="200">
        <f t="shared" si="5"/>
        <v>0.52570785716185719</v>
      </c>
      <c r="G28" s="266">
        <f t="shared" si="0"/>
        <v>52.570785716185718</v>
      </c>
      <c r="H28" s="198">
        <v>2.5133091651266217</v>
      </c>
      <c r="I28" s="198">
        <f t="shared" ref="I28:I36" si="14">H28*100</f>
        <v>251.33091651266218</v>
      </c>
      <c r="J28" s="198">
        <f t="shared" si="1"/>
        <v>175.9316415588635</v>
      </c>
      <c r="K28" s="198">
        <f t="shared" si="6"/>
        <v>1.5960998724723297E-5</v>
      </c>
      <c r="L28" s="192">
        <f>K28*1000</f>
        <v>1.5960998724723296E-2</v>
      </c>
      <c r="M28" s="218">
        <f t="shared" si="8"/>
        <v>0.32855898503647873</v>
      </c>
      <c r="N28" s="191">
        <f t="shared" si="9"/>
        <v>328.55898503647876</v>
      </c>
      <c r="O28" s="190" t="s">
        <v>333</v>
      </c>
      <c r="P28" s="189">
        <v>15</v>
      </c>
      <c r="Q28" s="189">
        <f t="shared" si="2"/>
        <v>1.5960998724723296E-2</v>
      </c>
      <c r="R28" s="215">
        <f t="shared" si="10"/>
        <v>0.91675524108095541</v>
      </c>
      <c r="S28" s="188">
        <f t="shared" si="11"/>
        <v>916.75524108095544</v>
      </c>
      <c r="T28" s="214">
        <f t="shared" si="3"/>
        <v>25.859101283555823</v>
      </c>
      <c r="U28" s="187">
        <f t="shared" si="13"/>
        <v>1032.2819849175412</v>
      </c>
      <c r="V28" s="187">
        <f t="shared" si="4"/>
        <v>0.29246824451256725</v>
      </c>
      <c r="W28" s="186" t="s">
        <v>339</v>
      </c>
      <c r="X28" s="189">
        <f>[4]Collars!D13/1000</f>
        <v>6.9399999999999993E-5</v>
      </c>
      <c r="Y28" s="189" t="s">
        <v>340</v>
      </c>
      <c r="Z28" s="185"/>
      <c r="AC28" s="298">
        <v>49.783972314203808</v>
      </c>
      <c r="AD28" s="213">
        <v>0.51140941110997773</v>
      </c>
      <c r="AE28" s="219">
        <v>7.0229452131620226E-2</v>
      </c>
      <c r="AF28" s="265">
        <v>41.950510178191998</v>
      </c>
      <c r="AG28" s="219">
        <v>0.15881193241658209</v>
      </c>
      <c r="AH28" s="213">
        <v>0.87692010107231488</v>
      </c>
    </row>
    <row r="29" spans="1:34" ht="15.75" x14ac:dyDescent="0.5">
      <c r="A29" s="36" t="s">
        <v>370</v>
      </c>
      <c r="B29" s="37" t="s">
        <v>135</v>
      </c>
      <c r="C29" s="156">
        <f>'Collar Bodies'!B248</f>
        <v>0.12224357284090528</v>
      </c>
      <c r="D29" s="199">
        <f>'Collar Bodies'!C231</f>
        <v>6.8839999999999998E-2</v>
      </c>
      <c r="E29" s="200">
        <f t="shared" si="12"/>
        <v>340.72709374999999</v>
      </c>
      <c r="F29" s="200">
        <f t="shared" si="5"/>
        <v>0.52572251512121904</v>
      </c>
      <c r="G29" s="200">
        <f t="shared" si="0"/>
        <v>52.572251512121902</v>
      </c>
      <c r="H29" s="256">
        <f>'Collar Bodies'!B8</f>
        <v>24.407009033288684</v>
      </c>
      <c r="I29" s="220">
        <f t="shared" si="14"/>
        <v>2440.7009033288682</v>
      </c>
      <c r="J29" s="220">
        <f t="shared" si="1"/>
        <v>1708.490632330208</v>
      </c>
      <c r="K29" s="220">
        <f t="shared" si="6"/>
        <v>1.6435821498942658E-6</v>
      </c>
      <c r="L29" s="219">
        <f t="shared" si="7"/>
        <v>1.6435821498942658E-3</v>
      </c>
      <c r="M29" s="218">
        <f t="shared" si="8"/>
        <v>3.3222699342844789E-2</v>
      </c>
      <c r="N29" s="217">
        <f t="shared" si="9"/>
        <v>33.222699342844791</v>
      </c>
      <c r="O29" s="216" t="s">
        <v>334</v>
      </c>
      <c r="P29" s="215">
        <v>19</v>
      </c>
      <c r="Q29" s="215">
        <f t="shared" si="2"/>
        <v>1.6435821498942658E-3</v>
      </c>
      <c r="R29" s="215">
        <f t="shared" si="10"/>
        <v>3.4751314250379521E-2</v>
      </c>
      <c r="S29" s="254">
        <f t="shared" si="11"/>
        <v>34.751314250379522</v>
      </c>
      <c r="T29" s="214">
        <f t="shared" si="3"/>
        <v>0.98023737925691923</v>
      </c>
      <c r="U29" s="213">
        <f t="shared" si="13"/>
        <v>997.53067066716164</v>
      </c>
      <c r="V29" s="213">
        <f t="shared" si="4"/>
        <v>0.28262243104123663</v>
      </c>
      <c r="W29" s="211" t="s">
        <v>341</v>
      </c>
      <c r="X29" s="215">
        <f>[4]Collars!F13/1000</f>
        <v>5.1818181818181812E-5</v>
      </c>
      <c r="Y29" s="215" t="s">
        <v>342</v>
      </c>
      <c r="Z29" s="212"/>
      <c r="AC29" s="299">
        <v>49.830301586219989</v>
      </c>
      <c r="AD29" s="213">
        <v>0.3459516691414331</v>
      </c>
      <c r="AE29" s="219">
        <v>1.6912466963031655E-2</v>
      </c>
      <c r="AF29" s="265">
        <v>41.962290824020684</v>
      </c>
      <c r="AG29" s="219">
        <v>5.1490847099542852E-2</v>
      </c>
      <c r="AH29" s="213">
        <v>0.33044393865119215</v>
      </c>
    </row>
    <row r="30" spans="1:34" s="239" customFormat="1" ht="15.75" x14ac:dyDescent="0.5">
      <c r="A30" s="194" t="s">
        <v>369</v>
      </c>
      <c r="B30" s="193" t="s">
        <v>132</v>
      </c>
      <c r="C30" s="59">
        <v>4.4999999999999998E-2</v>
      </c>
      <c r="D30" s="198">
        <v>9.4999999999999998E-3</v>
      </c>
      <c r="E30" s="266">
        <f t="shared" si="12"/>
        <v>340.79593375000002</v>
      </c>
      <c r="F30" s="200">
        <f t="shared" si="5"/>
        <v>0.52582873132358388</v>
      </c>
      <c r="G30" s="266">
        <f t="shared" si="0"/>
        <v>52.582873132358387</v>
      </c>
      <c r="H30" s="198">
        <v>2.5133091651266217</v>
      </c>
      <c r="I30" s="198">
        <f t="shared" si="14"/>
        <v>251.33091651266218</v>
      </c>
      <c r="J30" s="198">
        <f t="shared" si="1"/>
        <v>175.9316415588635</v>
      </c>
      <c r="K30" s="198">
        <f t="shared" si="6"/>
        <v>1.5960998724723297E-5</v>
      </c>
      <c r="L30" s="192">
        <f t="shared" si="7"/>
        <v>1.5960998724723296E-2</v>
      </c>
      <c r="M30" s="218">
        <f t="shared" si="8"/>
        <v>0.32855898503647873</v>
      </c>
      <c r="N30" s="191">
        <f t="shared" si="9"/>
        <v>328.55898503647876</v>
      </c>
      <c r="O30" s="190" t="s">
        <v>343</v>
      </c>
      <c r="P30" s="189">
        <v>17</v>
      </c>
      <c r="Q30" s="189">
        <f t="shared" si="2"/>
        <v>1.5960998724723296E-2</v>
      </c>
      <c r="R30" s="215">
        <f t="shared" si="10"/>
        <v>0.91675524108095541</v>
      </c>
      <c r="S30" s="188">
        <f>R30*1000</f>
        <v>916.75524108095544</v>
      </c>
      <c r="T30" s="214">
        <f t="shared" si="3"/>
        <v>25.859101283555823</v>
      </c>
      <c r="U30" s="187">
        <f t="shared" si="13"/>
        <v>80.775429586206201</v>
      </c>
      <c r="V30" s="187">
        <f t="shared" si="4"/>
        <v>2.2885460015766256E-2</v>
      </c>
      <c r="W30" s="186" t="s">
        <v>344</v>
      </c>
      <c r="X30" s="189">
        <f>(8*PI())/(1-2*LN(X31)+((X31^2)/6))</f>
        <v>3.1256930995930423</v>
      </c>
      <c r="Y30" s="189"/>
      <c r="Z30" s="185"/>
      <c r="AC30" s="300">
        <v>49.83240094967897</v>
      </c>
      <c r="AD30" s="213">
        <v>0.34310137037012162</v>
      </c>
      <c r="AE30" s="219">
        <v>1.8187411945569106E-2</v>
      </c>
      <c r="AF30" s="265">
        <v>42.02375634363186</v>
      </c>
      <c r="AG30" s="219">
        <v>1.7819680263292229E-2</v>
      </c>
      <c r="AH30" s="213">
        <v>0.16416998442193234</v>
      </c>
    </row>
    <row r="31" spans="1:34" ht="15.75" x14ac:dyDescent="0.5">
      <c r="A31" s="36" t="s">
        <v>371</v>
      </c>
      <c r="B31" s="62" t="s">
        <v>138</v>
      </c>
      <c r="C31" s="156">
        <f>'Collar Bodies'!B309</f>
        <v>2.6605252589205661</v>
      </c>
      <c r="D31" s="199">
        <f>'Collar Bodies'!C74/2</f>
        <v>1.86384375</v>
      </c>
      <c r="E31" s="200">
        <f t="shared" si="12"/>
        <v>340.80543375000002</v>
      </c>
      <c r="F31" s="200">
        <f t="shared" si="5"/>
        <v>0.52584338928294572</v>
      </c>
      <c r="G31" s="200">
        <f t="shared" si="0"/>
        <v>52.584338928294571</v>
      </c>
      <c r="H31" s="199">
        <f>'Collar Bodies'!B312</f>
        <v>13.280593255425424</v>
      </c>
      <c r="I31" s="220">
        <f t="shared" si="14"/>
        <v>1328.0593255425424</v>
      </c>
      <c r="J31" s="220">
        <f t="shared" si="1"/>
        <v>929.64152787977969</v>
      </c>
      <c r="K31" s="220">
        <f t="shared" si="6"/>
        <v>3.0205671996643318E-6</v>
      </c>
      <c r="L31" s="219">
        <f t="shared" si="7"/>
        <v>3.020567199664332E-3</v>
      </c>
      <c r="M31" s="218">
        <f t="shared" si="8"/>
        <v>3.4899398231030155E-3</v>
      </c>
      <c r="N31" s="217">
        <f t="shared" si="9"/>
        <v>3.4899398231030156</v>
      </c>
      <c r="O31" s="216" t="s">
        <v>334</v>
      </c>
      <c r="P31" s="215">
        <v>19</v>
      </c>
      <c r="Q31" s="215">
        <f t="shared" si="2"/>
        <v>3.020567199664332E-3</v>
      </c>
      <c r="R31" s="215">
        <f t="shared" si="10"/>
        <v>2.9344517163692905E-3</v>
      </c>
      <c r="S31" s="254">
        <f t="shared" si="11"/>
        <v>2.9344517163692907</v>
      </c>
      <c r="T31" s="214">
        <f t="shared" si="3"/>
        <v>8.277267556804381E-2</v>
      </c>
      <c r="U31" s="213">
        <f t="shared" si="13"/>
        <v>77.840977869836905</v>
      </c>
      <c r="V31" s="213">
        <f t="shared" si="4"/>
        <v>2.2054065150184085E-2</v>
      </c>
      <c r="W31" s="211" t="s">
        <v>345</v>
      </c>
      <c r="X31" s="215">
        <f>(PI()*X27)/X32</f>
        <v>8.2169690216627256</v>
      </c>
      <c r="Y31" s="215"/>
      <c r="Z31" s="212"/>
      <c r="AC31" s="297">
        <v>49.888458592396908</v>
      </c>
      <c r="AD31" s="213">
        <v>0.34261346233300866</v>
      </c>
      <c r="AE31" s="219">
        <v>2.7495417355957077E-2</v>
      </c>
      <c r="AF31" s="265">
        <v>42.026315099905851</v>
      </c>
      <c r="AG31" s="219">
        <v>1.5485731915886038E-2</v>
      </c>
      <c r="AH31" s="213">
        <v>0.16052648829088703</v>
      </c>
    </row>
    <row r="32" spans="1:34" ht="15.75" x14ac:dyDescent="0.5">
      <c r="A32" s="36" t="s">
        <v>372</v>
      </c>
      <c r="B32" s="37" t="s">
        <v>139</v>
      </c>
      <c r="C32" s="156">
        <f>'Collar Bodies'!C136</f>
        <v>3.2669999999999999</v>
      </c>
      <c r="D32" s="199">
        <f>'Collar Bodies'!C327</f>
        <v>0.71225000000000005</v>
      </c>
      <c r="E32" s="200">
        <f t="shared" si="12"/>
        <v>342.66927750000002</v>
      </c>
      <c r="F32" s="200">
        <f t="shared" si="5"/>
        <v>0.528719194119182</v>
      </c>
      <c r="G32" s="200">
        <f t="shared" si="0"/>
        <v>52.871919411918199</v>
      </c>
      <c r="H32" s="256">
        <f>'Collar Bodies'!B11</f>
        <v>15.658639278998804</v>
      </c>
      <c r="I32" s="220">
        <f t="shared" si="14"/>
        <v>1565.8639278998803</v>
      </c>
      <c r="J32" s="220">
        <f t="shared" si="1"/>
        <v>1096.1047495299163</v>
      </c>
      <c r="K32" s="220">
        <f t="shared" si="6"/>
        <v>2.5618397400100453E-6</v>
      </c>
      <c r="L32" s="219">
        <f t="shared" si="7"/>
        <v>2.5618397400100452E-3</v>
      </c>
      <c r="M32" s="218">
        <f t="shared" si="8"/>
        <v>7.5013746217546316E-4</v>
      </c>
      <c r="N32" s="217">
        <f t="shared" si="9"/>
        <v>0.75013746217546318</v>
      </c>
      <c r="O32" s="216" t="s">
        <v>334</v>
      </c>
      <c r="P32" s="215">
        <v>19</v>
      </c>
      <c r="Q32" s="215">
        <f t="shared" si="2"/>
        <v>2.5618397400100452E-3</v>
      </c>
      <c r="R32" s="215">
        <f t="shared" si="10"/>
        <v>2.026789642137507E-3</v>
      </c>
      <c r="S32" s="254">
        <f t="shared" si="11"/>
        <v>2.0267896421375071</v>
      </c>
      <c r="T32" s="214">
        <f t="shared" si="3"/>
        <v>5.7170067088678285E-2</v>
      </c>
      <c r="U32" s="213">
        <f t="shared" si="13"/>
        <v>75.814188227699404</v>
      </c>
      <c r="V32" s="213">
        <f t="shared" si="4"/>
        <v>2.1479830960986681E-2</v>
      </c>
      <c r="W32" s="211" t="s">
        <v>347</v>
      </c>
      <c r="X32" s="215">
        <f>(X28*X29)/(SQRT((X28^2)+(X29^2)))</f>
        <v>4.1521023297081079E-5</v>
      </c>
      <c r="Y32" s="215"/>
      <c r="Z32" s="212"/>
      <c r="AC32" s="297">
        <v>50.226615253672911</v>
      </c>
      <c r="AD32" s="213">
        <v>0.3285924879469016</v>
      </c>
      <c r="AE32" s="219">
        <v>0.35559628550989414</v>
      </c>
      <c r="AF32" s="265">
        <v>42.064781264665683</v>
      </c>
      <c r="AG32" s="219">
        <v>2.1576195532890294E-2</v>
      </c>
      <c r="AH32" s="213">
        <v>0.15945494130501794</v>
      </c>
    </row>
    <row r="33" spans="1:34" ht="15.75" x14ac:dyDescent="0.5">
      <c r="A33" s="36" t="s">
        <v>346</v>
      </c>
      <c r="B33" s="37" t="s">
        <v>142</v>
      </c>
      <c r="C33" s="156">
        <f>Chamber!F55</f>
        <v>50.248090909090905</v>
      </c>
      <c r="D33" s="199">
        <f>Chamber!F55</f>
        <v>50.248090909090905</v>
      </c>
      <c r="E33" s="200">
        <f t="shared" si="12"/>
        <v>343.3815275</v>
      </c>
      <c r="F33" s="200">
        <f t="shared" si="5"/>
        <v>0.52981815533554422</v>
      </c>
      <c r="G33" s="200">
        <f t="shared" si="0"/>
        <v>52.981815533554425</v>
      </c>
      <c r="H33" s="199">
        <f>Chamber!B8</f>
        <v>7.3478796789562901</v>
      </c>
      <c r="I33" s="220">
        <f t="shared" si="14"/>
        <v>734.78796789562898</v>
      </c>
      <c r="J33" s="220">
        <f t="shared" si="1"/>
        <v>514.35157752694022</v>
      </c>
      <c r="K33" s="220">
        <f t="shared" si="6"/>
        <v>5.4593877597515867E-6</v>
      </c>
      <c r="L33" s="219">
        <f t="shared" si="7"/>
        <v>5.4593877597515867E-3</v>
      </c>
      <c r="M33" s="218">
        <f t="shared" si="8"/>
        <v>4.7673724585270774E-4</v>
      </c>
      <c r="N33" s="217">
        <f t="shared" si="9"/>
        <v>0.47673724585270771</v>
      </c>
      <c r="O33" s="216" t="s">
        <v>333</v>
      </c>
      <c r="P33" s="215">
        <v>15</v>
      </c>
      <c r="Q33" s="215">
        <f t="shared" si="2"/>
        <v>5.4593877597515867E-3</v>
      </c>
      <c r="R33" s="215">
        <f t="shared" si="10"/>
        <v>2.8082141798690578E-4</v>
      </c>
      <c r="S33" s="254">
        <f t="shared" si="11"/>
        <v>0.2808214179869058</v>
      </c>
      <c r="T33" s="214">
        <f t="shared" si="3"/>
        <v>7.9211867736395086E-3</v>
      </c>
      <c r="U33" s="213">
        <f t="shared" si="13"/>
        <v>75.533366809712504</v>
      </c>
      <c r="V33" s="213">
        <f t="shared" si="4"/>
        <v>2.1400268062146864E-2</v>
      </c>
      <c r="W33" s="211" t="s">
        <v>128</v>
      </c>
      <c r="X33" s="215">
        <f>(X28*X29)/(X28+X29)</f>
        <v>2.9667016649167541E-5</v>
      </c>
      <c r="Y33" s="215"/>
      <c r="Z33" s="212"/>
      <c r="AC33" s="297">
        <v>50.23720282154963</v>
      </c>
      <c r="AD33" s="213">
        <v>0.11589019574896266</v>
      </c>
      <c r="AE33" s="219">
        <v>10.835151482704052</v>
      </c>
      <c r="AF33" s="265">
        <v>42.530082765721275</v>
      </c>
      <c r="AG33" s="219">
        <v>0.21761694605646056</v>
      </c>
      <c r="AH33" s="213">
        <v>0.13841163394105668</v>
      </c>
    </row>
    <row r="34" spans="1:34" ht="15.75" x14ac:dyDescent="0.5">
      <c r="A34" s="36" t="s">
        <v>348</v>
      </c>
      <c r="B34" s="37" t="s">
        <v>145</v>
      </c>
      <c r="C34" s="156">
        <f>Apopyles!C9</f>
        <v>35.578166666666668</v>
      </c>
      <c r="D34" s="199">
        <f>Apopyles!C43</f>
        <v>3.7496</v>
      </c>
      <c r="E34" s="200">
        <f t="shared" si="12"/>
        <v>393.62961840909088</v>
      </c>
      <c r="F34" s="200">
        <f t="shared" si="5"/>
        <v>0.60734810002538275</v>
      </c>
      <c r="G34" s="200">
        <f t="shared" si="0"/>
        <v>60.734810002538275</v>
      </c>
      <c r="H34" s="199">
        <f>Apopyles!F9</f>
        <v>3.6041981195471426</v>
      </c>
      <c r="I34" s="220">
        <f t="shared" si="14"/>
        <v>360.41981195471425</v>
      </c>
      <c r="J34" s="220">
        <f t="shared" si="1"/>
        <v>252.29386836829994</v>
      </c>
      <c r="K34" s="220">
        <f t="shared" si="6"/>
        <v>1.1130055299085977E-5</v>
      </c>
      <c r="L34" s="219">
        <f t="shared" si="7"/>
        <v>1.1130055299085978E-2</v>
      </c>
      <c r="M34" s="218">
        <f t="shared" si="8"/>
        <v>1.4466712134321091E-4</v>
      </c>
      <c r="N34" s="217">
        <f t="shared" si="9"/>
        <v>0.14466712134321091</v>
      </c>
      <c r="O34" s="216" t="s">
        <v>334</v>
      </c>
      <c r="P34" s="215">
        <v>19</v>
      </c>
      <c r="Q34" s="215">
        <f t="shared" si="2"/>
        <v>1.1130055299085978E-2</v>
      </c>
      <c r="R34" s="215">
        <f t="shared" si="10"/>
        <v>8.0857369637264611E-4</v>
      </c>
      <c r="S34" s="254">
        <f t="shared" si="11"/>
        <v>0.80857369637264609</v>
      </c>
      <c r="T34" s="214">
        <f t="shared" si="3"/>
        <v>2.2807602479660075E-2</v>
      </c>
      <c r="U34" s="213">
        <f t="shared" si="13"/>
        <v>74.724793113339857</v>
      </c>
      <c r="V34" s="213">
        <f t="shared" si="4"/>
        <v>2.1171181307759655E-2</v>
      </c>
      <c r="W34" s="215"/>
      <c r="X34" s="215"/>
      <c r="Y34" s="215"/>
      <c r="Z34" s="212"/>
      <c r="AC34" s="297">
        <v>55.54362831595364</v>
      </c>
      <c r="AD34" s="213">
        <v>2.0773172196295386E-2</v>
      </c>
      <c r="AE34" s="219">
        <v>7.2157209792035548</v>
      </c>
      <c r="AF34" s="265">
        <v>42.541863411549954</v>
      </c>
      <c r="AG34" s="219">
        <v>16.949644506020775</v>
      </c>
      <c r="AH34" s="213">
        <v>0.13543988147066102</v>
      </c>
    </row>
    <row r="35" spans="1:34" ht="15.75" x14ac:dyDescent="0.5">
      <c r="A35" s="36" t="s">
        <v>349</v>
      </c>
      <c r="B35" s="37" t="s">
        <v>148</v>
      </c>
      <c r="C35" s="156">
        <f>'Excurrent Canal'!C14</f>
        <v>102.8364</v>
      </c>
      <c r="D35" s="199">
        <f>'Excurrent Canal'!C62/2</f>
        <v>214.46871428571427</v>
      </c>
      <c r="E35" s="200">
        <f t="shared" si="12"/>
        <v>397.37921840909087</v>
      </c>
      <c r="F35" s="200">
        <f t="shared" si="5"/>
        <v>0.6131335194383305</v>
      </c>
      <c r="G35" s="200">
        <f t="shared" si="0"/>
        <v>61.313351943833048</v>
      </c>
      <c r="H35" s="199">
        <f>'Excurrent Canal'!J14</f>
        <v>0.18647479531471267</v>
      </c>
      <c r="I35" s="220">
        <f t="shared" si="14"/>
        <v>18.647479531471266</v>
      </c>
      <c r="J35" s="220">
        <f t="shared" si="1"/>
        <v>13.053235672029887</v>
      </c>
      <c r="K35" s="220">
        <f t="shared" si="6"/>
        <v>2.1512250120301571E-4</v>
      </c>
      <c r="L35" s="219">
        <f t="shared" si="7"/>
        <v>0.21512250120301571</v>
      </c>
      <c r="M35" s="218">
        <f t="shared" si="8"/>
        <v>1.9143033743444605E-2</v>
      </c>
      <c r="N35" s="217">
        <f t="shared" si="9"/>
        <v>19.143033743444605</v>
      </c>
      <c r="O35" s="216" t="s">
        <v>334</v>
      </c>
      <c r="P35" s="215">
        <v>19</v>
      </c>
      <c r="Q35" s="215">
        <f t="shared" si="2"/>
        <v>0.21512250120301571</v>
      </c>
      <c r="R35" s="215">
        <f t="shared" si="10"/>
        <v>5.4068562865584244E-3</v>
      </c>
      <c r="S35" s="254">
        <f t="shared" si="11"/>
        <v>5.4068562865584244</v>
      </c>
      <c r="T35" s="214">
        <f t="shared" si="3"/>
        <v>0.15251229343928902</v>
      </c>
      <c r="U35" s="213">
        <f t="shared" si="13"/>
        <v>69.317936826781434</v>
      </c>
      <c r="V35" s="213">
        <f t="shared" si="4"/>
        <v>1.9639299719621899E-2</v>
      </c>
      <c r="W35" s="213"/>
      <c r="X35" s="215"/>
      <c r="Y35" s="215"/>
      <c r="Z35" s="212"/>
      <c r="AC35" s="297">
        <v>76.062398386441245</v>
      </c>
      <c r="AD35" s="213">
        <v>4.4717503464828447E-5</v>
      </c>
      <c r="AE35" s="219">
        <v>5.5985985137647072</v>
      </c>
      <c r="AF35" s="265">
        <v>42.553644057378641</v>
      </c>
      <c r="AG35" s="219">
        <v>3.048513583694715</v>
      </c>
      <c r="AH35" s="213">
        <v>3.2980442738812871E-2</v>
      </c>
    </row>
    <row r="36" spans="1:34" ht="15.75" x14ac:dyDescent="0.5">
      <c r="A36" s="36" t="s">
        <v>373</v>
      </c>
      <c r="B36" s="37" t="s">
        <v>150</v>
      </c>
      <c r="C36" s="156">
        <f>'Subdermal Space'!C54</f>
        <v>29.900200000000002</v>
      </c>
      <c r="D36" s="199">
        <f>'Subdermal Space'!C38</f>
        <v>36.264111111111113</v>
      </c>
      <c r="E36" s="200">
        <f t="shared" si="12"/>
        <v>611.84793269480519</v>
      </c>
      <c r="F36" s="200">
        <f t="shared" si="5"/>
        <v>0.944046540320163</v>
      </c>
      <c r="G36" s="200">
        <f t="shared" si="0"/>
        <v>94.404654032016296</v>
      </c>
      <c r="H36" s="256">
        <f>'Subdermal Space'!B26</f>
        <v>5.1245738788861198E-2</v>
      </c>
      <c r="I36" s="220">
        <f t="shared" si="14"/>
        <v>5.1245738788861201</v>
      </c>
      <c r="J36" s="220">
        <f t="shared" si="1"/>
        <v>3.5872017152202842</v>
      </c>
      <c r="K36" s="220">
        <f t="shared" si="6"/>
        <v>7.8279531776680687E-4</v>
      </c>
      <c r="L36" s="219">
        <f t="shared" si="7"/>
        <v>0.78279531776680689</v>
      </c>
      <c r="M36" s="218">
        <f t="shared" si="8"/>
        <v>0.13932587429979124</v>
      </c>
      <c r="N36" s="217">
        <f t="shared" si="9"/>
        <v>139.32587429979122</v>
      </c>
      <c r="O36" s="216" t="s">
        <v>334</v>
      </c>
      <c r="P36" s="215">
        <v>19</v>
      </c>
      <c r="Q36" s="215">
        <f t="shared" si="2"/>
        <v>0.78279531776680689</v>
      </c>
      <c r="R36" s="215">
        <f t="shared" si="10"/>
        <v>6.7667476123655548E-2</v>
      </c>
      <c r="S36" s="254">
        <f t="shared" si="11"/>
        <v>67.667476123655547</v>
      </c>
      <c r="T36" s="214">
        <f t="shared" si="3"/>
        <v>1.9087102426826308</v>
      </c>
      <c r="U36" s="213">
        <f t="shared" si="13"/>
        <v>1.6504607031258871</v>
      </c>
      <c r="V36" s="213">
        <f t="shared" si="4"/>
        <v>4.6761190404651337E-4</v>
      </c>
      <c r="W36" s="213"/>
      <c r="X36" s="215"/>
      <c r="Y36" s="215"/>
      <c r="Z36" s="212"/>
      <c r="AC36" s="297">
        <v>100</v>
      </c>
      <c r="AD36" s="213">
        <v>-6.7099972556145947E-19</v>
      </c>
      <c r="AE36" s="219">
        <v>110.40727649999999</v>
      </c>
      <c r="AF36" s="265">
        <v>68.377330208513413</v>
      </c>
      <c r="AG36" s="219">
        <v>2.88241927759299</v>
      </c>
      <c r="AH36" s="213">
        <v>4.4695874403730478E-5</v>
      </c>
    </row>
    <row r="37" spans="1:34" ht="15.75" x14ac:dyDescent="0.5">
      <c r="A37" s="36"/>
      <c r="B37" s="37" t="s">
        <v>153</v>
      </c>
      <c r="C37" s="156">
        <f>'Trumpet shape'!D7*10000</f>
        <v>23120</v>
      </c>
      <c r="D37" s="199">
        <f>'Trumpet shape'!D5*10000</f>
        <v>31570</v>
      </c>
      <c r="E37" s="200">
        <f t="shared" si="12"/>
        <v>648.1120438059163</v>
      </c>
      <c r="F37" s="200">
        <f t="shared" si="5"/>
        <v>1</v>
      </c>
      <c r="G37" s="200">
        <f t="shared" si="0"/>
        <v>100</v>
      </c>
      <c r="H37" s="220"/>
      <c r="I37" s="220"/>
      <c r="J37" s="220"/>
      <c r="K37" s="195">
        <f>B16</f>
        <v>1.476342648357048E-2</v>
      </c>
      <c r="L37" s="219">
        <f t="shared" si="7"/>
        <v>14.76342648357048</v>
      </c>
      <c r="M37" s="218">
        <f t="shared" si="8"/>
        <v>3.825963264550941E-3</v>
      </c>
      <c r="N37" s="217">
        <f t="shared" si="9"/>
        <v>3.8259632645509409</v>
      </c>
      <c r="O37" s="216" t="s">
        <v>350</v>
      </c>
      <c r="P37" s="215">
        <v>22</v>
      </c>
      <c r="Q37" s="215">
        <f t="shared" si="2"/>
        <v>14.76342648357048</v>
      </c>
      <c r="R37" s="215">
        <f t="shared" si="10"/>
        <v>1.6504607031258963E-3</v>
      </c>
      <c r="S37" s="254">
        <f t="shared" si="11"/>
        <v>1.6504607031258964</v>
      </c>
      <c r="T37" s="214">
        <f t="shared" si="3"/>
        <v>4.6554880271355265E-2</v>
      </c>
      <c r="U37" s="213">
        <f t="shared" si="13"/>
        <v>-9.3258734068513149E-15</v>
      </c>
      <c r="V37" s="213">
        <f t="shared" si="4"/>
        <v>-2.6422255388542052E-18</v>
      </c>
      <c r="W37" s="215"/>
      <c r="X37" s="215"/>
      <c r="Y37" s="215"/>
      <c r="Z37" s="212"/>
      <c r="AF37" s="265">
        <v>100</v>
      </c>
      <c r="AG37" s="219">
        <v>59.332341400000004</v>
      </c>
      <c r="AH37" s="213">
        <v>8.4322835957765238E-19</v>
      </c>
    </row>
    <row r="38" spans="1:34" ht="15.75" x14ac:dyDescent="0.5">
      <c r="A38" s="36" t="s">
        <v>154</v>
      </c>
      <c r="B38" s="37" t="s">
        <v>154</v>
      </c>
      <c r="C38" s="156">
        <f>D14*10000</f>
        <v>22231.33</v>
      </c>
      <c r="D38" s="199">
        <v>500</v>
      </c>
      <c r="E38" s="200">
        <f t="shared" ref="E38" si="15">E37+D37</f>
        <v>32218.112043805915</v>
      </c>
      <c r="F38" s="200">
        <f t="shared" si="5"/>
        <v>49.710713373896127</v>
      </c>
      <c r="G38" s="200">
        <f t="shared" ref="G38" si="16">F38*100</f>
        <v>4971.0713373896124</v>
      </c>
      <c r="H38" s="199">
        <f>(PI()*(C38/2/1000)^2)/(D16*1000)</f>
        <v>2.7171825202004013E-3</v>
      </c>
      <c r="I38" s="220">
        <f t="shared" ref="I38" si="17">H38*100</f>
        <v>0.27171825202004013</v>
      </c>
      <c r="J38" s="220">
        <f t="shared" ref="J38" si="18">I38/$D$16*100</f>
        <v>0.19020277641402808</v>
      </c>
      <c r="K38" s="195">
        <f>B16</f>
        <v>1.476342648357048E-2</v>
      </c>
      <c r="L38" s="219">
        <f t="shared" ref="L38" si="19">K38*1000</f>
        <v>14.76342648357048</v>
      </c>
      <c r="M38" s="218">
        <f t="shared" si="8"/>
        <v>6.5536159412212222E-5</v>
      </c>
      <c r="N38" s="217">
        <f t="shared" ref="N38" si="20">M38*1000</f>
        <v>6.5536159412212219E-2</v>
      </c>
      <c r="O38" s="216" t="s">
        <v>350</v>
      </c>
      <c r="P38" s="215">
        <v>23</v>
      </c>
      <c r="Q38" s="215">
        <f t="shared" ref="Q38" si="21">K38*1000</f>
        <v>14.76342648357048</v>
      </c>
      <c r="R38" s="215">
        <f t="shared" si="10"/>
        <v>1.7164358343054922E-3</v>
      </c>
      <c r="S38" s="254">
        <f t="shared" ref="S38" si="22">R38*1000</f>
        <v>1.7164358343054922</v>
      </c>
      <c r="T38" s="214">
        <f t="shared" si="3"/>
        <v>4.8415854196475587E-2</v>
      </c>
      <c r="U38" s="213">
        <f t="shared" ref="U38" si="23">U37-S38</f>
        <v>-1.7164358343055015</v>
      </c>
      <c r="V38" s="213">
        <f t="shared" ref="V38" si="24">U38/$U$23</f>
        <v>-4.8630411322919079E-4</v>
      </c>
      <c r="W38" s="208"/>
      <c r="X38" s="208"/>
      <c r="Y38" s="208"/>
      <c r="Z38" s="206"/>
    </row>
    <row r="39" spans="1:34" x14ac:dyDescent="0.45">
      <c r="N39" s="210">
        <f>SUM(N23:N37)</f>
        <v>3637.879787502347</v>
      </c>
      <c r="O39" s="209"/>
      <c r="P39" s="208"/>
      <c r="Q39" s="208">
        <f>K38*1000000</f>
        <v>14763.42648357048</v>
      </c>
      <c r="R39" s="208"/>
      <c r="S39" s="207">
        <f>SUM(S23:S37)</f>
        <v>3545.1937444706687</v>
      </c>
      <c r="T39" s="231"/>
      <c r="U39" s="231"/>
      <c r="V39" s="231"/>
      <c r="W39" s="231"/>
    </row>
    <row r="40" spans="1:34" x14ac:dyDescent="0.45">
      <c r="U40" s="236"/>
      <c r="V40" s="236"/>
      <c r="W40" s="236"/>
      <c r="X40" s="236"/>
      <c r="Y40" s="236"/>
      <c r="Z40" s="236"/>
    </row>
    <row r="41" spans="1:34" x14ac:dyDescent="0.45">
      <c r="F41" s="236"/>
      <c r="G41" s="236"/>
      <c r="H41" s="236"/>
    </row>
    <row r="42" spans="1:34" ht="15.75" x14ac:dyDescent="0.5">
      <c r="A42" t="s">
        <v>351</v>
      </c>
      <c r="C42" s="205" t="s">
        <v>352</v>
      </c>
      <c r="D42" s="204"/>
      <c r="F42" s="203"/>
      <c r="G42" s="236"/>
      <c r="H42" s="236"/>
      <c r="T42" s="231"/>
    </row>
    <row r="43" spans="1:34" x14ac:dyDescent="0.45">
      <c r="A43" s="261" t="s">
        <v>377</v>
      </c>
      <c r="C43" s="180">
        <f>J5</f>
        <v>1.453549635522617</v>
      </c>
      <c r="D43" s="204" t="s">
        <v>353</v>
      </c>
      <c r="F43" s="236"/>
      <c r="G43" s="236"/>
      <c r="H43" s="236"/>
      <c r="T43" s="231"/>
    </row>
    <row r="44" spans="1:34" x14ac:dyDescent="0.45">
      <c r="A44" t="s">
        <v>354</v>
      </c>
      <c r="C44" s="204">
        <f>(C43/44.661)*1000</f>
        <v>32.546285025472265</v>
      </c>
      <c r="D44" s="204" t="s">
        <v>355</v>
      </c>
      <c r="F44" s="236"/>
      <c r="G44" s="236"/>
      <c r="H44" s="236"/>
      <c r="T44" s="231"/>
    </row>
    <row r="45" spans="1:34" x14ac:dyDescent="0.45">
      <c r="A45" t="s">
        <v>356</v>
      </c>
      <c r="C45" s="202">
        <f>C44*(C16/1000*60*60)</f>
        <v>671.44719220864181</v>
      </c>
      <c r="D45" s="204" t="s">
        <v>357</v>
      </c>
      <c r="F45" s="235"/>
      <c r="G45" s="236"/>
      <c r="H45" s="236"/>
    </row>
    <row r="46" spans="1:34" x14ac:dyDescent="0.45">
      <c r="C46" s="204">
        <f>C45*5.333</f>
        <v>3580.8278760486869</v>
      </c>
      <c r="D46" s="204" t="s">
        <v>358</v>
      </c>
      <c r="F46" s="236"/>
      <c r="G46" s="236"/>
      <c r="H46" s="236"/>
    </row>
    <row r="47" spans="1:34" x14ac:dyDescent="0.45">
      <c r="C47" s="204"/>
      <c r="D47" s="204"/>
      <c r="F47" s="236"/>
      <c r="G47" s="235"/>
      <c r="H47" s="236"/>
    </row>
    <row r="48" spans="1:34" x14ac:dyDescent="0.45">
      <c r="C48" t="s">
        <v>359</v>
      </c>
      <c r="D48" s="201"/>
      <c r="E48" s="236"/>
      <c r="F48" t="s">
        <v>360</v>
      </c>
      <c r="G48" s="201"/>
    </row>
    <row r="49" spans="2:8" x14ac:dyDescent="0.45">
      <c r="C49" s="269">
        <f>$E$16*($F$16/1000)*($S$39/1000)*($C$17/1000/60)</f>
        <v>203.61955478730692</v>
      </c>
      <c r="D49" t="s">
        <v>361</v>
      </c>
      <c r="E49" s="236"/>
      <c r="F49" s="184">
        <f>$E$16*($F$16/1000)*($N$39/1000)*($C$17/1000/60)</f>
        <v>208.94301301763426</v>
      </c>
      <c r="G49" t="s">
        <v>361</v>
      </c>
    </row>
    <row r="50" spans="2:8" x14ac:dyDescent="0.45">
      <c r="C50" s="269">
        <f>$C$49/$C$46*100</f>
        <v>5.686382083575424</v>
      </c>
      <c r="D50" t="s">
        <v>362</v>
      </c>
      <c r="E50" s="236"/>
      <c r="F50" s="269">
        <f>$F$49/$C$46*100</f>
        <v>5.8350476551862425</v>
      </c>
      <c r="G50" t="s">
        <v>362</v>
      </c>
    </row>
    <row r="51" spans="2:8" x14ac:dyDescent="0.45">
      <c r="G51" s="200"/>
      <c r="H51" s="236"/>
    </row>
    <row r="52" spans="2:8" x14ac:dyDescent="0.45">
      <c r="G52" s="200"/>
    </row>
    <row r="53" spans="2:8" x14ac:dyDescent="0.45">
      <c r="G53" s="200"/>
    </row>
    <row r="54" spans="2:8" x14ac:dyDescent="0.45">
      <c r="B54" s="264"/>
      <c r="G54" s="200"/>
    </row>
    <row r="55" spans="2:8" x14ac:dyDescent="0.45">
      <c r="B55" s="263"/>
    </row>
    <row r="56" spans="2:8" x14ac:dyDescent="0.45">
      <c r="B56" s="265"/>
    </row>
  </sheetData>
  <mergeCells count="2">
    <mergeCell ref="AC21:AE21"/>
    <mergeCell ref="AF21:AH21"/>
  </mergeCells>
  <pageMargins left="0.7" right="0.7" top="0.75" bottom="0.75" header="0.3" footer="0.3"/>
  <pageSetup orientation="portrait" horizontalDpi="0" verticalDpi="0" r:id="rId1"/>
  <drawing r:id="rId2"/>
  <legacyDrawing r:id="rId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92D050"/>
  </sheetPr>
  <dimension ref="A1:AH54"/>
  <sheetViews>
    <sheetView topLeftCell="A27" workbookViewId="0">
      <selection activeCell="C26" sqref="C26"/>
    </sheetView>
  </sheetViews>
  <sheetFormatPr defaultColWidth="12.19921875" defaultRowHeight="14.25" x14ac:dyDescent="0.45"/>
  <cols>
    <col min="1" max="1" width="47.59765625" style="265" customWidth="1"/>
    <col min="2" max="2" width="23.53125" style="265" customWidth="1"/>
    <col min="3" max="3" width="39.06640625" style="265" customWidth="1"/>
    <col min="4" max="7" width="12.19921875" style="265"/>
    <col min="8" max="8" width="26.9296875" style="265" customWidth="1"/>
    <col min="9" max="9" width="14.796875" style="265" bestFit="1" customWidth="1"/>
    <col min="10" max="10" width="20.9296875" style="265" customWidth="1"/>
    <col min="11" max="11" width="20.33203125" style="265" customWidth="1"/>
    <col min="12" max="12" width="16.06640625" style="265" customWidth="1"/>
    <col min="13" max="13" width="13.9296875" style="265" customWidth="1"/>
    <col min="14" max="14" width="15.9296875" style="265" customWidth="1"/>
    <col min="15" max="15" width="12.19921875" style="265"/>
    <col min="16" max="16" width="14.46484375" style="265" customWidth="1"/>
    <col min="17" max="18" width="12.19921875" style="265"/>
    <col min="19" max="19" width="15" style="265" customWidth="1"/>
    <col min="20" max="20" width="18.59765625" style="265" bestFit="1" customWidth="1"/>
    <col min="21" max="21" width="15" style="265" customWidth="1"/>
    <col min="22" max="23" width="12.19921875" style="265"/>
    <col min="24" max="24" width="12.46484375" style="265" bestFit="1" customWidth="1"/>
    <col min="25" max="26" width="12.19921875" style="265"/>
    <col min="27" max="27" width="12.46484375" style="265" bestFit="1" customWidth="1"/>
    <col min="28" max="16384" width="12.19921875" style="265"/>
  </cols>
  <sheetData>
    <row r="1" spans="1:15" ht="85.5" x14ac:dyDescent="0.45">
      <c r="A1" s="310" t="s">
        <v>586</v>
      </c>
      <c r="H1" s="327" t="s">
        <v>587</v>
      </c>
      <c r="I1" s="327"/>
      <c r="J1" s="327"/>
    </row>
    <row r="2" spans="1:15" ht="21" x14ac:dyDescent="0.65">
      <c r="A2" s="241" t="s">
        <v>375</v>
      </c>
      <c r="H2" s="135"/>
      <c r="I2" s="135" t="s">
        <v>387</v>
      </c>
      <c r="J2" s="135" t="s">
        <v>388</v>
      </c>
    </row>
    <row r="3" spans="1:15" ht="15.75" x14ac:dyDescent="0.5">
      <c r="A3" s="240" t="s">
        <v>310</v>
      </c>
      <c r="H3" s="135" t="s">
        <v>572</v>
      </c>
      <c r="I3" s="324">
        <f>'[3] High vs Low Am 10-11'!$N$6</f>
        <v>3.7925473922638862</v>
      </c>
      <c r="J3" s="324">
        <f>'[3] High vs Low Am 10-11'!$L$6</f>
        <v>0.85560049698278606</v>
      </c>
    </row>
    <row r="4" spans="1:15" x14ac:dyDescent="0.45">
      <c r="A4" s="239" t="s">
        <v>311</v>
      </c>
      <c r="H4" s="135" t="s">
        <v>573</v>
      </c>
      <c r="I4" s="324">
        <f>'[3]High vs. Low Am 12-13'!$K$5</f>
        <v>2.6137250449281897</v>
      </c>
      <c r="J4" s="324">
        <f>'[3]High vs. Low Am 12-13'!$I$5</f>
        <v>0.93534438282611776</v>
      </c>
    </row>
    <row r="5" spans="1:15" x14ac:dyDescent="0.45">
      <c r="A5" s="239" t="s">
        <v>312</v>
      </c>
      <c r="H5" s="135" t="s">
        <v>27</v>
      </c>
      <c r="I5" s="324">
        <f>AVERAGE(I3:I4)</f>
        <v>3.2031362185960379</v>
      </c>
      <c r="J5" s="324">
        <f>AVERAGE(J3:J4)</f>
        <v>0.89547243990445191</v>
      </c>
    </row>
    <row r="6" spans="1:15" x14ac:dyDescent="0.45">
      <c r="A6" s="239" t="s">
        <v>313</v>
      </c>
      <c r="H6" s="62"/>
    </row>
    <row r="7" spans="1:15" x14ac:dyDescent="0.45">
      <c r="A7" s="239"/>
    </row>
    <row r="8" spans="1:15" x14ac:dyDescent="0.45">
      <c r="A8" s="239" t="s">
        <v>314</v>
      </c>
    </row>
    <row r="9" spans="1:15" ht="15.75" x14ac:dyDescent="0.5">
      <c r="A9" s="240"/>
    </row>
    <row r="10" spans="1:15" x14ac:dyDescent="0.45">
      <c r="A10" s="239" t="s">
        <v>315</v>
      </c>
    </row>
    <row r="11" spans="1:15" ht="15.75" x14ac:dyDescent="0.5">
      <c r="A11" s="240" t="s">
        <v>316</v>
      </c>
    </row>
    <row r="12" spans="1:15" ht="15.75" x14ac:dyDescent="0.5">
      <c r="A12" s="240" t="s">
        <v>317</v>
      </c>
    </row>
    <row r="13" spans="1:15" ht="16.149999999999999" thickBot="1" x14ac:dyDescent="0.55000000000000004">
      <c r="A13" s="240"/>
    </row>
    <row r="14" spans="1:15" ht="15" thickTop="1" thickBot="1" x14ac:dyDescent="0.5">
      <c r="A14" s="17" t="s">
        <v>379</v>
      </c>
      <c r="B14" s="262">
        <f>'Lauren Oscula Diameters'!J59</f>
        <v>5.6012126911111118</v>
      </c>
      <c r="C14" s="17" t="s">
        <v>378</v>
      </c>
      <c r="D14" s="262">
        <f>'Lauren Oscula Diameters'!I59</f>
        <v>2.2231330000000002</v>
      </c>
    </row>
    <row r="15" spans="1:15" ht="72" thickTop="1" x14ac:dyDescent="0.5">
      <c r="A15" s="253" t="s">
        <v>318</v>
      </c>
      <c r="B15" s="246" t="s">
        <v>179</v>
      </c>
      <c r="C15" s="246" t="s">
        <v>319</v>
      </c>
      <c r="D15" s="250" t="s">
        <v>165</v>
      </c>
      <c r="E15" s="252" t="s">
        <v>363</v>
      </c>
      <c r="F15" s="252" t="s">
        <v>364</v>
      </c>
      <c r="G15" s="251" t="s">
        <v>365</v>
      </c>
      <c r="H15" s="250" t="s">
        <v>320</v>
      </c>
      <c r="I15" s="250" t="s">
        <v>169</v>
      </c>
      <c r="J15" s="238" t="s">
        <v>321</v>
      </c>
      <c r="K15" s="249" t="s">
        <v>170</v>
      </c>
      <c r="L15" s="248" t="s">
        <v>171</v>
      </c>
      <c r="M15" s="247" t="s">
        <v>172</v>
      </c>
      <c r="N15" s="105"/>
      <c r="O15" s="236"/>
    </row>
    <row r="16" spans="1:15" ht="15.75" x14ac:dyDescent="0.5">
      <c r="A16" s="197">
        <f>'Trumpet shape'!D13</f>
        <v>35.670087325100432</v>
      </c>
      <c r="B16" s="197">
        <f>I5/100</f>
        <v>3.203136218596038E-2</v>
      </c>
      <c r="C16" s="302">
        <f>1/4*PI()*(D14^2)*(B16*100)</f>
        <v>12.433579632842809</v>
      </c>
      <c r="D16" s="197">
        <f>100/0.7</f>
        <v>142.85714285714286</v>
      </c>
      <c r="E16" s="245">
        <v>1022</v>
      </c>
      <c r="F16" s="244">
        <v>9806.65</v>
      </c>
      <c r="G16" s="243">
        <f>E16*9.81</f>
        <v>10025.82</v>
      </c>
      <c r="H16" s="257">
        <v>1.3447</v>
      </c>
      <c r="I16" s="242"/>
      <c r="J16" s="258">
        <f>'Trumpet shape'!D11</f>
        <v>21.53</v>
      </c>
      <c r="K16" s="259">
        <f>C16*60/J16</f>
        <v>34.65001291084851</v>
      </c>
      <c r="L16" s="259">
        <f>K16/60</f>
        <v>0.57750021518080852</v>
      </c>
      <c r="M16" s="260">
        <f>(C16*3600*1000000)/(L18*L19*L20)</f>
        <v>3.8921728606307111E-2</v>
      </c>
      <c r="N16" s="235"/>
      <c r="O16" s="236"/>
    </row>
    <row r="17" spans="1:34" x14ac:dyDescent="0.45">
      <c r="A17" s="37"/>
      <c r="B17" s="37"/>
      <c r="C17" s="43">
        <f>C16*60</f>
        <v>746.0147779705685</v>
      </c>
      <c r="D17" s="37"/>
      <c r="E17" s="37" t="s">
        <v>376</v>
      </c>
      <c r="G17" s="73"/>
      <c r="H17" s="255"/>
      <c r="I17" s="37"/>
      <c r="J17" s="37"/>
      <c r="K17" s="234" t="s">
        <v>322</v>
      </c>
      <c r="L17" s="322">
        <f>Chamber!B7</f>
        <v>3508.9301314860304</v>
      </c>
      <c r="M17" s="37"/>
      <c r="V17" s="43"/>
    </row>
    <row r="18" spans="1:34" x14ac:dyDescent="0.45">
      <c r="D18" s="73"/>
      <c r="E18" s="37"/>
      <c r="G18" s="73"/>
      <c r="H18" s="37"/>
      <c r="I18" s="37"/>
      <c r="J18" s="37"/>
      <c r="K18" s="233" t="s">
        <v>323</v>
      </c>
      <c r="L18" s="232">
        <f>L17*(J16*1000)</f>
        <v>75547265.730894238</v>
      </c>
      <c r="M18" s="37"/>
      <c r="R18" s="236"/>
    </row>
    <row r="19" spans="1:34" x14ac:dyDescent="0.45">
      <c r="C19" s="37"/>
      <c r="D19" s="73"/>
      <c r="E19" s="37"/>
      <c r="G19" s="73"/>
      <c r="H19" s="37"/>
      <c r="I19" s="37"/>
      <c r="J19" s="37"/>
      <c r="K19" s="233" t="s">
        <v>324</v>
      </c>
      <c r="L19" s="323">
        <f>'Collar Bodies'!B5</f>
        <v>381.62416859013723</v>
      </c>
      <c r="M19" s="52"/>
      <c r="R19" s="236"/>
      <c r="T19" s="231"/>
      <c r="U19" s="231"/>
      <c r="V19" s="231"/>
      <c r="W19" s="231"/>
      <c r="X19" s="231"/>
      <c r="Y19" s="231"/>
      <c r="Z19" s="231"/>
      <c r="AA19" s="231"/>
      <c r="AB19" s="231"/>
      <c r="AC19" s="231"/>
    </row>
    <row r="20" spans="1:34" x14ac:dyDescent="0.45">
      <c r="K20" s="230" t="s">
        <v>325</v>
      </c>
      <c r="L20" s="323">
        <f>'Collar Bodies'!C33</f>
        <v>39.888888888888886</v>
      </c>
      <c r="R20" s="236"/>
      <c r="T20" s="231"/>
      <c r="U20" s="231"/>
      <c r="V20" s="231"/>
      <c r="W20" s="231"/>
      <c r="X20" s="231"/>
      <c r="Y20" s="231"/>
      <c r="Z20" s="231"/>
      <c r="AA20" s="231"/>
      <c r="AB20" s="231"/>
      <c r="AC20" s="231"/>
    </row>
    <row r="21" spans="1:34" x14ac:dyDescent="0.45">
      <c r="R21" s="236"/>
      <c r="T21" s="231"/>
      <c r="U21" s="231"/>
      <c r="V21" s="231"/>
      <c r="W21" s="231"/>
      <c r="X21" s="231"/>
      <c r="Y21" s="231"/>
      <c r="Z21" s="231"/>
      <c r="AA21" s="231"/>
      <c r="AB21" s="231"/>
      <c r="AC21" s="325" t="s">
        <v>556</v>
      </c>
      <c r="AD21" s="325"/>
      <c r="AE21" s="325"/>
      <c r="AF21" s="326" t="s">
        <v>560</v>
      </c>
      <c r="AG21" s="326"/>
      <c r="AH21" s="326"/>
    </row>
    <row r="22" spans="1:34" s="35" customFormat="1" ht="64.150000000000006" x14ac:dyDescent="0.4">
      <c r="A22" s="229" t="s">
        <v>102</v>
      </c>
      <c r="B22" s="228" t="s">
        <v>103</v>
      </c>
      <c r="C22" s="228" t="s">
        <v>58</v>
      </c>
      <c r="D22" s="228" t="s">
        <v>104</v>
      </c>
      <c r="E22" s="228" t="s">
        <v>105</v>
      </c>
      <c r="F22" s="228" t="s">
        <v>106</v>
      </c>
      <c r="G22" s="228" t="s">
        <v>107</v>
      </c>
      <c r="H22" s="228" t="s">
        <v>108</v>
      </c>
      <c r="I22" s="228" t="s">
        <v>109</v>
      </c>
      <c r="J22" s="228" t="s">
        <v>110</v>
      </c>
      <c r="K22" s="228" t="s">
        <v>111</v>
      </c>
      <c r="L22" s="227" t="s">
        <v>559</v>
      </c>
      <c r="M22" s="226" t="s">
        <v>326</v>
      </c>
      <c r="N22" s="225" t="s">
        <v>327</v>
      </c>
      <c r="O22" s="224" t="s">
        <v>328</v>
      </c>
      <c r="P22" s="223" t="s">
        <v>329</v>
      </c>
      <c r="Q22" s="223" t="s">
        <v>559</v>
      </c>
      <c r="R22" s="223" t="s">
        <v>330</v>
      </c>
      <c r="S22" s="223" t="s">
        <v>331</v>
      </c>
      <c r="T22" s="222" t="s">
        <v>366</v>
      </c>
      <c r="U22" s="223" t="s">
        <v>332</v>
      </c>
      <c r="V22" s="223" t="s">
        <v>558</v>
      </c>
      <c r="W22" s="223"/>
      <c r="X22" s="223"/>
      <c r="Y22" s="223"/>
      <c r="Z22" s="221"/>
      <c r="AC22" s="228" t="s">
        <v>107</v>
      </c>
      <c r="AD22" s="301" t="s">
        <v>557</v>
      </c>
      <c r="AE22" s="35" t="s">
        <v>562</v>
      </c>
      <c r="AF22" s="228" t="s">
        <v>107</v>
      </c>
      <c r="AG22" s="35" t="s">
        <v>563</v>
      </c>
      <c r="AH22" s="301" t="s">
        <v>561</v>
      </c>
    </row>
    <row r="23" spans="1:34" ht="15.75" x14ac:dyDescent="0.5">
      <c r="A23" s="36" t="s">
        <v>117</v>
      </c>
      <c r="B23" s="37" t="s">
        <v>117</v>
      </c>
      <c r="C23" s="156">
        <f>Ostia!C86</f>
        <v>16.356880000000004</v>
      </c>
      <c r="D23" s="199">
        <f>Ostia!C98</f>
        <v>13.575000000000001</v>
      </c>
      <c r="E23" s="200">
        <v>0</v>
      </c>
      <c r="F23" s="200">
        <f>E23/$E$37</f>
        <v>0</v>
      </c>
      <c r="G23" s="200">
        <f t="shared" ref="G23:G38" si="0">F23*100</f>
        <v>0</v>
      </c>
      <c r="H23" s="199">
        <f>Ostia!L6</f>
        <v>0.28368372911041712</v>
      </c>
      <c r="I23" s="220">
        <f>H23*$D$16</f>
        <v>40.526247015773876</v>
      </c>
      <c r="J23" s="220">
        <f t="shared" ref="J23:J36" si="1">I23/$D$16*100</f>
        <v>28.36837291104171</v>
      </c>
      <c r="K23" s="220">
        <f>$K$38/(J23/$J$38)</f>
        <v>2.1476219447614614E-4</v>
      </c>
      <c r="L23" s="219">
        <f>K23*1000</f>
        <v>0.21476219447614614</v>
      </c>
      <c r="M23" s="218">
        <f>(8*$H$16*L23*($D23/1000))/($F$16*(($C23/1000/2)^2))</f>
        <v>4.78135999771655E-2</v>
      </c>
      <c r="N23" s="217">
        <f>M23*1000</f>
        <v>47.813599977165502</v>
      </c>
      <c r="O23" s="216" t="s">
        <v>333</v>
      </c>
      <c r="P23" s="215">
        <v>15</v>
      </c>
      <c r="Q23" s="215">
        <f t="shared" ref="Q23:Q38" si="2">K23*1000</f>
        <v>0.21476219447614614</v>
      </c>
      <c r="R23" s="215">
        <f>(6*PI()*$H$16*Q23)/($F$16*(C23/1000))</f>
        <v>3.3936200560884901E-2</v>
      </c>
      <c r="S23" s="254">
        <f>R23*1000</f>
        <v>33.936200560884899</v>
      </c>
      <c r="T23" s="214">
        <f t="shared" ref="T23:T38" si="3">S23/$S$39*100</f>
        <v>0.44138132750950371</v>
      </c>
      <c r="U23" s="213">
        <f>S39-S23</f>
        <v>7654.6991008847108</v>
      </c>
      <c r="V23" s="213">
        <f t="shared" ref="V23:V38" si="4">U23/$U$23</f>
        <v>1</v>
      </c>
      <c r="W23" s="213"/>
      <c r="X23" s="215"/>
      <c r="Y23" s="215"/>
      <c r="Z23" s="212"/>
      <c r="AC23" s="297">
        <v>0</v>
      </c>
      <c r="AD23" s="213">
        <v>1</v>
      </c>
      <c r="AE23" s="219">
        <v>6.5658271785869848</v>
      </c>
      <c r="AF23" s="265">
        <v>0</v>
      </c>
      <c r="AG23" s="219">
        <v>0.68308055269572165</v>
      </c>
      <c r="AH23" s="213">
        <v>1</v>
      </c>
    </row>
    <row r="24" spans="1:34" ht="15.75" x14ac:dyDescent="0.5">
      <c r="A24" s="36" t="s">
        <v>367</v>
      </c>
      <c r="B24" s="37" t="s">
        <v>120</v>
      </c>
      <c r="C24" s="156">
        <f>'Subdermal Space'!C54</f>
        <v>29.900200000000002</v>
      </c>
      <c r="D24" s="199">
        <f>'Subdermal Space'!C22</f>
        <v>61.362999999999992</v>
      </c>
      <c r="E24" s="200">
        <f>D23</f>
        <v>13.575000000000001</v>
      </c>
      <c r="F24" s="200">
        <f t="shared" ref="F24:F38" si="5">E24/$E$37</f>
        <v>2.0945452456466264E-2</v>
      </c>
      <c r="G24" s="200">
        <f t="shared" si="0"/>
        <v>2.0945452456466263</v>
      </c>
      <c r="H24" s="256">
        <f>'Subdermal Space'!B3</f>
        <v>8.6713617760160802E-2</v>
      </c>
      <c r="I24" s="220">
        <f>H24*$D$16</f>
        <v>12.387659680022972</v>
      </c>
      <c r="J24" s="220">
        <f t="shared" si="1"/>
        <v>8.6713617760160808</v>
      </c>
      <c r="K24" s="220">
        <f t="shared" ref="K24:K36" si="6">$K$38/(J24/$J$38)</f>
        <v>7.0259483775016206E-4</v>
      </c>
      <c r="L24" s="219">
        <f t="shared" ref="L24:L38" si="7">K24*1000</f>
        <v>0.70259483775016207</v>
      </c>
      <c r="M24" s="218">
        <f t="shared" ref="M24:M38" si="8">(8*$H$16*L24*($D24/1000))/($F$16*(($C24/1000/2)^2))</f>
        <v>0.21160116742390711</v>
      </c>
      <c r="N24" s="217">
        <f t="shared" ref="N24:N38" si="9">M24*1000</f>
        <v>211.6011674239071</v>
      </c>
      <c r="O24" s="216" t="s">
        <v>334</v>
      </c>
      <c r="P24" s="215">
        <v>21</v>
      </c>
      <c r="Q24" s="215">
        <f t="shared" si="2"/>
        <v>0.70259483775016207</v>
      </c>
      <c r="R24" s="215">
        <f t="shared" ref="R24:R38" si="10">(6*PI()*$H$16*Q24)/($F$16*(C24/1000))</f>
        <v>6.0734675245241634E-2</v>
      </c>
      <c r="S24" s="254">
        <f t="shared" ref="S24:S38" si="11">R24*1000</f>
        <v>60.734675245241633</v>
      </c>
      <c r="T24" s="214">
        <f t="shared" si="3"/>
        <v>0.78992789830755106</v>
      </c>
      <c r="U24" s="213">
        <f>U23-S24</f>
        <v>7593.9644256394695</v>
      </c>
      <c r="V24" s="213">
        <f t="shared" si="4"/>
        <v>0.99206570050046494</v>
      </c>
      <c r="W24" s="213"/>
      <c r="X24" s="215"/>
      <c r="Y24" s="215"/>
      <c r="Z24" s="212"/>
      <c r="AC24" s="297">
        <v>1.0587567876718442E-2</v>
      </c>
      <c r="AD24" s="213">
        <v>0.97927154530716942</v>
      </c>
      <c r="AE24" s="219">
        <v>5.5985985137647072</v>
      </c>
      <c r="AF24" s="265">
        <v>1.1780645828687132E-2</v>
      </c>
      <c r="AG24" s="219">
        <v>0.40112750877695535</v>
      </c>
      <c r="AH24" s="213">
        <v>0.99855143231652543</v>
      </c>
    </row>
    <row r="25" spans="1:34" ht="15.75" x14ac:dyDescent="0.5">
      <c r="A25" s="36" t="s">
        <v>335</v>
      </c>
      <c r="B25" s="52" t="s">
        <v>123</v>
      </c>
      <c r="C25" s="156">
        <f>'Incurrent Canal'!F22</f>
        <v>133.02754166666668</v>
      </c>
      <c r="D25" s="199">
        <f>'Incurrent Canal'!C61/2</f>
        <v>263.23475000000002</v>
      </c>
      <c r="E25" s="200">
        <f t="shared" ref="E25:E38" si="12">E24+D24</f>
        <v>74.937999999999988</v>
      </c>
      <c r="F25" s="200">
        <f t="shared" si="5"/>
        <v>0.11562506933205662</v>
      </c>
      <c r="G25" s="200">
        <f t="shared" si="0"/>
        <v>11.562506933205661</v>
      </c>
      <c r="H25" s="256">
        <f>'Incurrent Canal'!L21</f>
        <v>0.15881998361522648</v>
      </c>
      <c r="I25" s="220">
        <f>H25*100</f>
        <v>15.881998361522648</v>
      </c>
      <c r="J25" s="220">
        <f t="shared" si="1"/>
        <v>11.117398853065854</v>
      </c>
      <c r="K25" s="220">
        <f t="shared" si="6"/>
        <v>5.4801074429499806E-4</v>
      </c>
      <c r="L25" s="219">
        <f t="shared" si="7"/>
        <v>0.54801074429499808</v>
      </c>
      <c r="M25" s="218">
        <f t="shared" si="8"/>
        <v>3.5768758844516954E-2</v>
      </c>
      <c r="N25" s="217">
        <f t="shared" si="9"/>
        <v>35.768758844516952</v>
      </c>
      <c r="O25" s="216" t="s">
        <v>334</v>
      </c>
      <c r="P25" s="215">
        <v>19</v>
      </c>
      <c r="Q25" s="215">
        <f t="shared" si="2"/>
        <v>0.54801074429499808</v>
      </c>
      <c r="R25" s="215">
        <f t="shared" si="10"/>
        <v>1.0647640029171847E-2</v>
      </c>
      <c r="S25" s="254">
        <f t="shared" si="11"/>
        <v>10.647640029171846</v>
      </c>
      <c r="T25" s="214">
        <f t="shared" si="3"/>
        <v>0.13848543482313314</v>
      </c>
      <c r="U25" s="213">
        <f t="shared" ref="U25:U38" si="13">U24-S25</f>
        <v>7583.3167856102973</v>
      </c>
      <c r="V25" s="213">
        <f t="shared" si="4"/>
        <v>0.99067470656473444</v>
      </c>
      <c r="W25" s="213"/>
      <c r="X25" s="215"/>
      <c r="Y25" s="215"/>
      <c r="Z25" s="212"/>
      <c r="AC25" s="297">
        <v>23.94818918143547</v>
      </c>
      <c r="AD25" s="213">
        <v>0.88415452175450204</v>
      </c>
      <c r="AE25" s="219">
        <v>7.2157209792035548</v>
      </c>
      <c r="AF25" s="265">
        <v>3.0958786221618206</v>
      </c>
      <c r="AG25" s="219">
        <v>0.62339297810684036</v>
      </c>
      <c r="AH25" s="213">
        <v>0.99513582837465897</v>
      </c>
    </row>
    <row r="26" spans="1:34" ht="15.75" x14ac:dyDescent="0.5">
      <c r="A26" s="36" t="s">
        <v>338</v>
      </c>
      <c r="B26" s="54" t="s">
        <v>126</v>
      </c>
      <c r="C26" s="156">
        <f>Prosopyles!C32</f>
        <v>2.432952380952381</v>
      </c>
      <c r="D26" s="199">
        <f>Prosopyles!C49</f>
        <v>0.68100000000000005</v>
      </c>
      <c r="E26" s="200">
        <f t="shared" si="12"/>
        <v>338.17275000000001</v>
      </c>
      <c r="F26" s="200">
        <f t="shared" si="5"/>
        <v>0.52178130808084355</v>
      </c>
      <c r="G26" s="200">
        <f t="shared" si="0"/>
        <v>52.178130808084354</v>
      </c>
      <c r="H26" s="199">
        <f>Prosopyles!B7</f>
        <v>3.6639206826755406</v>
      </c>
      <c r="I26" s="220">
        <f>H26*100</f>
        <v>366.39206826755407</v>
      </c>
      <c r="J26" s="220">
        <f t="shared" si="1"/>
        <v>256.47444778728783</v>
      </c>
      <c r="K26" s="220">
        <f t="shared" si="6"/>
        <v>2.3754623794514896E-5</v>
      </c>
      <c r="L26" s="219">
        <f t="shared" si="7"/>
        <v>2.3754623794514897E-2</v>
      </c>
      <c r="M26" s="218">
        <f t="shared" si="8"/>
        <v>1.1991755326569596E-2</v>
      </c>
      <c r="N26" s="217">
        <f t="shared" si="9"/>
        <v>11.991755326569596</v>
      </c>
      <c r="O26" s="216" t="s">
        <v>334</v>
      </c>
      <c r="P26" s="215">
        <v>19</v>
      </c>
      <c r="Q26" s="215">
        <f t="shared" si="2"/>
        <v>2.3754623794514897E-2</v>
      </c>
      <c r="R26" s="215">
        <f t="shared" si="10"/>
        <v>2.5235993125625682E-2</v>
      </c>
      <c r="S26" s="254">
        <f t="shared" si="11"/>
        <v>25.235993125625683</v>
      </c>
      <c r="T26" s="214">
        <f t="shared" si="3"/>
        <v>0.32822460861007263</v>
      </c>
      <c r="U26" s="213">
        <f t="shared" si="13"/>
        <v>7558.0807924846713</v>
      </c>
      <c r="V26" s="213">
        <f t="shared" si="4"/>
        <v>0.98737790902990918</v>
      </c>
      <c r="W26" s="215" t="s">
        <v>336</v>
      </c>
      <c r="X26" s="215"/>
      <c r="Y26" s="215"/>
      <c r="Z26" s="212"/>
      <c r="AC26" s="297">
        <v>44.466959251923072</v>
      </c>
      <c r="AD26" s="213">
        <v>0.67145222955656314</v>
      </c>
      <c r="AE26" s="219">
        <v>10.835151482704052</v>
      </c>
      <c r="AF26" s="265">
        <v>24.846060912417038</v>
      </c>
      <c r="AG26" s="219">
        <v>3.2466683322456289</v>
      </c>
      <c r="AH26" s="213">
        <v>0.9343595876572427</v>
      </c>
    </row>
    <row r="27" spans="1:34" ht="15.75" x14ac:dyDescent="0.5">
      <c r="A27" s="36" t="s">
        <v>368</v>
      </c>
      <c r="B27" s="54" t="s">
        <v>129</v>
      </c>
      <c r="C27" s="156">
        <f>'Collar Bodies'!B298</f>
        <v>1.8417797619047618</v>
      </c>
      <c r="D27" s="199">
        <f>'Collar Bodies'!C74/2</f>
        <v>1.86384375</v>
      </c>
      <c r="E27" s="200">
        <f t="shared" si="12"/>
        <v>338.85374999999999</v>
      </c>
      <c r="F27" s="200">
        <f t="shared" si="5"/>
        <v>0.52283205232562102</v>
      </c>
      <c r="G27" s="200">
        <f t="shared" si="0"/>
        <v>52.283205232562104</v>
      </c>
      <c r="H27" s="199">
        <f>'Collar Bodies'!B301</f>
        <v>9.1936461801739693</v>
      </c>
      <c r="I27" s="220">
        <f>'[4]Incurrent Canals'!M28</f>
        <v>3.6651154155832066</v>
      </c>
      <c r="J27" s="220">
        <f t="shared" si="1"/>
        <v>2.5655807909082449</v>
      </c>
      <c r="K27" s="220">
        <f t="shared" si="6"/>
        <v>2.3746880401050155E-3</v>
      </c>
      <c r="L27" s="219">
        <f t="shared" si="7"/>
        <v>2.3746880401050157</v>
      </c>
      <c r="M27" s="218">
        <f t="shared" si="8"/>
        <v>5.7252622060579688</v>
      </c>
      <c r="N27" s="217">
        <f t="shared" si="9"/>
        <v>5725.2622060579688</v>
      </c>
      <c r="O27" s="216" t="s">
        <v>334</v>
      </c>
      <c r="P27" s="215">
        <v>19</v>
      </c>
      <c r="Q27" s="215">
        <f t="shared" si="2"/>
        <v>2.3746880401050157</v>
      </c>
      <c r="R27" s="215">
        <f t="shared" si="10"/>
        <v>3.3325350119955153</v>
      </c>
      <c r="S27" s="254">
        <f t="shared" si="11"/>
        <v>3332.5350119955151</v>
      </c>
      <c r="T27" s="214">
        <f t="shared" si="3"/>
        <v>43.343647882075267</v>
      </c>
      <c r="U27" s="213">
        <f t="shared" si="13"/>
        <v>4225.5457804891557</v>
      </c>
      <c r="V27" s="213">
        <f t="shared" si="4"/>
        <v>0.5520198409890178</v>
      </c>
      <c r="W27" s="211" t="s">
        <v>122</v>
      </c>
      <c r="X27" s="215">
        <f>[4]Collars!C13/1000</f>
        <v>1.086E-4</v>
      </c>
      <c r="Y27" s="215" t="s">
        <v>337</v>
      </c>
      <c r="Z27" s="212"/>
      <c r="AC27" s="297">
        <v>49.773384746327089</v>
      </c>
      <c r="AD27" s="213">
        <v>0.60404917729245289</v>
      </c>
      <c r="AE27" s="219">
        <v>1.0449495464821557</v>
      </c>
      <c r="AF27" s="265">
        <v>41.938729532363311</v>
      </c>
      <c r="AG27" s="219">
        <v>2.3900204331172401</v>
      </c>
      <c r="AH27" s="213">
        <v>0.93374882886221966</v>
      </c>
    </row>
    <row r="28" spans="1:34" s="239" customFormat="1" ht="15.75" x14ac:dyDescent="0.5">
      <c r="A28" s="194" t="s">
        <v>369</v>
      </c>
      <c r="B28" s="193" t="s">
        <v>132</v>
      </c>
      <c r="C28" s="59">
        <v>4.4999999999999998E-2</v>
      </c>
      <c r="D28" s="198">
        <v>9.4999999999999998E-3</v>
      </c>
      <c r="E28" s="266">
        <f t="shared" si="12"/>
        <v>340.71759374999999</v>
      </c>
      <c r="F28" s="200">
        <f t="shared" si="5"/>
        <v>0.52570785716185719</v>
      </c>
      <c r="G28" s="266">
        <f t="shared" si="0"/>
        <v>52.570785716185718</v>
      </c>
      <c r="H28" s="198">
        <v>2.5133091651266217</v>
      </c>
      <c r="I28" s="198">
        <f t="shared" ref="I28:I36" si="14">H28*100</f>
        <v>251.33091651266218</v>
      </c>
      <c r="J28" s="198">
        <f t="shared" si="1"/>
        <v>175.9316415588635</v>
      </c>
      <c r="K28" s="198">
        <f t="shared" si="6"/>
        <v>3.4629666193699168E-5</v>
      </c>
      <c r="L28" s="192">
        <f>K28*1000</f>
        <v>3.4629666193699164E-2</v>
      </c>
      <c r="M28" s="218">
        <f t="shared" si="8"/>
        <v>0.71285564099004139</v>
      </c>
      <c r="N28" s="191">
        <f t="shared" si="9"/>
        <v>712.85564099004137</v>
      </c>
      <c r="O28" s="190" t="s">
        <v>333</v>
      </c>
      <c r="P28" s="189">
        <v>15</v>
      </c>
      <c r="Q28" s="189">
        <f t="shared" si="2"/>
        <v>3.4629666193699164E-2</v>
      </c>
      <c r="R28" s="215">
        <f t="shared" si="10"/>
        <v>1.9890314213722904</v>
      </c>
      <c r="S28" s="188">
        <f t="shared" si="11"/>
        <v>1989.0314213722904</v>
      </c>
      <c r="T28" s="214">
        <f t="shared" si="3"/>
        <v>25.869758980482771</v>
      </c>
      <c r="U28" s="187">
        <f t="shared" si="13"/>
        <v>2236.5143591168653</v>
      </c>
      <c r="V28" s="187">
        <f t="shared" si="4"/>
        <v>0.29217534610320273</v>
      </c>
      <c r="W28" s="186" t="s">
        <v>339</v>
      </c>
      <c r="X28" s="189">
        <f>[4]Collars!D13/1000</f>
        <v>6.9399999999999993E-5</v>
      </c>
      <c r="Y28" s="189" t="s">
        <v>340</v>
      </c>
      <c r="Z28" s="185"/>
      <c r="AC28" s="298">
        <v>49.783972314203808</v>
      </c>
      <c r="AD28" s="213">
        <v>0.51140941110997773</v>
      </c>
      <c r="AE28" s="219">
        <v>7.0229452131620226E-2</v>
      </c>
      <c r="AF28" s="265">
        <v>41.950510178191998</v>
      </c>
      <c r="AG28" s="219">
        <v>0.15881193241658209</v>
      </c>
      <c r="AH28" s="213">
        <v>0.87692010107231488</v>
      </c>
    </row>
    <row r="29" spans="1:34" ht="15.75" x14ac:dyDescent="0.5">
      <c r="A29" s="36" t="s">
        <v>370</v>
      </c>
      <c r="B29" s="37" t="s">
        <v>135</v>
      </c>
      <c r="C29" s="156">
        <f>'Collar Bodies'!B248</f>
        <v>0.12224357284090528</v>
      </c>
      <c r="D29" s="199">
        <f>'Collar Bodies'!C231</f>
        <v>6.8839999999999998E-2</v>
      </c>
      <c r="E29" s="200">
        <f t="shared" si="12"/>
        <v>340.72709374999999</v>
      </c>
      <c r="F29" s="200">
        <f t="shared" si="5"/>
        <v>0.52572251512121904</v>
      </c>
      <c r="G29" s="200">
        <f t="shared" si="0"/>
        <v>52.572251512121902</v>
      </c>
      <c r="H29" s="256">
        <f>'Collar Bodies'!B8</f>
        <v>24.407009033288684</v>
      </c>
      <c r="I29" s="220">
        <f t="shared" si="14"/>
        <v>2440.7009033288682</v>
      </c>
      <c r="J29" s="220">
        <f t="shared" si="1"/>
        <v>1708.490632330208</v>
      </c>
      <c r="K29" s="220">
        <f t="shared" si="6"/>
        <v>3.5659862013896361E-6</v>
      </c>
      <c r="L29" s="219">
        <f t="shared" si="7"/>
        <v>3.565986201389636E-3</v>
      </c>
      <c r="M29" s="218">
        <f t="shared" si="8"/>
        <v>7.2081390904082596E-2</v>
      </c>
      <c r="N29" s="217">
        <f t="shared" si="9"/>
        <v>72.081390904082596</v>
      </c>
      <c r="O29" s="216" t="s">
        <v>334</v>
      </c>
      <c r="P29" s="215">
        <v>19</v>
      </c>
      <c r="Q29" s="215">
        <f t="shared" si="2"/>
        <v>3.565986201389636E-3</v>
      </c>
      <c r="R29" s="215">
        <f t="shared" si="10"/>
        <v>7.5397939254195787E-2</v>
      </c>
      <c r="S29" s="254">
        <f t="shared" si="11"/>
        <v>75.397939254195791</v>
      </c>
      <c r="T29" s="214">
        <f t="shared" si="3"/>
        <v>0.98064137910169424</v>
      </c>
      <c r="U29" s="213">
        <f t="shared" si="13"/>
        <v>2161.1164198626693</v>
      </c>
      <c r="V29" s="213">
        <f t="shared" si="4"/>
        <v>0.28232545673975518</v>
      </c>
      <c r="W29" s="211" t="s">
        <v>341</v>
      </c>
      <c r="X29" s="215">
        <f>[4]Collars!F13/1000</f>
        <v>5.1818181818181812E-5</v>
      </c>
      <c r="Y29" s="215" t="s">
        <v>342</v>
      </c>
      <c r="Z29" s="212"/>
      <c r="AC29" s="299">
        <v>49.830301586219989</v>
      </c>
      <c r="AD29" s="213">
        <v>0.3459516691414331</v>
      </c>
      <c r="AE29" s="219">
        <v>1.6912466963031655E-2</v>
      </c>
      <c r="AF29" s="265">
        <v>41.962290824020684</v>
      </c>
      <c r="AG29" s="219">
        <v>5.1490847099542852E-2</v>
      </c>
      <c r="AH29" s="213">
        <v>0.33044393865119215</v>
      </c>
    </row>
    <row r="30" spans="1:34" s="239" customFormat="1" ht="15.75" x14ac:dyDescent="0.5">
      <c r="A30" s="194" t="s">
        <v>369</v>
      </c>
      <c r="B30" s="193" t="s">
        <v>132</v>
      </c>
      <c r="C30" s="59">
        <v>4.4999999999999998E-2</v>
      </c>
      <c r="D30" s="198">
        <v>9.4999999999999998E-3</v>
      </c>
      <c r="E30" s="266">
        <f t="shared" si="12"/>
        <v>340.79593375000002</v>
      </c>
      <c r="F30" s="200">
        <f t="shared" si="5"/>
        <v>0.52582873132358388</v>
      </c>
      <c r="G30" s="266">
        <f t="shared" si="0"/>
        <v>52.582873132358387</v>
      </c>
      <c r="H30" s="198">
        <v>2.5133091651266217</v>
      </c>
      <c r="I30" s="198">
        <f t="shared" si="14"/>
        <v>251.33091651266218</v>
      </c>
      <c r="J30" s="198">
        <f t="shared" si="1"/>
        <v>175.9316415588635</v>
      </c>
      <c r="K30" s="198">
        <f t="shared" si="6"/>
        <v>3.4629666193699168E-5</v>
      </c>
      <c r="L30" s="192">
        <f t="shared" si="7"/>
        <v>3.4629666193699164E-2</v>
      </c>
      <c r="M30" s="218">
        <f t="shared" si="8"/>
        <v>0.71285564099004139</v>
      </c>
      <c r="N30" s="191">
        <f t="shared" si="9"/>
        <v>712.85564099004137</v>
      </c>
      <c r="O30" s="190" t="s">
        <v>343</v>
      </c>
      <c r="P30" s="189">
        <v>17</v>
      </c>
      <c r="Q30" s="189">
        <f t="shared" si="2"/>
        <v>3.4629666193699164E-2</v>
      </c>
      <c r="R30" s="215">
        <f t="shared" si="10"/>
        <v>1.9890314213722904</v>
      </c>
      <c r="S30" s="188">
        <f>R30*1000</f>
        <v>1989.0314213722904</v>
      </c>
      <c r="T30" s="214">
        <f t="shared" si="3"/>
        <v>25.869758980482771</v>
      </c>
      <c r="U30" s="187">
        <f t="shared" si="13"/>
        <v>172.08499849037889</v>
      </c>
      <c r="V30" s="187">
        <f t="shared" si="4"/>
        <v>2.2480961853940117E-2</v>
      </c>
      <c r="W30" s="186" t="s">
        <v>344</v>
      </c>
      <c r="X30" s="189">
        <f>(8*PI())/(1-2*LN(X31)+((X31^2)/6))</f>
        <v>3.1256930995930423</v>
      </c>
      <c r="Y30" s="189"/>
      <c r="Z30" s="185"/>
      <c r="AC30" s="300">
        <v>49.83240094967897</v>
      </c>
      <c r="AD30" s="213">
        <v>0.34310137037012162</v>
      </c>
      <c r="AE30" s="219">
        <v>1.8187411945569106E-2</v>
      </c>
      <c r="AF30" s="265">
        <v>42.02375634363186</v>
      </c>
      <c r="AG30" s="219">
        <v>1.7819680263292229E-2</v>
      </c>
      <c r="AH30" s="213">
        <v>0.16416998442193234</v>
      </c>
    </row>
    <row r="31" spans="1:34" ht="15.75" x14ac:dyDescent="0.5">
      <c r="A31" s="36" t="s">
        <v>371</v>
      </c>
      <c r="B31" s="62" t="s">
        <v>138</v>
      </c>
      <c r="C31" s="156">
        <f>'Collar Bodies'!B309</f>
        <v>2.6605252589205661</v>
      </c>
      <c r="D31" s="199">
        <f>'Collar Bodies'!C74/2</f>
        <v>1.86384375</v>
      </c>
      <c r="E31" s="200">
        <f t="shared" si="12"/>
        <v>340.80543375000002</v>
      </c>
      <c r="F31" s="200">
        <f t="shared" si="5"/>
        <v>0.52584338928294572</v>
      </c>
      <c r="G31" s="200">
        <f t="shared" si="0"/>
        <v>52.584338928294571</v>
      </c>
      <c r="H31" s="199">
        <f>'Collar Bodies'!B312</f>
        <v>13.280593255425424</v>
      </c>
      <c r="I31" s="220">
        <f t="shared" si="14"/>
        <v>1328.0593255425424</v>
      </c>
      <c r="J31" s="220">
        <f t="shared" si="1"/>
        <v>929.64152787977969</v>
      </c>
      <c r="K31" s="220">
        <f t="shared" si="6"/>
        <v>6.5535519201556646E-6</v>
      </c>
      <c r="L31" s="219">
        <f t="shared" si="7"/>
        <v>6.5535519201556647E-3</v>
      </c>
      <c r="M31" s="218">
        <f t="shared" si="8"/>
        <v>7.5719228598741788E-3</v>
      </c>
      <c r="N31" s="217">
        <f t="shared" si="9"/>
        <v>7.5719228598741788</v>
      </c>
      <c r="O31" s="216" t="s">
        <v>334</v>
      </c>
      <c r="P31" s="215">
        <v>19</v>
      </c>
      <c r="Q31" s="215">
        <f t="shared" si="2"/>
        <v>6.5535519201556647E-3</v>
      </c>
      <c r="R31" s="215">
        <f t="shared" si="10"/>
        <v>6.3667120806162334E-3</v>
      </c>
      <c r="S31" s="254">
        <f t="shared" si="11"/>
        <v>6.3667120806162334</v>
      </c>
      <c r="T31" s="214">
        <f t="shared" si="3"/>
        <v>8.2806789904824624E-2</v>
      </c>
      <c r="U31" s="213">
        <f t="shared" si="13"/>
        <v>165.71828640976267</v>
      </c>
      <c r="V31" s="213">
        <f t="shared" si="4"/>
        <v>2.1649222814076306E-2</v>
      </c>
      <c r="W31" s="211" t="s">
        <v>345</v>
      </c>
      <c r="X31" s="215">
        <f>(PI()*X27)/X32</f>
        <v>8.2169690216627256</v>
      </c>
      <c r="Y31" s="215"/>
      <c r="Z31" s="212"/>
      <c r="AC31" s="297">
        <v>49.888458592396908</v>
      </c>
      <c r="AD31" s="213">
        <v>0.34261346233300866</v>
      </c>
      <c r="AE31" s="219">
        <v>2.7495417355957077E-2</v>
      </c>
      <c r="AF31" s="265">
        <v>42.026315099905851</v>
      </c>
      <c r="AG31" s="219">
        <v>1.5485731915886038E-2</v>
      </c>
      <c r="AH31" s="213">
        <v>0.16052648829088703</v>
      </c>
    </row>
    <row r="32" spans="1:34" ht="15.75" x14ac:dyDescent="0.5">
      <c r="A32" s="36" t="s">
        <v>372</v>
      </c>
      <c r="B32" s="37" t="s">
        <v>139</v>
      </c>
      <c r="C32" s="156">
        <f>'Collar Bodies'!C120</f>
        <v>11.693470588235295</v>
      </c>
      <c r="D32" s="199">
        <f>'Collar Bodies'!C327</f>
        <v>0.71225000000000005</v>
      </c>
      <c r="E32" s="200">
        <f t="shared" si="12"/>
        <v>342.66927750000002</v>
      </c>
      <c r="F32" s="200">
        <f t="shared" si="5"/>
        <v>0.528719194119182</v>
      </c>
      <c r="G32" s="200">
        <f t="shared" si="0"/>
        <v>52.871919411918199</v>
      </c>
      <c r="H32" s="256">
        <f>'Collar Bodies'!B11</f>
        <v>15.658639278998804</v>
      </c>
      <c r="I32" s="220">
        <f t="shared" si="14"/>
        <v>1565.8639278998803</v>
      </c>
      <c r="J32" s="220">
        <f t="shared" si="1"/>
        <v>1096.1047495299163</v>
      </c>
      <c r="K32" s="220">
        <f t="shared" si="6"/>
        <v>5.5582771835500494E-6</v>
      </c>
      <c r="L32" s="219">
        <f t="shared" si="7"/>
        <v>5.5582771835500496E-3</v>
      </c>
      <c r="M32" s="218">
        <f t="shared" si="8"/>
        <v>1.2704000755032398E-4</v>
      </c>
      <c r="N32" s="217">
        <f t="shared" si="9"/>
        <v>0.12704000755032396</v>
      </c>
      <c r="O32" s="216" t="s">
        <v>334</v>
      </c>
      <c r="P32" s="215">
        <v>19</v>
      </c>
      <c r="Q32" s="215">
        <f t="shared" si="2"/>
        <v>5.5582771835500496E-3</v>
      </c>
      <c r="R32" s="215">
        <f t="shared" si="10"/>
        <v>1.2285776921768317E-3</v>
      </c>
      <c r="S32" s="254">
        <f t="shared" si="11"/>
        <v>1.2285776921768317</v>
      </c>
      <c r="T32" s="214">
        <f t="shared" si="3"/>
        <v>1.5979138611839711E-2</v>
      </c>
      <c r="U32" s="213">
        <f t="shared" si="13"/>
        <v>164.48970871758584</v>
      </c>
      <c r="V32" s="213">
        <f t="shared" si="4"/>
        <v>2.1488723011799972E-2</v>
      </c>
      <c r="W32" s="211" t="s">
        <v>347</v>
      </c>
      <c r="X32" s="215">
        <f>(X28*X29)/(SQRT((X28^2)+(X29^2)))</f>
        <v>4.1521023297081079E-5</v>
      </c>
      <c r="Y32" s="215"/>
      <c r="Z32" s="212"/>
      <c r="AC32" s="297">
        <v>50.226615253672911</v>
      </c>
      <c r="AD32" s="213">
        <v>0.3285924879469016</v>
      </c>
      <c r="AE32" s="219">
        <v>0.35559628550989414</v>
      </c>
      <c r="AF32" s="265">
        <v>42.064781264665683</v>
      </c>
      <c r="AG32" s="219">
        <v>2.1576195532890294E-2</v>
      </c>
      <c r="AH32" s="213">
        <v>0.15945494130501794</v>
      </c>
    </row>
    <row r="33" spans="1:34" ht="15.75" x14ac:dyDescent="0.5">
      <c r="A33" s="36" t="s">
        <v>346</v>
      </c>
      <c r="B33" s="37" t="s">
        <v>142</v>
      </c>
      <c r="C33" s="156">
        <f>Chamber!F55</f>
        <v>50.248090909090905</v>
      </c>
      <c r="D33" s="199">
        <f>Chamber!F55</f>
        <v>50.248090909090905</v>
      </c>
      <c r="E33" s="200">
        <f t="shared" si="12"/>
        <v>343.3815275</v>
      </c>
      <c r="F33" s="200">
        <f t="shared" si="5"/>
        <v>0.52981815533554422</v>
      </c>
      <c r="G33" s="200">
        <f t="shared" si="0"/>
        <v>52.981815533554425</v>
      </c>
      <c r="H33" s="199">
        <f>Chamber!B8</f>
        <v>7.3478796789562901</v>
      </c>
      <c r="I33" s="220">
        <f t="shared" si="14"/>
        <v>734.78796789562898</v>
      </c>
      <c r="J33" s="220">
        <f t="shared" si="1"/>
        <v>514.35157752694022</v>
      </c>
      <c r="K33" s="220">
        <f t="shared" si="6"/>
        <v>1.1844921423953192E-5</v>
      </c>
      <c r="L33" s="219">
        <f t="shared" si="7"/>
        <v>1.1844921423953192E-2</v>
      </c>
      <c r="M33" s="218">
        <f t="shared" si="8"/>
        <v>1.0343495398198502E-3</v>
      </c>
      <c r="N33" s="217">
        <f t="shared" si="9"/>
        <v>1.0343495398198501</v>
      </c>
      <c r="O33" s="216" t="s">
        <v>333</v>
      </c>
      <c r="P33" s="215">
        <v>15</v>
      </c>
      <c r="Q33" s="215">
        <f t="shared" si="2"/>
        <v>1.1844921423953192E-2</v>
      </c>
      <c r="R33" s="215">
        <f t="shared" si="10"/>
        <v>6.0928217166412969E-4</v>
      </c>
      <c r="S33" s="254">
        <f t="shared" si="11"/>
        <v>0.60928217166412968</v>
      </c>
      <c r="T33" s="214">
        <f t="shared" si="3"/>
        <v>7.9244514504358682E-3</v>
      </c>
      <c r="U33" s="213">
        <f t="shared" si="13"/>
        <v>163.88042654592172</v>
      </c>
      <c r="V33" s="213">
        <f t="shared" si="4"/>
        <v>2.1409127176139534E-2</v>
      </c>
      <c r="W33" s="211" t="s">
        <v>128</v>
      </c>
      <c r="X33" s="215">
        <f>(X28*X29)/(X28+X29)</f>
        <v>2.9667016649167541E-5</v>
      </c>
      <c r="Y33" s="215"/>
      <c r="Z33" s="212"/>
      <c r="AC33" s="297">
        <v>50.23720282154963</v>
      </c>
      <c r="AD33" s="213">
        <v>0.11589019574896266</v>
      </c>
      <c r="AE33" s="219">
        <v>10.835151482704052</v>
      </c>
      <c r="AF33" s="265">
        <v>42.530082765721275</v>
      </c>
      <c r="AG33" s="219">
        <v>0.21761694605646056</v>
      </c>
      <c r="AH33" s="213">
        <v>0.13841163394105668</v>
      </c>
    </row>
    <row r="34" spans="1:34" ht="15.75" x14ac:dyDescent="0.5">
      <c r="A34" s="36" t="s">
        <v>348</v>
      </c>
      <c r="B34" s="37" t="s">
        <v>145</v>
      </c>
      <c r="C34" s="156">
        <f>Apopyles!C9</f>
        <v>35.578166666666668</v>
      </c>
      <c r="D34" s="199">
        <f>Apopyles!C43</f>
        <v>3.7496</v>
      </c>
      <c r="E34" s="200">
        <f t="shared" si="12"/>
        <v>393.62961840909088</v>
      </c>
      <c r="F34" s="200">
        <f t="shared" si="5"/>
        <v>0.60734810002538275</v>
      </c>
      <c r="G34" s="200">
        <f t="shared" si="0"/>
        <v>60.734810002538275</v>
      </c>
      <c r="H34" s="199">
        <f>Apopyles!F9</f>
        <v>3.6041981195471426</v>
      </c>
      <c r="I34" s="220">
        <f t="shared" si="14"/>
        <v>360.41981195471425</v>
      </c>
      <c r="J34" s="220">
        <f t="shared" si="1"/>
        <v>252.29386836829994</v>
      </c>
      <c r="K34" s="220">
        <f t="shared" si="6"/>
        <v>2.4148244503505648E-5</v>
      </c>
      <c r="L34" s="219">
        <f t="shared" si="7"/>
        <v>2.4148244503505646E-2</v>
      </c>
      <c r="M34" s="218">
        <f t="shared" si="8"/>
        <v>3.1387598030182889E-4</v>
      </c>
      <c r="N34" s="217">
        <f t="shared" si="9"/>
        <v>0.31387598030182889</v>
      </c>
      <c r="O34" s="216" t="s">
        <v>334</v>
      </c>
      <c r="P34" s="215">
        <v>19</v>
      </c>
      <c r="Q34" s="215">
        <f t="shared" si="2"/>
        <v>2.4148244503505646E-2</v>
      </c>
      <c r="R34" s="215">
        <f t="shared" si="10"/>
        <v>1.7543161102455151E-3</v>
      </c>
      <c r="S34" s="254">
        <f t="shared" si="11"/>
        <v>1.7543161102455151</v>
      </c>
      <c r="T34" s="214">
        <f t="shared" si="3"/>
        <v>2.2817002516892348E-2</v>
      </c>
      <c r="U34" s="213">
        <f t="shared" si="13"/>
        <v>162.1261104356762</v>
      </c>
      <c r="V34" s="213">
        <f t="shared" si="4"/>
        <v>2.1179945586226646E-2</v>
      </c>
      <c r="W34" s="215"/>
      <c r="X34" s="215"/>
      <c r="Y34" s="215"/>
      <c r="Z34" s="212"/>
      <c r="AC34" s="297">
        <v>55.54362831595364</v>
      </c>
      <c r="AD34" s="213">
        <v>2.0773172196295386E-2</v>
      </c>
      <c r="AE34" s="219">
        <v>7.2157209792035548</v>
      </c>
      <c r="AF34" s="265">
        <v>42.541863411549954</v>
      </c>
      <c r="AG34" s="219">
        <v>16.949644506020775</v>
      </c>
      <c r="AH34" s="213">
        <v>0.13543988147066102</v>
      </c>
    </row>
    <row r="35" spans="1:34" ht="15.75" x14ac:dyDescent="0.5">
      <c r="A35" s="36" t="s">
        <v>349</v>
      </c>
      <c r="B35" s="37" t="s">
        <v>148</v>
      </c>
      <c r="C35" s="156">
        <f>'Excurrent Canal'!C14</f>
        <v>102.8364</v>
      </c>
      <c r="D35" s="199">
        <f>'Excurrent Canal'!C62/2</f>
        <v>214.46871428571427</v>
      </c>
      <c r="E35" s="200">
        <f t="shared" si="12"/>
        <v>397.37921840909087</v>
      </c>
      <c r="F35" s="200">
        <f t="shared" si="5"/>
        <v>0.6131335194383305</v>
      </c>
      <c r="G35" s="200">
        <f t="shared" si="0"/>
        <v>61.313351943833048</v>
      </c>
      <c r="H35" s="199">
        <f>'Excurrent Canal'!J14</f>
        <v>0.18647479531471267</v>
      </c>
      <c r="I35" s="220">
        <f t="shared" si="14"/>
        <v>18.647479531471266</v>
      </c>
      <c r="J35" s="220">
        <f t="shared" si="1"/>
        <v>13.053235672029887</v>
      </c>
      <c r="K35" s="220">
        <f t="shared" si="6"/>
        <v>4.6673898895028138E-4</v>
      </c>
      <c r="L35" s="219">
        <f t="shared" si="7"/>
        <v>0.46673898895028137</v>
      </c>
      <c r="M35" s="218">
        <f t="shared" si="8"/>
        <v>4.1533545607228183E-2</v>
      </c>
      <c r="N35" s="217">
        <f t="shared" si="9"/>
        <v>41.533545607228184</v>
      </c>
      <c r="O35" s="216" t="s">
        <v>334</v>
      </c>
      <c r="P35" s="215">
        <v>19</v>
      </c>
      <c r="Q35" s="215">
        <f t="shared" si="2"/>
        <v>0.46673898895028137</v>
      </c>
      <c r="R35" s="215">
        <f t="shared" si="10"/>
        <v>1.1730946890609948E-2</v>
      </c>
      <c r="S35" s="254">
        <f t="shared" si="11"/>
        <v>11.730946890609948</v>
      </c>
      <c r="T35" s="214">
        <f t="shared" si="3"/>
        <v>0.15257515060448151</v>
      </c>
      <c r="U35" s="213">
        <f t="shared" si="13"/>
        <v>150.39516354506625</v>
      </c>
      <c r="V35" s="213">
        <f t="shared" si="4"/>
        <v>1.9647429841844987E-2</v>
      </c>
      <c r="W35" s="213"/>
      <c r="X35" s="215"/>
      <c r="Y35" s="215"/>
      <c r="Z35" s="212"/>
      <c r="AC35" s="297">
        <v>76.062398386441245</v>
      </c>
      <c r="AD35" s="213">
        <v>4.4717503464828447E-5</v>
      </c>
      <c r="AE35" s="219">
        <v>5.5985985137647072</v>
      </c>
      <c r="AF35" s="265">
        <v>42.553644057378641</v>
      </c>
      <c r="AG35" s="219">
        <v>3.048513583694715</v>
      </c>
      <c r="AH35" s="213">
        <v>3.2980442738812871E-2</v>
      </c>
    </row>
    <row r="36" spans="1:34" ht="15.75" x14ac:dyDescent="0.5">
      <c r="A36" s="36" t="s">
        <v>373</v>
      </c>
      <c r="B36" s="37" t="s">
        <v>150</v>
      </c>
      <c r="C36" s="156">
        <f>'Subdermal Space'!C54</f>
        <v>29.900200000000002</v>
      </c>
      <c r="D36" s="199">
        <f>'Subdermal Space'!C38</f>
        <v>36.264111111111113</v>
      </c>
      <c r="E36" s="200">
        <f t="shared" si="12"/>
        <v>611.84793269480519</v>
      </c>
      <c r="F36" s="200">
        <f t="shared" si="5"/>
        <v>0.944046540320163</v>
      </c>
      <c r="G36" s="200">
        <f t="shared" si="0"/>
        <v>94.404654032016296</v>
      </c>
      <c r="H36" s="256">
        <f>'Subdermal Space'!B26</f>
        <v>5.1245738788861198E-2</v>
      </c>
      <c r="I36" s="220">
        <f t="shared" si="14"/>
        <v>5.1245738788861201</v>
      </c>
      <c r="J36" s="220">
        <f t="shared" si="1"/>
        <v>3.5872017152202842</v>
      </c>
      <c r="K36" s="220">
        <f t="shared" si="6"/>
        <v>1.6983862363365446E-3</v>
      </c>
      <c r="L36" s="219">
        <f t="shared" si="7"/>
        <v>1.6983862363365445</v>
      </c>
      <c r="M36" s="218">
        <f t="shared" si="8"/>
        <v>0.30228738203415295</v>
      </c>
      <c r="N36" s="217">
        <f t="shared" si="9"/>
        <v>302.28738203415293</v>
      </c>
      <c r="O36" s="216" t="s">
        <v>334</v>
      </c>
      <c r="P36" s="215">
        <v>19</v>
      </c>
      <c r="Q36" s="215">
        <f t="shared" si="2"/>
        <v>1.6983862363365445</v>
      </c>
      <c r="R36" s="215">
        <f t="shared" si="10"/>
        <v>0.14681425334008502</v>
      </c>
      <c r="S36" s="254">
        <f t="shared" si="11"/>
        <v>146.81425334008503</v>
      </c>
      <c r="T36" s="214">
        <f t="shared" si="3"/>
        <v>1.9094969078905515</v>
      </c>
      <c r="U36" s="213">
        <f t="shared" si="13"/>
        <v>3.5809102049812225</v>
      </c>
      <c r="V36" s="213">
        <f t="shared" si="4"/>
        <v>4.6780548233010881E-4</v>
      </c>
      <c r="W36" s="213"/>
      <c r="X36" s="215"/>
      <c r="Y36" s="215"/>
      <c r="Z36" s="212"/>
      <c r="AC36" s="297">
        <v>100</v>
      </c>
      <c r="AD36" s="213">
        <v>-6.7099972556145947E-19</v>
      </c>
      <c r="AE36" s="219">
        <v>110.40727649999999</v>
      </c>
      <c r="AF36" s="265">
        <v>68.377330208513413</v>
      </c>
      <c r="AG36" s="219">
        <v>2.88241927759299</v>
      </c>
      <c r="AH36" s="213">
        <v>4.4695874403730478E-5</v>
      </c>
    </row>
    <row r="37" spans="1:34" ht="15.75" x14ac:dyDescent="0.5">
      <c r="A37" s="36"/>
      <c r="B37" s="37" t="s">
        <v>153</v>
      </c>
      <c r="C37" s="156">
        <f>'Trumpet shape'!D7*10000</f>
        <v>23120</v>
      </c>
      <c r="D37" s="199">
        <f>'Trumpet shape'!D5*10000</f>
        <v>31570</v>
      </c>
      <c r="E37" s="200">
        <f t="shared" si="12"/>
        <v>648.1120438059163</v>
      </c>
      <c r="F37" s="200">
        <f t="shared" si="5"/>
        <v>1</v>
      </c>
      <c r="G37" s="200">
        <f t="shared" si="0"/>
        <v>100</v>
      </c>
      <c r="H37" s="220"/>
      <c r="I37" s="220"/>
      <c r="J37" s="220"/>
      <c r="K37" s="195">
        <f>B16</f>
        <v>3.203136218596038E-2</v>
      </c>
      <c r="L37" s="219">
        <f t="shared" si="7"/>
        <v>32.031362185960383</v>
      </c>
      <c r="M37" s="218">
        <f t="shared" si="8"/>
        <v>8.3009737050806984E-3</v>
      </c>
      <c r="N37" s="217">
        <f t="shared" si="9"/>
        <v>8.3009737050806987</v>
      </c>
      <c r="O37" s="216" t="s">
        <v>350</v>
      </c>
      <c r="P37" s="215">
        <v>22</v>
      </c>
      <c r="Q37" s="215">
        <f t="shared" si="2"/>
        <v>32.031362185960383</v>
      </c>
      <c r="R37" s="215">
        <f t="shared" si="10"/>
        <v>3.5809102049820926E-3</v>
      </c>
      <c r="S37" s="254">
        <f t="shared" si="11"/>
        <v>3.5809102049820924</v>
      </c>
      <c r="T37" s="214">
        <f t="shared" si="3"/>
        <v>4.6574067628215116E-2</v>
      </c>
      <c r="U37" s="213">
        <f t="shared" si="13"/>
        <v>-8.6997076209627267E-13</v>
      </c>
      <c r="V37" s="213">
        <f t="shared" si="4"/>
        <v>-1.1365185628207431E-16</v>
      </c>
      <c r="W37" s="215"/>
      <c r="X37" s="215"/>
      <c r="Y37" s="215"/>
      <c r="Z37" s="212"/>
      <c r="AF37" s="265">
        <v>100</v>
      </c>
      <c r="AG37" s="219">
        <v>59.332341400000004</v>
      </c>
      <c r="AH37" s="213">
        <v>8.4322835957765238E-19</v>
      </c>
    </row>
    <row r="38" spans="1:34" ht="15.75" x14ac:dyDescent="0.5">
      <c r="A38" s="36" t="s">
        <v>154</v>
      </c>
      <c r="B38" s="37" t="s">
        <v>154</v>
      </c>
      <c r="C38" s="156">
        <f>D14*10000</f>
        <v>22231.33</v>
      </c>
      <c r="D38" s="199">
        <v>500</v>
      </c>
      <c r="E38" s="200">
        <f t="shared" si="12"/>
        <v>32218.112043805915</v>
      </c>
      <c r="F38" s="200">
        <f t="shared" si="5"/>
        <v>49.710713373896127</v>
      </c>
      <c r="G38" s="200">
        <f t="shared" si="0"/>
        <v>4971.0713373896124</v>
      </c>
      <c r="H38" s="199">
        <f>(PI()*(C38/2/1000)^2)/(D16*1000)</f>
        <v>2.7171825202004013E-3</v>
      </c>
      <c r="I38" s="220">
        <f t="shared" ref="I38" si="15">H38*100</f>
        <v>0.27171825202004013</v>
      </c>
      <c r="J38" s="220">
        <f t="shared" ref="J38" si="16">I38/$D$16*100</f>
        <v>0.19020277641402808</v>
      </c>
      <c r="K38" s="195">
        <f>B16</f>
        <v>3.203136218596038E-2</v>
      </c>
      <c r="L38" s="219">
        <f t="shared" si="7"/>
        <v>32.031362185960383</v>
      </c>
      <c r="M38" s="218">
        <f t="shared" si="8"/>
        <v>1.4219005735189731E-4</v>
      </c>
      <c r="N38" s="217">
        <f t="shared" si="9"/>
        <v>0.14219005735189733</v>
      </c>
      <c r="O38" s="216" t="s">
        <v>350</v>
      </c>
      <c r="P38" s="215">
        <v>23</v>
      </c>
      <c r="Q38" s="215">
        <f t="shared" si="2"/>
        <v>32.031362185960383</v>
      </c>
      <c r="R38" s="215">
        <f t="shared" si="10"/>
        <v>3.7240526742748168E-3</v>
      </c>
      <c r="S38" s="254">
        <f t="shared" si="11"/>
        <v>3.7240526742748168</v>
      </c>
      <c r="T38" s="214">
        <f t="shared" si="3"/>
        <v>4.8435808544263124E-2</v>
      </c>
      <c r="U38" s="213">
        <f t="shared" si="13"/>
        <v>-3.7240526742756868</v>
      </c>
      <c r="V38" s="213">
        <f t="shared" si="4"/>
        <v>-4.865054295661694E-4</v>
      </c>
      <c r="W38" s="208"/>
      <c r="X38" s="208"/>
      <c r="Y38" s="208"/>
      <c r="Z38" s="206"/>
    </row>
    <row r="39" spans="1:34" x14ac:dyDescent="0.45">
      <c r="N39" s="210">
        <f>SUM(N23:N37)</f>
        <v>7891.3992502483006</v>
      </c>
      <c r="O39" s="209"/>
      <c r="P39" s="208"/>
      <c r="Q39" s="208">
        <f>K38*1000000</f>
        <v>32031.362185960381</v>
      </c>
      <c r="R39" s="208"/>
      <c r="S39" s="207">
        <f>SUM(S23:S37)</f>
        <v>7688.6353014455954</v>
      </c>
      <c r="T39" s="231"/>
      <c r="U39" s="231"/>
      <c r="V39" s="231"/>
      <c r="W39" s="231"/>
    </row>
    <row r="40" spans="1:34" x14ac:dyDescent="0.45">
      <c r="U40" s="236"/>
      <c r="V40" s="236"/>
      <c r="W40" s="236"/>
      <c r="X40" s="236"/>
      <c r="Y40" s="236"/>
      <c r="Z40" s="236"/>
    </row>
    <row r="41" spans="1:34" x14ac:dyDescent="0.45">
      <c r="F41" s="236"/>
      <c r="G41" s="236"/>
      <c r="H41" s="236"/>
    </row>
    <row r="42" spans="1:34" ht="15.75" x14ac:dyDescent="0.5">
      <c r="A42" s="265" t="s">
        <v>351</v>
      </c>
      <c r="C42" s="205" t="s">
        <v>352</v>
      </c>
      <c r="D42" s="204"/>
      <c r="F42" s="203"/>
      <c r="G42" s="236"/>
      <c r="H42" s="236"/>
      <c r="T42" s="231"/>
    </row>
    <row r="43" spans="1:34" x14ac:dyDescent="0.45">
      <c r="A43" s="261" t="s">
        <v>377</v>
      </c>
      <c r="C43" s="180">
        <f>J5</f>
        <v>0.89547243990445191</v>
      </c>
      <c r="D43" s="204" t="s">
        <v>353</v>
      </c>
      <c r="F43" s="236"/>
      <c r="G43" s="236"/>
      <c r="H43" s="236"/>
      <c r="T43" s="231"/>
    </row>
    <row r="44" spans="1:34" x14ac:dyDescent="0.45">
      <c r="A44" s="265" t="s">
        <v>354</v>
      </c>
      <c r="C44" s="204">
        <f>(C43/44.661)*1000</f>
        <v>20.050434157418145</v>
      </c>
      <c r="D44" s="204" t="s">
        <v>355</v>
      </c>
      <c r="F44" s="236"/>
      <c r="G44" s="236"/>
      <c r="H44" s="236"/>
      <c r="T44" s="231"/>
    </row>
    <row r="45" spans="1:34" x14ac:dyDescent="0.45">
      <c r="A45" s="265" t="s">
        <v>356</v>
      </c>
      <c r="C45" s="202">
        <f>C44*(C16/1000*60*60)</f>
        <v>897.47521116958808</v>
      </c>
      <c r="D45" s="204" t="s">
        <v>357</v>
      </c>
      <c r="F45" s="235"/>
      <c r="G45" s="236"/>
      <c r="H45" s="236"/>
    </row>
    <row r="46" spans="1:34" x14ac:dyDescent="0.45">
      <c r="C46" s="204">
        <f>C45*5.333</f>
        <v>4786.2353011674131</v>
      </c>
      <c r="D46" s="204" t="s">
        <v>358</v>
      </c>
      <c r="F46" s="236"/>
      <c r="G46" s="236"/>
      <c r="H46" s="236"/>
    </row>
    <row r="47" spans="1:34" x14ac:dyDescent="0.45">
      <c r="C47" s="204"/>
      <c r="D47" s="204"/>
      <c r="F47" s="236"/>
      <c r="G47" s="235"/>
      <c r="H47" s="236"/>
    </row>
    <row r="48" spans="1:34" x14ac:dyDescent="0.45">
      <c r="C48" s="265" t="s">
        <v>359</v>
      </c>
      <c r="D48" s="201"/>
      <c r="E48" s="236"/>
      <c r="F48" s="265" t="s">
        <v>360</v>
      </c>
      <c r="G48" s="201"/>
    </row>
    <row r="49" spans="3:8" x14ac:dyDescent="0.45">
      <c r="C49" s="269">
        <f>$E$16*($F$16/1000)*($S$39/1000)*($C$17/1000/60)</f>
        <v>958.11361778230264</v>
      </c>
      <c r="D49" s="265" t="s">
        <v>361</v>
      </c>
      <c r="E49" s="236"/>
      <c r="F49" s="184">
        <f>$E$16*($F$16/1000)*($N$39/1000)*($C$17/1000/60)</f>
        <v>983.38089772555327</v>
      </c>
      <c r="G49" s="265" t="s">
        <v>361</v>
      </c>
    </row>
    <row r="50" spans="3:8" x14ac:dyDescent="0.45">
      <c r="C50" s="269">
        <f>$C$49/$C$46*100</f>
        <v>20.01810520156852</v>
      </c>
      <c r="D50" s="265" t="s">
        <v>362</v>
      </c>
      <c r="E50" s="236"/>
      <c r="F50" s="269">
        <f>$F$49/$C$46*100</f>
        <v>20.546020741723591</v>
      </c>
      <c r="G50" s="265" t="s">
        <v>362</v>
      </c>
    </row>
    <row r="51" spans="3:8" x14ac:dyDescent="0.45">
      <c r="G51" s="200"/>
      <c r="H51" s="236"/>
    </row>
    <row r="52" spans="3:8" x14ac:dyDescent="0.45">
      <c r="G52" s="200"/>
    </row>
    <row r="53" spans="3:8" x14ac:dyDescent="0.45">
      <c r="G53" s="200"/>
    </row>
    <row r="54" spans="3:8" x14ac:dyDescent="0.45">
      <c r="G54" s="200"/>
    </row>
  </sheetData>
  <mergeCells count="3">
    <mergeCell ref="AC21:AE21"/>
    <mergeCell ref="AF21:AH21"/>
    <mergeCell ref="H1:J1"/>
  </mergeCells>
  <pageMargins left="0.7" right="0.7" top="0.75" bottom="0.75" header="0.3" footer="0.3"/>
  <drawing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14</vt:i4>
      </vt:variant>
      <vt:variant>
        <vt:lpstr>Named Ranges</vt:lpstr>
      </vt:variant>
      <vt:variant>
        <vt:i4>7</vt:i4>
      </vt:variant>
    </vt:vector>
  </HeadingPairs>
  <TitlesOfParts>
    <vt:vector size="21" baseType="lpstr">
      <vt:lpstr>Lauren Oscula Diameters</vt:lpstr>
      <vt:lpstr>Wall Thickness</vt:lpstr>
      <vt:lpstr>Subdermal Space</vt:lpstr>
      <vt:lpstr>Ostia</vt:lpstr>
      <vt:lpstr>Incurrent Canal</vt:lpstr>
      <vt:lpstr>Chamber</vt:lpstr>
      <vt:lpstr>Prosopyles</vt:lpstr>
      <vt:lpstr>Collar Bodies</vt:lpstr>
      <vt:lpstr>Apopyles</vt:lpstr>
      <vt:lpstr>Excurrent Canal</vt:lpstr>
      <vt:lpstr>Trumpet shape</vt:lpstr>
      <vt:lpstr>Leys 2011 Head Loss</vt:lpstr>
      <vt:lpstr> Head Loss (Low Ambient Flows)</vt:lpstr>
      <vt:lpstr>Head Loss (High Ambient Flows)</vt:lpstr>
      <vt:lpstr>alfa</vt:lpstr>
      <vt:lpstr>AtriumArea</vt:lpstr>
      <vt:lpstr>Density</vt:lpstr>
      <vt:lpstr>ExCurrentFlowRate</vt:lpstr>
      <vt:lpstr>ExcurrentSpeed</vt:lpstr>
      <vt:lpstr>gamma</vt:lpstr>
      <vt:lpstr>Viscosity</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leys_lab</dc:creator>
  <cp:lastModifiedBy>SLeys</cp:lastModifiedBy>
  <dcterms:created xsi:type="dcterms:W3CDTF">2016-03-14T18:19:59Z</dcterms:created>
  <dcterms:modified xsi:type="dcterms:W3CDTF">2020-11-24T23:51:11Z</dcterms:modified>
</cp:coreProperties>
</file>