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55" yWindow="-420" windowWidth="19440" windowHeight="11760" tabRatio="713"/>
  </bookViews>
  <sheets>
    <sheet name="Summary" sheetId="10" r:id="rId1"/>
    <sheet name="Table 1." sheetId="15" r:id="rId2"/>
    <sheet name="Table 3. Predicted passive" sheetId="19" r:id="rId3"/>
    <sheet name="Sup. Table 2. Sponge sizes" sheetId="18" r:id="rId4"/>
    <sheet name="Active pumping" sheetId="20" r:id="rId5"/>
    <sheet name="Ostia" sheetId="1" r:id="rId6"/>
    <sheet name="Subdermal space" sheetId="2" r:id="rId7"/>
    <sheet name="incurrent canals" sheetId="5" r:id="rId8"/>
    <sheet name="prosopyle" sheetId="8" r:id="rId9"/>
    <sheet name="collars " sheetId="7" r:id="rId10"/>
    <sheet name="Flagellated chambers" sheetId="12" r:id="rId11"/>
    <sheet name="excurrent canals" sheetId="11" r:id="rId12"/>
    <sheet name="Table 1. for sigma plot" sheetId="16" r:id="rId13"/>
    <sheet name="Recalc of mesh DH" sheetId="17" r:id="rId14"/>
    <sheet name="Comparison table for paper" sheetId="13" r:id="rId15"/>
  </sheets>
  <definedNames>
    <definedName name="alfa">Summary!$H$5</definedName>
    <definedName name="AtriumArea">Summary!$A$5</definedName>
    <definedName name="Density">Summary!$E$5</definedName>
    <definedName name="ExCurrentFlowRate">Summary!$C$5</definedName>
    <definedName name="ExcurrentSpeed">Summary!$B$5</definedName>
    <definedName name="gamma">Summary!$F$5</definedName>
    <definedName name="OscDiam">'Sup. Table 2. Sponge sizes'!$E$17</definedName>
    <definedName name="_xlnm.Print_Area" localSheetId="0">Summary!$B$11:$L$30</definedName>
    <definedName name="solver_adj" localSheetId="13" hidden="1">'Recalc of mesh DH'!$M$6</definedName>
    <definedName name="solver_cvg" localSheetId="13" hidden="1">0.0001</definedName>
    <definedName name="solver_drv" localSheetId="13" hidden="1">1</definedName>
    <definedName name="solver_est" localSheetId="13" hidden="1">1</definedName>
    <definedName name="solver_itr" localSheetId="13" hidden="1">100</definedName>
    <definedName name="solver_lin" localSheetId="13" hidden="1">2</definedName>
    <definedName name="solver_neg" localSheetId="13" hidden="1">2</definedName>
    <definedName name="solver_num" localSheetId="13" hidden="1">0</definedName>
    <definedName name="solver_nwt" localSheetId="13" hidden="1">1</definedName>
    <definedName name="solver_opt" localSheetId="13" hidden="1">'Recalc of mesh DH'!$M$14</definedName>
    <definedName name="solver_pre" localSheetId="13" hidden="1">0.000001</definedName>
    <definedName name="solver_scl" localSheetId="13" hidden="1">2</definedName>
    <definedName name="solver_sho" localSheetId="13" hidden="1">2</definedName>
    <definedName name="solver_tim" localSheetId="13" hidden="1">100</definedName>
    <definedName name="solver_tol" localSheetId="13" hidden="1">0.05</definedName>
    <definedName name="solver_typ" localSheetId="13" hidden="1">3</definedName>
    <definedName name="solver_val" localSheetId="13" hidden="1">1</definedName>
    <definedName name="SpVol">'Sup. Table 2. Sponge sizes'!$F$17</definedName>
    <definedName name="TotalDP">Summary!$O$31</definedName>
    <definedName name="Viscosity">Summary!$G$5</definedName>
  </definedNames>
  <calcPr calcId="145621"/>
</workbook>
</file>

<file path=xl/calcChain.xml><?xml version="1.0" encoding="utf-8"?>
<calcChain xmlns="http://schemas.openxmlformats.org/spreadsheetml/2006/main">
  <c r="Q37" i="10" l="1"/>
  <c r="Q38" i="10"/>
  <c r="A9" i="19" s="1"/>
  <c r="B9" i="19" s="1"/>
  <c r="C9" i="19" s="1"/>
  <c r="Q39" i="10"/>
  <c r="A10" i="19" s="1"/>
  <c r="B10" i="19" s="1"/>
  <c r="C10" i="19" s="1"/>
  <c r="Q40" i="10"/>
  <c r="A11" i="19" s="1"/>
  <c r="B11" i="19" s="1"/>
  <c r="C11" i="19" s="1"/>
  <c r="Q41" i="10"/>
  <c r="Q42" i="10"/>
  <c r="A13" i="19" s="1"/>
  <c r="B13" i="19" s="1"/>
  <c r="C13" i="19" s="1"/>
  <c r="Q43" i="10"/>
  <c r="A14" i="19" s="1"/>
  <c r="B14" i="19" s="1"/>
  <c r="C14" i="19" s="1"/>
  <c r="Q44" i="10"/>
  <c r="A15" i="20" s="1"/>
  <c r="B15" i="20" s="1"/>
  <c r="C15" i="20" s="1"/>
  <c r="Q45" i="10"/>
  <c r="Q46" i="10"/>
  <c r="Q47" i="10"/>
  <c r="A18" i="20" s="1"/>
  <c r="B18" i="20" s="1"/>
  <c r="C18" i="20" s="1"/>
  <c r="Q48" i="10"/>
  <c r="A19" i="19" s="1"/>
  <c r="B19" i="19" s="1"/>
  <c r="C19" i="19" s="1"/>
  <c r="Q49" i="10"/>
  <c r="Q50" i="10"/>
  <c r="Q51" i="10"/>
  <c r="A22" i="19" s="1"/>
  <c r="B22" i="19" s="1"/>
  <c r="C22" i="19" s="1"/>
  <c r="Q52" i="10"/>
  <c r="A23" i="19" s="1"/>
  <c r="B23" i="19" s="1"/>
  <c r="C23" i="19" s="1"/>
  <c r="Q53" i="10"/>
  <c r="Q54" i="10"/>
  <c r="Q55" i="10"/>
  <c r="A26" i="20" s="1"/>
  <c r="B26" i="20" s="1"/>
  <c r="C26" i="20" s="1"/>
  <c r="Q56" i="10"/>
  <c r="A27" i="20" s="1"/>
  <c r="B27" i="20" s="1"/>
  <c r="C27" i="20" s="1"/>
  <c r="Q57" i="10"/>
  <c r="Q58" i="10"/>
  <c r="A29" i="20" s="1"/>
  <c r="B29" i="20" s="1"/>
  <c r="C29" i="20" s="1"/>
  <c r="Q59" i="10"/>
  <c r="A30" i="20" s="1"/>
  <c r="B30" i="20" s="1"/>
  <c r="C30" i="20" s="1"/>
  <c r="Q36" i="10"/>
  <c r="A7" i="20" s="1"/>
  <c r="B7" i="20" s="1"/>
  <c r="C7" i="20" s="1"/>
  <c r="T32" i="20"/>
  <c r="U26" i="20"/>
  <c r="E7" i="18"/>
  <c r="D7" i="18" s="1"/>
  <c r="E8" i="18"/>
  <c r="D8" i="18" s="1"/>
  <c r="E9" i="18"/>
  <c r="D9" i="18" s="1"/>
  <c r="D10" i="18"/>
  <c r="H10" i="18" s="1"/>
  <c r="E10" i="18"/>
  <c r="E11" i="18"/>
  <c r="D11" i="18" s="1"/>
  <c r="E12" i="18"/>
  <c r="D12" i="18" s="1"/>
  <c r="D13" i="18"/>
  <c r="H13" i="18" s="1"/>
  <c r="E13" i="18"/>
  <c r="E14" i="18"/>
  <c r="D14" i="18" s="1"/>
  <c r="H14" i="18" s="1"/>
  <c r="E15" i="18"/>
  <c r="D15" i="18" s="1"/>
  <c r="E16" i="18"/>
  <c r="D16" i="18" s="1"/>
  <c r="B17" i="18"/>
  <c r="C17" i="18"/>
  <c r="F17" i="18"/>
  <c r="G17" i="18"/>
  <c r="B18" i="18"/>
  <c r="C18" i="18"/>
  <c r="F18" i="18"/>
  <c r="G18" i="18"/>
  <c r="B19" i="18"/>
  <c r="C19" i="18"/>
  <c r="F19" i="18"/>
  <c r="G19" i="18"/>
  <c r="B20" i="18"/>
  <c r="C20" i="18"/>
  <c r="F20" i="18"/>
  <c r="G20" i="18"/>
  <c r="H50" i="10"/>
  <c r="H48" i="10"/>
  <c r="H46" i="10"/>
  <c r="H45" i="10"/>
  <c r="K9" i="19"/>
  <c r="T19" i="20"/>
  <c r="E30" i="20"/>
  <c r="E29" i="20"/>
  <c r="E28" i="20"/>
  <c r="T16" i="20"/>
  <c r="E27" i="20"/>
  <c r="T15" i="20"/>
  <c r="U15" i="20"/>
  <c r="E26" i="20"/>
  <c r="T14" i="20"/>
  <c r="U14" i="20"/>
  <c r="E25" i="20"/>
  <c r="T13" i="20"/>
  <c r="E24" i="20"/>
  <c r="E23" i="20"/>
  <c r="E22" i="20"/>
  <c r="E21" i="20"/>
  <c r="E20" i="20"/>
  <c r="T8" i="20"/>
  <c r="T9" i="20"/>
  <c r="T10" i="20"/>
  <c r="E19" i="20"/>
  <c r="E18" i="20"/>
  <c r="E17" i="20"/>
  <c r="E16" i="20"/>
  <c r="E15" i="20"/>
  <c r="E14" i="20"/>
  <c r="E13" i="20"/>
  <c r="E12" i="20"/>
  <c r="E11" i="20"/>
  <c r="E10" i="20"/>
  <c r="E9" i="20"/>
  <c r="E8" i="20"/>
  <c r="E7" i="20"/>
  <c r="K30" i="19"/>
  <c r="K27" i="19"/>
  <c r="K26" i="19"/>
  <c r="L26" i="19"/>
  <c r="E26" i="19"/>
  <c r="K25" i="19"/>
  <c r="L25" i="19" s="1"/>
  <c r="E25" i="19"/>
  <c r="K24" i="19"/>
  <c r="E24" i="19"/>
  <c r="E23" i="19"/>
  <c r="E22" i="19"/>
  <c r="E21" i="19"/>
  <c r="E20" i="19"/>
  <c r="K19" i="19"/>
  <c r="K20" i="19" s="1"/>
  <c r="K21" i="19" s="1"/>
  <c r="E19" i="19"/>
  <c r="E18" i="19"/>
  <c r="E17" i="19"/>
  <c r="E16" i="19"/>
  <c r="E15" i="19"/>
  <c r="E14" i="19"/>
  <c r="E13" i="19"/>
  <c r="E12" i="19"/>
  <c r="E11" i="19"/>
  <c r="E10" i="19"/>
  <c r="E9" i="19"/>
  <c r="E8" i="19"/>
  <c r="E7" i="19"/>
  <c r="L7" i="17"/>
  <c r="M7" i="17"/>
  <c r="K7" i="17"/>
  <c r="A16" i="13"/>
  <c r="F16" i="13"/>
  <c r="O16" i="13"/>
  <c r="P17" i="13"/>
  <c r="A17" i="13"/>
  <c r="F17" i="13"/>
  <c r="J17" i="13"/>
  <c r="K17" i="13"/>
  <c r="L17" i="13"/>
  <c r="A18" i="13"/>
  <c r="D18" i="13"/>
  <c r="F18" i="13"/>
  <c r="J18" i="13"/>
  <c r="K18" i="13"/>
  <c r="L18" i="13"/>
  <c r="O18" i="13"/>
  <c r="A19" i="13"/>
  <c r="F19" i="13"/>
  <c r="J19" i="13"/>
  <c r="K19" i="13"/>
  <c r="L19" i="13"/>
  <c r="A20" i="13"/>
  <c r="A21" i="13"/>
  <c r="N21" i="13"/>
  <c r="A22" i="13"/>
  <c r="F22" i="13"/>
  <c r="J22" i="13"/>
  <c r="K22" i="13"/>
  <c r="L22" i="13"/>
  <c r="A23" i="13"/>
  <c r="N23" i="13"/>
  <c r="A24" i="13"/>
  <c r="A25" i="13"/>
  <c r="F25" i="13"/>
  <c r="J25" i="13"/>
  <c r="K25" i="13"/>
  <c r="L25" i="13"/>
  <c r="N25" i="13"/>
  <c r="A26" i="13"/>
  <c r="A27" i="13"/>
  <c r="F27" i="13"/>
  <c r="J27" i="13"/>
  <c r="K27" i="13"/>
  <c r="L27" i="13"/>
  <c r="O27" i="13"/>
  <c r="A28" i="13"/>
  <c r="F28" i="13"/>
  <c r="J28" i="13"/>
  <c r="K28" i="13"/>
  <c r="L28" i="13"/>
  <c r="O28" i="13"/>
  <c r="A29" i="13"/>
  <c r="N29" i="13"/>
  <c r="O29" i="13"/>
  <c r="R29" i="13"/>
  <c r="A30" i="13"/>
  <c r="N30" i="13"/>
  <c r="O30" i="13"/>
  <c r="A31" i="13"/>
  <c r="F31" i="13"/>
  <c r="M31" i="13"/>
  <c r="M18" i="13"/>
  <c r="O31" i="13"/>
  <c r="K8" i="17"/>
  <c r="L8" i="17"/>
  <c r="M8" i="17"/>
  <c r="K11" i="17"/>
  <c r="K10" i="17"/>
  <c r="K9" i="17"/>
  <c r="L11" i="17"/>
  <c r="L10" i="17"/>
  <c r="L9" i="17"/>
  <c r="M11" i="17"/>
  <c r="M10" i="17"/>
  <c r="M9" i="17"/>
  <c r="A2" i="16"/>
  <c r="C2" i="16"/>
  <c r="D2" i="16"/>
  <c r="E2" i="16"/>
  <c r="A3" i="16"/>
  <c r="C3" i="16"/>
  <c r="E3" i="16"/>
  <c r="A4" i="16"/>
  <c r="C4" i="16"/>
  <c r="D4" i="16"/>
  <c r="E4" i="16"/>
  <c r="A5" i="16"/>
  <c r="C5" i="16"/>
  <c r="E5" i="16"/>
  <c r="A6" i="16"/>
  <c r="C6" i="16"/>
  <c r="E6" i="16"/>
  <c r="A7" i="16"/>
  <c r="C7" i="16"/>
  <c r="E7" i="16"/>
  <c r="A8" i="16"/>
  <c r="C8" i="16"/>
  <c r="E8" i="16"/>
  <c r="A9" i="16"/>
  <c r="B9" i="16"/>
  <c r="C9" i="16"/>
  <c r="E9" i="16"/>
  <c r="A10" i="16"/>
  <c r="C10" i="16"/>
  <c r="E10" i="16"/>
  <c r="A11" i="16"/>
  <c r="B11" i="16"/>
  <c r="C11" i="16"/>
  <c r="E11" i="16"/>
  <c r="A12" i="16"/>
  <c r="C12" i="16"/>
  <c r="E12" i="16"/>
  <c r="A13" i="16"/>
  <c r="B13" i="16"/>
  <c r="C13" i="16"/>
  <c r="E13" i="16"/>
  <c r="A14" i="16"/>
  <c r="C14" i="16"/>
  <c r="E14" i="16"/>
  <c r="A15" i="16"/>
  <c r="C15" i="16"/>
  <c r="D15" i="16"/>
  <c r="E15" i="16"/>
  <c r="A16" i="16"/>
  <c r="C16" i="16"/>
  <c r="E16" i="16"/>
  <c r="A17" i="16"/>
  <c r="C17" i="16"/>
  <c r="D17" i="16"/>
  <c r="E17" i="16"/>
  <c r="A18" i="16"/>
  <c r="B18" i="16"/>
  <c r="C18" i="16"/>
  <c r="D18" i="16"/>
  <c r="E18" i="16"/>
  <c r="A19" i="16"/>
  <c r="B19" i="16"/>
  <c r="D19" i="16"/>
  <c r="N19" i="16"/>
  <c r="Q19" i="16"/>
  <c r="A20" i="16"/>
  <c r="C20" i="16"/>
  <c r="D20" i="16"/>
  <c r="E20" i="16"/>
  <c r="B9" i="11"/>
  <c r="C9" i="11"/>
  <c r="D9" i="11"/>
  <c r="G9" i="11"/>
  <c r="H9" i="11"/>
  <c r="I9" i="11"/>
  <c r="K10" i="11"/>
  <c r="C13" i="11"/>
  <c r="D13" i="11"/>
  <c r="G13" i="11"/>
  <c r="H13" i="11"/>
  <c r="I13" i="11"/>
  <c r="F5" i="12"/>
  <c r="G5" i="12"/>
  <c r="H5" i="12"/>
  <c r="F6" i="12"/>
  <c r="G6" i="12"/>
  <c r="F7" i="12"/>
  <c r="G7" i="12"/>
  <c r="H7" i="12"/>
  <c r="F8" i="12"/>
  <c r="G8" i="12"/>
  <c r="H8" i="12"/>
  <c r="F9" i="12"/>
  <c r="G9" i="12"/>
  <c r="H9" i="12"/>
  <c r="C10" i="12"/>
  <c r="D10" i="12"/>
  <c r="F10" i="12"/>
  <c r="I13" i="12"/>
  <c r="J13" i="12"/>
  <c r="L13" i="12"/>
  <c r="M13" i="12"/>
  <c r="E22" i="12"/>
  <c r="I22" i="12"/>
  <c r="E23" i="12"/>
  <c r="I23" i="12"/>
  <c r="J23" i="12"/>
  <c r="E24" i="12"/>
  <c r="I24" i="12"/>
  <c r="J24" i="12"/>
  <c r="E25" i="12"/>
  <c r="I25" i="12"/>
  <c r="J25" i="12"/>
  <c r="F32" i="12"/>
  <c r="L62" i="12"/>
  <c r="M62" i="12"/>
  <c r="C63" i="12"/>
  <c r="D63" i="12"/>
  <c r="C64" i="12"/>
  <c r="E5" i="12"/>
  <c r="L64" i="12"/>
  <c r="E6" i="12"/>
  <c r="I6" i="12"/>
  <c r="Y74" i="12"/>
  <c r="Y75" i="12"/>
  <c r="E8" i="12"/>
  <c r="I8" i="12"/>
  <c r="Z74" i="12"/>
  <c r="T79" i="12"/>
  <c r="U79" i="12"/>
  <c r="T80" i="12"/>
  <c r="E7" i="12"/>
  <c r="I7" i="12"/>
  <c r="AC94" i="12"/>
  <c r="AD94" i="12"/>
  <c r="AC95" i="12"/>
  <c r="E9" i="12"/>
  <c r="I9" i="12"/>
  <c r="F11" i="7"/>
  <c r="P11" i="7"/>
  <c r="F12" i="7"/>
  <c r="P12" i="7"/>
  <c r="F13" i="7"/>
  <c r="P13" i="7"/>
  <c r="F14" i="7"/>
  <c r="P14" i="7"/>
  <c r="F15" i="7"/>
  <c r="P15" i="7"/>
  <c r="P16" i="7"/>
  <c r="P17" i="7"/>
  <c r="P18" i="7"/>
  <c r="P19" i="7"/>
  <c r="P20" i="7"/>
  <c r="B25" i="7"/>
  <c r="C25" i="7"/>
  <c r="D25" i="7"/>
  <c r="F25" i="7"/>
  <c r="G25" i="7"/>
  <c r="I25" i="7"/>
  <c r="E25" i="7"/>
  <c r="M25" i="7"/>
  <c r="N25" i="7"/>
  <c r="O25" i="7"/>
  <c r="P25" i="7"/>
  <c r="Q25" i="7"/>
  <c r="C28" i="7"/>
  <c r="D28" i="7"/>
  <c r="E28" i="7"/>
  <c r="G28" i="7"/>
  <c r="I28" i="7"/>
  <c r="B33" i="7"/>
  <c r="B35" i="7"/>
  <c r="B38" i="7"/>
  <c r="B39" i="7"/>
  <c r="D44" i="7"/>
  <c r="E44" i="7"/>
  <c r="Q19" i="8"/>
  <c r="B29" i="8"/>
  <c r="C29" i="8"/>
  <c r="D29" i="8"/>
  <c r="F29" i="8"/>
  <c r="H29" i="8"/>
  <c r="K29" i="8"/>
  <c r="L29" i="8"/>
  <c r="M29" i="8"/>
  <c r="C30" i="8"/>
  <c r="B30" i="8"/>
  <c r="F30" i="8"/>
  <c r="H30" i="8"/>
  <c r="C32" i="8"/>
  <c r="B32" i="8"/>
  <c r="F32" i="8"/>
  <c r="H32" i="8"/>
  <c r="C34" i="8"/>
  <c r="D34" i="8"/>
  <c r="E34" i="8"/>
  <c r="F34" i="8"/>
  <c r="G34" i="8"/>
  <c r="H34" i="8"/>
  <c r="B13" i="5"/>
  <c r="C13" i="5"/>
  <c r="D13" i="5"/>
  <c r="G13" i="5"/>
  <c r="E18" i="5"/>
  <c r="C26" i="5"/>
  <c r="C27" i="5"/>
  <c r="C28" i="5"/>
  <c r="C29" i="5"/>
  <c r="B30" i="5"/>
  <c r="C30" i="5"/>
  <c r="D30" i="5"/>
  <c r="F30" i="5"/>
  <c r="G30" i="5"/>
  <c r="H30" i="5"/>
  <c r="B48" i="5"/>
  <c r="C48" i="5"/>
  <c r="D48" i="5"/>
  <c r="F48" i="5"/>
  <c r="G48" i="5"/>
  <c r="H48" i="5"/>
  <c r="C63" i="5"/>
  <c r="C71" i="5"/>
  <c r="D16" i="2"/>
  <c r="F16" i="2"/>
  <c r="D17" i="2"/>
  <c r="D18" i="2"/>
  <c r="D19" i="2"/>
  <c r="D20" i="2"/>
  <c r="D21" i="2"/>
  <c r="D22" i="2"/>
  <c r="D23" i="2"/>
  <c r="D24" i="2"/>
  <c r="D25" i="2"/>
  <c r="B28" i="2"/>
  <c r="C28" i="2"/>
  <c r="D28" i="2"/>
  <c r="H16" i="2"/>
  <c r="D17" i="1"/>
  <c r="C17" i="1"/>
  <c r="I17" i="1"/>
  <c r="K17" i="1"/>
  <c r="L17" i="1"/>
  <c r="J17" i="1"/>
  <c r="D18" i="1"/>
  <c r="C18" i="1"/>
  <c r="I18" i="1"/>
  <c r="J18" i="1"/>
  <c r="K18" i="1"/>
  <c r="L18" i="1"/>
  <c r="D19" i="1"/>
  <c r="C19" i="1"/>
  <c r="I19" i="1"/>
  <c r="K19" i="1"/>
  <c r="L19" i="1"/>
  <c r="J19" i="1"/>
  <c r="D20" i="1"/>
  <c r="C20" i="1"/>
  <c r="I20" i="1"/>
  <c r="J20" i="1"/>
  <c r="K20" i="1"/>
  <c r="L20" i="1"/>
  <c r="E22" i="1"/>
  <c r="F22" i="1"/>
  <c r="G22" i="1"/>
  <c r="H22" i="1"/>
  <c r="I22" i="1"/>
  <c r="K22" i="1"/>
  <c r="L22" i="1"/>
  <c r="J22" i="1"/>
  <c r="D33" i="1"/>
  <c r="E33" i="1"/>
  <c r="D34" i="1"/>
  <c r="E34" i="1"/>
  <c r="D35" i="1"/>
  <c r="E35" i="1"/>
  <c r="D36" i="1"/>
  <c r="E36" i="1"/>
  <c r="D37" i="1"/>
  <c r="E37" i="1"/>
  <c r="D38" i="1"/>
  <c r="E38" i="1"/>
  <c r="C39" i="1"/>
  <c r="D39" i="1"/>
  <c r="D42" i="1"/>
  <c r="E42" i="1"/>
  <c r="D43" i="1"/>
  <c r="E43" i="1"/>
  <c r="D44" i="1"/>
  <c r="E44" i="1"/>
  <c r="D45" i="1"/>
  <c r="E45" i="1"/>
  <c r="D46" i="1"/>
  <c r="E46" i="1"/>
  <c r="D47" i="1"/>
  <c r="E47" i="1"/>
  <c r="D48" i="1"/>
  <c r="E48" i="1"/>
  <c r="D49" i="1"/>
  <c r="E49" i="1"/>
  <c r="C50" i="1"/>
  <c r="D50" i="1"/>
  <c r="D52" i="1"/>
  <c r="E52" i="1"/>
  <c r="D53" i="1"/>
  <c r="E53" i="1"/>
  <c r="D54" i="1"/>
  <c r="E54" i="1"/>
  <c r="D55" i="1"/>
  <c r="E55" i="1"/>
  <c r="D56" i="1"/>
  <c r="E56" i="1"/>
  <c r="D57" i="1"/>
  <c r="E57" i="1"/>
  <c r="D58" i="1"/>
  <c r="E58" i="1"/>
  <c r="D59" i="1"/>
  <c r="E59" i="1"/>
  <c r="D60" i="1"/>
  <c r="E60" i="1"/>
  <c r="D61" i="1"/>
  <c r="E61" i="1"/>
  <c r="D62" i="1"/>
  <c r="E62" i="1"/>
  <c r="D63" i="1"/>
  <c r="E63" i="1"/>
  <c r="C64" i="1"/>
  <c r="D64" i="1"/>
  <c r="F65" i="1"/>
  <c r="D68" i="1"/>
  <c r="D22" i="1"/>
  <c r="J68" i="1"/>
  <c r="C123" i="1"/>
  <c r="D123" i="1"/>
  <c r="E123" i="1"/>
  <c r="G123" i="1"/>
  <c r="X342" i="1"/>
  <c r="A5" i="10"/>
  <c r="D5" i="10"/>
  <c r="F5" i="10"/>
  <c r="K7" i="10"/>
  <c r="K8" i="10"/>
  <c r="A12" i="10"/>
  <c r="J12" i="10"/>
  <c r="K12" i="10"/>
  <c r="A13" i="10"/>
  <c r="C13" i="10"/>
  <c r="B3" i="16"/>
  <c r="E13" i="10"/>
  <c r="G13" i="10"/>
  <c r="A14" i="10"/>
  <c r="C14" i="10"/>
  <c r="B4" i="16"/>
  <c r="C15" i="10"/>
  <c r="B5" i="16"/>
  <c r="E15" i="10"/>
  <c r="D8" i="15"/>
  <c r="C16" i="10"/>
  <c r="E16" i="10"/>
  <c r="D9" i="15"/>
  <c r="A17" i="10"/>
  <c r="E17" i="10"/>
  <c r="O19" i="13"/>
  <c r="A18" i="10"/>
  <c r="C18" i="10"/>
  <c r="B8" i="16"/>
  <c r="E18" i="10"/>
  <c r="O20" i="13"/>
  <c r="A19" i="10"/>
  <c r="E19" i="10"/>
  <c r="O21" i="13"/>
  <c r="A20" i="10"/>
  <c r="C20" i="10"/>
  <c r="E20" i="10"/>
  <c r="O22" i="13"/>
  <c r="A21" i="10"/>
  <c r="E21" i="10"/>
  <c r="O23" i="13"/>
  <c r="A22" i="10"/>
  <c r="C22" i="10"/>
  <c r="B15" i="15"/>
  <c r="E22" i="10"/>
  <c r="O24" i="13"/>
  <c r="A23" i="10"/>
  <c r="E23" i="10"/>
  <c r="A24" i="10"/>
  <c r="A25" i="10"/>
  <c r="C26" i="10"/>
  <c r="B19" i="15"/>
  <c r="E26" i="10"/>
  <c r="D19" i="15"/>
  <c r="J26" i="10"/>
  <c r="K26" i="10"/>
  <c r="G16" i="16"/>
  <c r="A27" i="10"/>
  <c r="C27" i="10"/>
  <c r="B17" i="16"/>
  <c r="J27" i="10"/>
  <c r="A28" i="10"/>
  <c r="K28" i="10"/>
  <c r="G18" i="16"/>
  <c r="A30" i="10"/>
  <c r="O36" i="10"/>
  <c r="O37" i="10"/>
  <c r="A8" i="19"/>
  <c r="B8" i="19" s="1"/>
  <c r="C8" i="19" s="1"/>
  <c r="O38" i="10"/>
  <c r="O39" i="10"/>
  <c r="O40" i="10"/>
  <c r="O41" i="10"/>
  <c r="A12" i="19"/>
  <c r="B12" i="19" s="1"/>
  <c r="C12" i="19" s="1"/>
  <c r="O42" i="10"/>
  <c r="O43" i="10"/>
  <c r="O44" i="10"/>
  <c r="O45" i="10"/>
  <c r="O46" i="10"/>
  <c r="A17" i="20"/>
  <c r="B17" i="20" s="1"/>
  <c r="C17" i="20" s="1"/>
  <c r="O47" i="10"/>
  <c r="O48" i="10"/>
  <c r="O49" i="10"/>
  <c r="O50" i="10"/>
  <c r="O51" i="10"/>
  <c r="O52" i="10"/>
  <c r="O53" i="10"/>
  <c r="A24" i="19"/>
  <c r="B24" i="19" s="1"/>
  <c r="C24" i="19" s="1"/>
  <c r="O54" i="10"/>
  <c r="O55" i="10"/>
  <c r="O56" i="10"/>
  <c r="O57" i="10"/>
  <c r="O58" i="10"/>
  <c r="O59" i="10"/>
  <c r="A5" i="15"/>
  <c r="C5" i="15"/>
  <c r="D5" i="15"/>
  <c r="E5" i="15"/>
  <c r="A6" i="15"/>
  <c r="B6" i="15"/>
  <c r="C6" i="15"/>
  <c r="D6" i="15"/>
  <c r="E6" i="15"/>
  <c r="A7" i="15"/>
  <c r="C7" i="15"/>
  <c r="D7" i="15"/>
  <c r="E7" i="15"/>
  <c r="A8" i="15"/>
  <c r="C8" i="15"/>
  <c r="E8" i="15"/>
  <c r="A9" i="15"/>
  <c r="C9" i="15"/>
  <c r="E9" i="15"/>
  <c r="A10" i="15"/>
  <c r="C10" i="15"/>
  <c r="D10" i="15"/>
  <c r="E10" i="15"/>
  <c r="A11" i="15"/>
  <c r="C11" i="15"/>
  <c r="D11" i="15"/>
  <c r="E11" i="15"/>
  <c r="A12" i="15"/>
  <c r="B12" i="15"/>
  <c r="C12" i="15"/>
  <c r="D12" i="15"/>
  <c r="E12" i="15"/>
  <c r="A13" i="15"/>
  <c r="C13" i="15"/>
  <c r="E13" i="15"/>
  <c r="A14" i="15"/>
  <c r="B14" i="15"/>
  <c r="C14" i="15"/>
  <c r="E14" i="15"/>
  <c r="A15" i="15"/>
  <c r="C15" i="15"/>
  <c r="E15" i="15"/>
  <c r="A16" i="15"/>
  <c r="B16" i="15"/>
  <c r="C16" i="15"/>
  <c r="E16" i="15"/>
  <c r="A17" i="15"/>
  <c r="C17" i="15"/>
  <c r="E17" i="15"/>
  <c r="A18" i="15"/>
  <c r="C18" i="15"/>
  <c r="D18" i="15"/>
  <c r="E18" i="15"/>
  <c r="A19" i="15"/>
  <c r="C19" i="15"/>
  <c r="E19" i="15"/>
  <c r="A20" i="15"/>
  <c r="B20" i="15"/>
  <c r="C20" i="15"/>
  <c r="D20" i="15"/>
  <c r="E20" i="15"/>
  <c r="A21" i="15"/>
  <c r="B21" i="15"/>
  <c r="C21" i="15"/>
  <c r="D21" i="15"/>
  <c r="E21" i="15"/>
  <c r="A22" i="15"/>
  <c r="B22" i="15"/>
  <c r="D22" i="15"/>
  <c r="A23" i="15"/>
  <c r="C23" i="15"/>
  <c r="D23" i="15"/>
  <c r="E23" i="15"/>
  <c r="O24" i="15"/>
  <c r="N22" i="13"/>
  <c r="B10" i="16"/>
  <c r="B13" i="15"/>
  <c r="D15" i="15"/>
  <c r="B7" i="15"/>
  <c r="N18" i="13"/>
  <c r="D12" i="16"/>
  <c r="D6" i="16"/>
  <c r="S29" i="13"/>
  <c r="A28" i="20"/>
  <c r="B28" i="20" s="1"/>
  <c r="C28" i="20" s="1"/>
  <c r="A16" i="19"/>
  <c r="B16" i="19" s="1"/>
  <c r="C16" i="19" s="1"/>
  <c r="A10" i="20"/>
  <c r="B10" i="20" s="1"/>
  <c r="C10" i="20" s="1"/>
  <c r="D9" i="16"/>
  <c r="D10" i="16"/>
  <c r="D8" i="16"/>
  <c r="N17" i="13"/>
  <c r="G21" i="15"/>
  <c r="R16" i="13"/>
  <c r="B11" i="15"/>
  <c r="D13" i="15"/>
  <c r="B12" i="16"/>
  <c r="N20" i="13"/>
  <c r="D14" i="15"/>
  <c r="L28" i="10"/>
  <c r="H18" i="16"/>
  <c r="U19" i="20"/>
  <c r="A16" i="20"/>
  <c r="B16" i="20" s="1"/>
  <c r="C16" i="20" s="1"/>
  <c r="P57" i="10"/>
  <c r="A12" i="20"/>
  <c r="B12" i="20" s="1"/>
  <c r="C12" i="20" s="1"/>
  <c r="O25" i="13"/>
  <c r="D16" i="15"/>
  <c r="D13" i="16"/>
  <c r="B9" i="15"/>
  <c r="B6" i="16"/>
  <c r="G19" i="15"/>
  <c r="L26" i="10"/>
  <c r="L12" i="10"/>
  <c r="G5" i="15"/>
  <c r="G2" i="16"/>
  <c r="S16" i="13"/>
  <c r="D11" i="16"/>
  <c r="B16" i="16"/>
  <c r="R28" i="13"/>
  <c r="K27" i="10"/>
  <c r="P48" i="10"/>
  <c r="P43" i="10"/>
  <c r="P53" i="10"/>
  <c r="P44" i="10"/>
  <c r="P51" i="10"/>
  <c r="P47" i="10"/>
  <c r="P40" i="10"/>
  <c r="P45" i="10"/>
  <c r="P54" i="10"/>
  <c r="P41" i="10"/>
  <c r="P49" i="10"/>
  <c r="P59" i="10"/>
  <c r="P36" i="10"/>
  <c r="P56" i="10"/>
  <c r="P55" i="10"/>
  <c r="P58" i="10"/>
  <c r="P37" i="10"/>
  <c r="P39" i="10"/>
  <c r="P38" i="10"/>
  <c r="P52" i="10"/>
  <c r="P50" i="10"/>
  <c r="P42" i="10"/>
  <c r="P46" i="10"/>
  <c r="D3" i="16"/>
  <c r="A24" i="20"/>
  <c r="B24" i="20"/>
  <c r="C24" i="20" s="1"/>
  <c r="B8" i="15"/>
  <c r="D16" i="16"/>
  <c r="A17" i="19"/>
  <c r="B17" i="19" s="1"/>
  <c r="C17" i="19" s="1"/>
  <c r="A8" i="20"/>
  <c r="B8" i="20" s="1"/>
  <c r="C8" i="20" s="1"/>
  <c r="N24" i="13"/>
  <c r="D5" i="16"/>
  <c r="G14" i="10"/>
  <c r="O17" i="13"/>
  <c r="P18" i="13"/>
  <c r="P19" i="13"/>
  <c r="G15" i="10"/>
  <c r="H16" i="16"/>
  <c r="H19" i="15"/>
  <c r="G17" i="16"/>
  <c r="L27" i="10"/>
  <c r="G20" i="15"/>
  <c r="S28" i="13"/>
  <c r="T16" i="13"/>
  <c r="U16" i="13"/>
  <c r="H5" i="15"/>
  <c r="H2" i="16"/>
  <c r="P20" i="13"/>
  <c r="H20" i="15"/>
  <c r="T28" i="13"/>
  <c r="U28" i="13"/>
  <c r="H17" i="16"/>
  <c r="G16" i="10"/>
  <c r="G17" i="10"/>
  <c r="P21" i="13"/>
  <c r="G18" i="10"/>
  <c r="G19" i="10"/>
  <c r="G20" i="10"/>
  <c r="P22" i="13"/>
  <c r="P23" i="13"/>
  <c r="P24" i="13"/>
  <c r="P25" i="13"/>
  <c r="P26" i="13"/>
  <c r="G21" i="10"/>
  <c r="A20" i="19"/>
  <c r="B20" i="19"/>
  <c r="C20" i="19" s="1"/>
  <c r="A20" i="20"/>
  <c r="B20" i="20" s="1"/>
  <c r="C20" i="20" s="1"/>
  <c r="A13" i="20"/>
  <c r="B13" i="20" s="1"/>
  <c r="C13" i="20" s="1"/>
  <c r="A21" i="20"/>
  <c r="B21" i="20" s="1"/>
  <c r="C21" i="20" s="1"/>
  <c r="A21" i="19"/>
  <c r="B21" i="19" s="1"/>
  <c r="C21" i="19" s="1"/>
  <c r="H21" i="15"/>
  <c r="C22" i="1"/>
  <c r="C12" i="10"/>
  <c r="I16" i="2"/>
  <c r="J16" i="2"/>
  <c r="L16" i="2"/>
  <c r="I5" i="12"/>
  <c r="E10" i="12"/>
  <c r="H6" i="12"/>
  <c r="G10" i="12"/>
  <c r="E50" i="1"/>
  <c r="G50" i="1"/>
  <c r="E39" i="1"/>
  <c r="G39" i="1"/>
  <c r="I48" i="5"/>
  <c r="J48" i="5"/>
  <c r="J16" i="10"/>
  <c r="K16" i="10"/>
  <c r="I30" i="5"/>
  <c r="J30" i="5"/>
  <c r="J15" i="10"/>
  <c r="K15" i="10"/>
  <c r="J9" i="12"/>
  <c r="N9" i="12"/>
  <c r="S9" i="12"/>
  <c r="O9" i="12"/>
  <c r="P9" i="12"/>
  <c r="H10" i="12"/>
  <c r="T29" i="13"/>
  <c r="U29" i="13"/>
  <c r="D7" i="16"/>
  <c r="I123" i="1"/>
  <c r="J123" i="1"/>
  <c r="I13" i="5"/>
  <c r="C15" i="5"/>
  <c r="H13" i="5"/>
  <c r="J14" i="10"/>
  <c r="B34" i="8"/>
  <c r="C17" i="10"/>
  <c r="J8" i="12"/>
  <c r="N8" i="12"/>
  <c r="S8" i="12"/>
  <c r="O8" i="12"/>
  <c r="P8" i="12"/>
  <c r="E26" i="12"/>
  <c r="C25" i="10"/>
  <c r="J22" i="12"/>
  <c r="J26" i="12"/>
  <c r="N28" i="13"/>
  <c r="E64" i="1"/>
  <c r="G64" i="1"/>
  <c r="N31" i="8"/>
  <c r="N33" i="8"/>
  <c r="N30" i="8"/>
  <c r="O7" i="12"/>
  <c r="P7" i="12"/>
  <c r="J7" i="12"/>
  <c r="N7" i="12"/>
  <c r="S7" i="12"/>
  <c r="J6" i="12"/>
  <c r="N6" i="12"/>
  <c r="S6" i="12"/>
  <c r="O6" i="12"/>
  <c r="P6" i="12"/>
  <c r="M19" i="13"/>
  <c r="M27" i="13"/>
  <c r="M25" i="13"/>
  <c r="C68" i="1"/>
  <c r="M28" i="13"/>
  <c r="M22" i="13"/>
  <c r="M17" i="13"/>
  <c r="B5" i="15"/>
  <c r="N16" i="13"/>
  <c r="B2" i="16"/>
  <c r="B15" i="16"/>
  <c r="N27" i="13"/>
  <c r="B18" i="15"/>
  <c r="J13" i="10"/>
  <c r="K16" i="2"/>
  <c r="K9" i="12"/>
  <c r="L9" i="12"/>
  <c r="M9" i="12"/>
  <c r="B42" i="8"/>
  <c r="C24" i="10"/>
  <c r="E24" i="10"/>
  <c r="G22" i="10"/>
  <c r="A9" i="20"/>
  <c r="B9" i="20"/>
  <c r="C9" i="20" s="1"/>
  <c r="R18" i="13"/>
  <c r="K14" i="10"/>
  <c r="J25" i="7"/>
  <c r="B51" i="8"/>
  <c r="R10" i="12"/>
  <c r="K6" i="10"/>
  <c r="L15" i="10"/>
  <c r="G5" i="16"/>
  <c r="G8" i="15"/>
  <c r="A25" i="19"/>
  <c r="B25" i="19" s="1"/>
  <c r="C25" i="19" s="1"/>
  <c r="A25" i="20"/>
  <c r="B25" i="20" s="1"/>
  <c r="C25" i="20" s="1"/>
  <c r="J5" i="12"/>
  <c r="N5" i="12"/>
  <c r="O5" i="12"/>
  <c r="I10" i="12"/>
  <c r="F34" i="12"/>
  <c r="F36" i="12"/>
  <c r="L6" i="12"/>
  <c r="M6" i="12"/>
  <c r="K6" i="12"/>
  <c r="B10" i="15"/>
  <c r="N19" i="13"/>
  <c r="B7" i="16"/>
  <c r="K7" i="12"/>
  <c r="L7" i="12"/>
  <c r="M7" i="12"/>
  <c r="G65" i="1"/>
  <c r="J65" i="1"/>
  <c r="B44" i="8"/>
  <c r="K26" i="12"/>
  <c r="J25" i="10"/>
  <c r="K8" i="12"/>
  <c r="L8" i="12"/>
  <c r="M8" i="12"/>
  <c r="G9" i="15"/>
  <c r="G6" i="16"/>
  <c r="L16" i="10"/>
  <c r="R27" i="13"/>
  <c r="K25" i="10"/>
  <c r="J10" i="12"/>
  <c r="K5" i="12"/>
  <c r="K10" i="12"/>
  <c r="J24" i="10"/>
  <c r="L5" i="12"/>
  <c r="O10" i="12"/>
  <c r="P5" i="12"/>
  <c r="P10" i="12"/>
  <c r="H5" i="16"/>
  <c r="H8" i="15"/>
  <c r="K28" i="7"/>
  <c r="L28" i="7"/>
  <c r="K25" i="7"/>
  <c r="L25" i="7"/>
  <c r="J20" i="10"/>
  <c r="R25" i="7"/>
  <c r="S25" i="7"/>
  <c r="J23" i="10"/>
  <c r="F44" i="7"/>
  <c r="G44" i="7"/>
  <c r="G4" i="16"/>
  <c r="G7" i="15"/>
  <c r="L14" i="10"/>
  <c r="S18" i="13"/>
  <c r="D14" i="16"/>
  <c r="D17" i="15"/>
  <c r="D24" i="15"/>
  <c r="O26" i="13"/>
  <c r="P27" i="13"/>
  <c r="E31" i="10"/>
  <c r="K13" i="10"/>
  <c r="R17" i="13"/>
  <c r="H6" i="16"/>
  <c r="H9" i="15"/>
  <c r="S5" i="12"/>
  <c r="S10" i="12"/>
  <c r="N10" i="12"/>
  <c r="B43" i="8"/>
  <c r="B45" i="8"/>
  <c r="B47" i="8"/>
  <c r="C51" i="8"/>
  <c r="D51" i="8"/>
  <c r="E51" i="8"/>
  <c r="J17" i="10"/>
  <c r="G23" i="10"/>
  <c r="N26" i="13"/>
  <c r="B17" i="15"/>
  <c r="B14" i="16"/>
  <c r="K17" i="10"/>
  <c r="R19" i="13"/>
  <c r="G24" i="10"/>
  <c r="J18" i="10"/>
  <c r="J22" i="10"/>
  <c r="R26" i="13"/>
  <c r="K24" i="10"/>
  <c r="G18" i="15"/>
  <c r="S27" i="13"/>
  <c r="L25" i="10"/>
  <c r="G15" i="16"/>
  <c r="L13" i="10"/>
  <c r="S17" i="13"/>
  <c r="G6" i="15"/>
  <c r="G3" i="16"/>
  <c r="P28" i="13"/>
  <c r="H4" i="16"/>
  <c r="T18" i="13"/>
  <c r="U18" i="13"/>
  <c r="H7" i="15"/>
  <c r="K23" i="10"/>
  <c r="R25" i="13"/>
  <c r="R22" i="13"/>
  <c r="K20" i="10"/>
  <c r="J19" i="10"/>
  <c r="J21" i="10"/>
  <c r="M5" i="12"/>
  <c r="M10" i="12"/>
  <c r="L10" i="12"/>
  <c r="K21" i="10"/>
  <c r="R23" i="13"/>
  <c r="P29" i="13"/>
  <c r="H6" i="15"/>
  <c r="T17" i="13"/>
  <c r="U17" i="13"/>
  <c r="H3" i="16"/>
  <c r="G17" i="15"/>
  <c r="S26" i="13"/>
  <c r="L24" i="10"/>
  <c r="G14" i="16"/>
  <c r="G25" i="10"/>
  <c r="R21" i="13"/>
  <c r="K19" i="10"/>
  <c r="L20" i="10"/>
  <c r="S22" i="13"/>
  <c r="G10" i="16"/>
  <c r="G13" i="15"/>
  <c r="H15" i="16"/>
  <c r="T27" i="13"/>
  <c r="U27" i="13"/>
  <c r="H18" i="15"/>
  <c r="R24" i="13"/>
  <c r="K22" i="10"/>
  <c r="G13" i="16"/>
  <c r="S25" i="13"/>
  <c r="G16" i="15"/>
  <c r="L23" i="10"/>
  <c r="K18" i="10"/>
  <c r="R20" i="13"/>
  <c r="G10" i="15"/>
  <c r="L17" i="10"/>
  <c r="S19" i="13"/>
  <c r="G7" i="16"/>
  <c r="T25" i="13"/>
  <c r="U25" i="13"/>
  <c r="H13" i="16"/>
  <c r="H16" i="15"/>
  <c r="S20" i="13"/>
  <c r="G8" i="16"/>
  <c r="L18" i="10"/>
  <c r="G11" i="15"/>
  <c r="T26" i="13"/>
  <c r="U26" i="13"/>
  <c r="H17" i="15"/>
  <c r="H14" i="16"/>
  <c r="P30" i="13"/>
  <c r="H7" i="16"/>
  <c r="H10" i="15"/>
  <c r="T19" i="13"/>
  <c r="U19" i="13"/>
  <c r="G26" i="10"/>
  <c r="T22" i="13"/>
  <c r="U22" i="13"/>
  <c r="H10" i="16"/>
  <c r="H13" i="15"/>
  <c r="G12" i="16"/>
  <c r="G15" i="15"/>
  <c r="S24" i="13"/>
  <c r="L22" i="10"/>
  <c r="G9" i="16"/>
  <c r="S21" i="13"/>
  <c r="G12" i="15"/>
  <c r="L19" i="10"/>
  <c r="G14" i="15"/>
  <c r="S23" i="13"/>
  <c r="L21" i="10"/>
  <c r="G11" i="16"/>
  <c r="H8" i="16"/>
  <c r="T20" i="13"/>
  <c r="U20" i="13"/>
  <c r="H11" i="15"/>
  <c r="T21" i="13"/>
  <c r="U21" i="13"/>
  <c r="H12" i="15"/>
  <c r="H9" i="16"/>
  <c r="T24" i="13"/>
  <c r="U24" i="13"/>
  <c r="H15" i="15"/>
  <c r="H12" i="16"/>
  <c r="T23" i="13"/>
  <c r="U23" i="13"/>
  <c r="H11" i="16"/>
  <c r="H14" i="15"/>
  <c r="G27" i="10"/>
  <c r="P31" i="13"/>
  <c r="G28" i="10"/>
  <c r="Q16" i="13"/>
  <c r="Q20" i="13"/>
  <c r="Q24" i="13"/>
  <c r="Q17" i="13"/>
  <c r="Q21" i="13"/>
  <c r="Q18" i="13"/>
  <c r="Q22" i="13"/>
  <c r="Q31" i="13"/>
  <c r="Q19" i="13"/>
  <c r="Q23" i="13"/>
  <c r="Q25" i="13"/>
  <c r="Q26" i="13"/>
  <c r="Q27" i="13"/>
  <c r="Q28" i="13"/>
  <c r="Q29" i="13"/>
  <c r="Q30" i="13"/>
  <c r="G29" i="10"/>
  <c r="H28" i="10"/>
  <c r="I28" i="10"/>
  <c r="H14" i="10"/>
  <c r="I14" i="10"/>
  <c r="H16" i="10"/>
  <c r="I16" i="10"/>
  <c r="H18" i="10"/>
  <c r="I18" i="10"/>
  <c r="H29" i="10"/>
  <c r="I29" i="10"/>
  <c r="H15" i="10"/>
  <c r="I15" i="10"/>
  <c r="H19" i="10"/>
  <c r="I19" i="10"/>
  <c r="G30" i="10"/>
  <c r="H30" i="10"/>
  <c r="I30" i="10"/>
  <c r="H13" i="10"/>
  <c r="I13" i="10"/>
  <c r="H17" i="10"/>
  <c r="I17" i="10"/>
  <c r="H12" i="10"/>
  <c r="I12" i="10"/>
  <c r="H20" i="10"/>
  <c r="I20" i="10"/>
  <c r="H21" i="10"/>
  <c r="I21" i="10"/>
  <c r="H22" i="10"/>
  <c r="I22" i="10"/>
  <c r="H23" i="10"/>
  <c r="I23" i="10"/>
  <c r="H24" i="10"/>
  <c r="I24" i="10"/>
  <c r="H25" i="10"/>
  <c r="I25" i="10"/>
  <c r="H26" i="10"/>
  <c r="I26" i="10"/>
  <c r="H27" i="10"/>
  <c r="I27" i="10"/>
  <c r="F21" i="15"/>
  <c r="F18" i="16"/>
  <c r="F17" i="15"/>
  <c r="F14" i="16"/>
  <c r="F20" i="16"/>
  <c r="F23" i="15"/>
  <c r="F11" i="15"/>
  <c r="F8" i="16"/>
  <c r="F17" i="16"/>
  <c r="F20" i="15"/>
  <c r="F13" i="16"/>
  <c r="F16" i="15"/>
  <c r="F2" i="16"/>
  <c r="F5" i="15"/>
  <c r="F12" i="15"/>
  <c r="F9" i="16"/>
  <c r="F6" i="16"/>
  <c r="F9" i="15"/>
  <c r="F19" i="15"/>
  <c r="F16" i="16"/>
  <c r="F15" i="15"/>
  <c r="F12" i="16"/>
  <c r="F10" i="15"/>
  <c r="F7" i="16"/>
  <c r="F8" i="15"/>
  <c r="F5" i="16"/>
  <c r="F4" i="16"/>
  <c r="F7" i="15"/>
  <c r="F15" i="16"/>
  <c r="F18" i="15"/>
  <c r="F14" i="15"/>
  <c r="F11" i="16"/>
  <c r="F6" i="15"/>
  <c r="F3" i="16"/>
  <c r="F22" i="15"/>
  <c r="F19" i="16"/>
  <c r="F13" i="15"/>
  <c r="F10" i="16"/>
  <c r="A19" i="20" l="1"/>
  <c r="B19" i="20" s="1"/>
  <c r="C19" i="20" s="1"/>
  <c r="A7" i="19"/>
  <c r="B7" i="19" s="1"/>
  <c r="C7" i="19" s="1"/>
  <c r="A22" i="20"/>
  <c r="B22" i="20" s="1"/>
  <c r="C22" i="20" s="1"/>
  <c r="A11" i="20"/>
  <c r="B11" i="20" s="1"/>
  <c r="C11" i="20" s="1"/>
  <c r="L30" i="19"/>
  <c r="A23" i="20"/>
  <c r="B23" i="20" s="1"/>
  <c r="C23" i="20" s="1"/>
  <c r="A15" i="19"/>
  <c r="B15" i="19" s="1"/>
  <c r="C15" i="19" s="1"/>
  <c r="A14" i="20"/>
  <c r="B14" i="20" s="1"/>
  <c r="C14" i="20" s="1"/>
  <c r="A26" i="19"/>
  <c r="B26" i="19" s="1"/>
  <c r="C26" i="19" s="1"/>
  <c r="A18" i="19"/>
  <c r="B18" i="19" s="1"/>
  <c r="C18" i="19" s="1"/>
  <c r="H9" i="18"/>
  <c r="O10" i="18"/>
  <c r="I14" i="18"/>
  <c r="I10" i="18"/>
  <c r="O15" i="18"/>
  <c r="O11" i="18"/>
  <c r="O16" i="18"/>
  <c r="H15" i="18"/>
  <c r="I15" i="18"/>
  <c r="I8" i="18"/>
  <c r="O9" i="18"/>
  <c r="H8" i="18"/>
  <c r="I16" i="18"/>
  <c r="O17" i="18"/>
  <c r="H16" i="18"/>
  <c r="I12" i="18"/>
  <c r="O13" i="18"/>
  <c r="H12" i="18"/>
  <c r="O12" i="18"/>
  <c r="H11" i="18"/>
  <c r="I11" i="18"/>
  <c r="O8" i="18"/>
  <c r="D17" i="18"/>
  <c r="D18" i="18"/>
  <c r="H7" i="18"/>
  <c r="I7" i="18"/>
  <c r="E18" i="18"/>
  <c r="E17" i="18"/>
  <c r="N59" i="10" s="1"/>
  <c r="K59" i="10" s="1"/>
  <c r="I13" i="18"/>
  <c r="I9" i="18"/>
  <c r="O14" i="18"/>
  <c r="N45" i="10"/>
  <c r="K45" i="10" s="1"/>
  <c r="N46" i="10"/>
  <c r="K46" i="10" s="1"/>
  <c r="N51" i="10"/>
  <c r="K51" i="10" s="1"/>
  <c r="N55" i="10" l="1"/>
  <c r="K55" i="10" s="1"/>
  <c r="N43" i="10"/>
  <c r="N44" i="10"/>
  <c r="K44" i="10" s="1"/>
  <c r="N54" i="10"/>
  <c r="K54" i="10" s="1"/>
  <c r="N41" i="10"/>
  <c r="K41" i="10" s="1"/>
  <c r="N52" i="10"/>
  <c r="N42" i="10"/>
  <c r="C30" i="10"/>
  <c r="B20" i="16" s="1"/>
  <c r="N39" i="10"/>
  <c r="C5" i="10"/>
  <c r="J5" i="10" s="1"/>
  <c r="I17" i="18"/>
  <c r="I18" i="18"/>
  <c r="N37" i="10"/>
  <c r="N49" i="10"/>
  <c r="N58" i="10"/>
  <c r="R58" i="10" s="1"/>
  <c r="N47" i="10"/>
  <c r="N53" i="10"/>
  <c r="N56" i="10"/>
  <c r="H17" i="18"/>
  <c r="H18" i="18"/>
  <c r="D19" i="18"/>
  <c r="D20" i="18"/>
  <c r="N57" i="10"/>
  <c r="N36" i="10"/>
  <c r="N48" i="10"/>
  <c r="N38" i="10"/>
  <c r="N50" i="10"/>
  <c r="N40" i="10"/>
  <c r="E19" i="18"/>
  <c r="E20" i="18"/>
  <c r="F22" i="20"/>
  <c r="F22" i="19"/>
  <c r="G22" i="19" s="1"/>
  <c r="R51" i="10"/>
  <c r="F30" i="20"/>
  <c r="R59" i="10"/>
  <c r="R43" i="10"/>
  <c r="F19" i="20"/>
  <c r="R50" i="10"/>
  <c r="F21" i="20"/>
  <c r="F10" i="20"/>
  <c r="F26" i="20"/>
  <c r="R55" i="10"/>
  <c r="F26" i="19"/>
  <c r="G26" i="19" s="1"/>
  <c r="F17" i="19"/>
  <c r="G17" i="19" s="1"/>
  <c r="F17" i="20"/>
  <c r="R46" i="10"/>
  <c r="F16" i="19"/>
  <c r="G16" i="19" s="1"/>
  <c r="F16" i="20"/>
  <c r="R45" i="10"/>
  <c r="M27" i="10" l="1"/>
  <c r="R40" i="10"/>
  <c r="K40" i="10"/>
  <c r="R47" i="10"/>
  <c r="S47" i="10" s="1"/>
  <c r="K47" i="10"/>
  <c r="F28" i="20"/>
  <c r="G28" i="20" s="1"/>
  <c r="K57" i="10"/>
  <c r="R42" i="10"/>
  <c r="I13" i="20" s="1"/>
  <c r="J13" i="20" s="1"/>
  <c r="K42" i="10"/>
  <c r="F13" i="19"/>
  <c r="G13" i="19" s="1"/>
  <c r="F9" i="19"/>
  <c r="G9" i="19" s="1"/>
  <c r="K38" i="10"/>
  <c r="F27" i="20"/>
  <c r="N27" i="20" s="1"/>
  <c r="O27" i="20" s="1"/>
  <c r="K56" i="10"/>
  <c r="R49" i="10"/>
  <c r="K49" i="10"/>
  <c r="F23" i="19"/>
  <c r="G23" i="19" s="1"/>
  <c r="K52" i="10"/>
  <c r="F14" i="20"/>
  <c r="K43" i="10"/>
  <c r="R36" i="10"/>
  <c r="S36" i="10" s="1"/>
  <c r="K36" i="10"/>
  <c r="J30" i="10"/>
  <c r="F21" i="19"/>
  <c r="G21" i="19" s="1"/>
  <c r="K50" i="10"/>
  <c r="F29" i="20"/>
  <c r="K58" i="10"/>
  <c r="F13" i="20"/>
  <c r="N13" i="20" s="1"/>
  <c r="O13" i="20" s="1"/>
  <c r="R57" i="10"/>
  <c r="I28" i="20" s="1"/>
  <c r="J28" i="20" s="1"/>
  <c r="F19" i="19"/>
  <c r="G19" i="19" s="1"/>
  <c r="K48" i="10"/>
  <c r="F24" i="20"/>
  <c r="N24" i="20" s="1"/>
  <c r="O24" i="20" s="1"/>
  <c r="K53" i="10"/>
  <c r="R37" i="10"/>
  <c r="I8" i="20" s="1"/>
  <c r="J8" i="20" s="1"/>
  <c r="K37" i="10"/>
  <c r="F10" i="19"/>
  <c r="G10" i="19" s="1"/>
  <c r="K39" i="10"/>
  <c r="F11" i="20"/>
  <c r="E1" i="19"/>
  <c r="F18" i="19"/>
  <c r="G18" i="19" s="1"/>
  <c r="F7" i="20"/>
  <c r="N7" i="20" s="1"/>
  <c r="O7" i="20" s="1"/>
  <c r="F18" i="20"/>
  <c r="N18" i="20" s="1"/>
  <c r="O18" i="20" s="1"/>
  <c r="B23" i="15"/>
  <c r="R52" i="10"/>
  <c r="S52" i="10" s="1"/>
  <c r="F7" i="19"/>
  <c r="G7" i="19" s="1"/>
  <c r="F14" i="19"/>
  <c r="G14" i="19" s="1"/>
  <c r="M26" i="10"/>
  <c r="K16" i="16" s="1"/>
  <c r="N31" i="13"/>
  <c r="F11" i="19"/>
  <c r="G11" i="19" s="1"/>
  <c r="M25" i="10"/>
  <c r="K18" i="15" s="1"/>
  <c r="F20" i="20"/>
  <c r="N20" i="20" s="1"/>
  <c r="O20" i="20" s="1"/>
  <c r="M12" i="10"/>
  <c r="K2" i="16" s="1"/>
  <c r="R39" i="10"/>
  <c r="I10" i="20" s="1"/>
  <c r="J10" i="20" s="1"/>
  <c r="R53" i="10"/>
  <c r="I24" i="20" s="1"/>
  <c r="J24" i="20" s="1"/>
  <c r="F8" i="20"/>
  <c r="G8" i="20" s="1"/>
  <c r="M14" i="10"/>
  <c r="V18" i="13" s="1"/>
  <c r="E1" i="20"/>
  <c r="F9" i="20"/>
  <c r="G9" i="20" s="1"/>
  <c r="M22" i="10"/>
  <c r="V24" i="13" s="1"/>
  <c r="L5" i="10"/>
  <c r="M28" i="10"/>
  <c r="N28" i="10" s="1"/>
  <c r="O28" i="10" s="1"/>
  <c r="R38" i="10"/>
  <c r="S38" i="10" s="1"/>
  <c r="R41" i="10"/>
  <c r="F12" i="19"/>
  <c r="G12" i="19" s="1"/>
  <c r="F12" i="20"/>
  <c r="R56" i="10"/>
  <c r="I27" i="20" s="1"/>
  <c r="J27" i="20" s="1"/>
  <c r="F24" i="19"/>
  <c r="G24" i="19" s="1"/>
  <c r="F20" i="19"/>
  <c r="G20" i="19" s="1"/>
  <c r="F8" i="19"/>
  <c r="G8" i="19" s="1"/>
  <c r="M13" i="10"/>
  <c r="N13" i="10" s="1"/>
  <c r="O13" i="10" s="1"/>
  <c r="M16" i="10"/>
  <c r="K9" i="15" s="1"/>
  <c r="M23" i="10"/>
  <c r="K16" i="15" s="1"/>
  <c r="M24" i="10"/>
  <c r="V26" i="13" s="1"/>
  <c r="K5" i="10"/>
  <c r="F23" i="20"/>
  <c r="N23" i="20" s="1"/>
  <c r="O23" i="20" s="1"/>
  <c r="R48" i="10"/>
  <c r="I19" i="20" s="1"/>
  <c r="J19" i="20" s="1"/>
  <c r="H19" i="18"/>
  <c r="H20" i="18"/>
  <c r="I19" i="18"/>
  <c r="I20" i="18"/>
  <c r="R54" i="10"/>
  <c r="F25" i="19"/>
  <c r="G25" i="19" s="1"/>
  <c r="F25" i="20"/>
  <c r="M19" i="10"/>
  <c r="K12" i="15" s="1"/>
  <c r="M21" i="10"/>
  <c r="V23" i="13" s="1"/>
  <c r="M17" i="10"/>
  <c r="V19" i="13" s="1"/>
  <c r="M20" i="10"/>
  <c r="K3" i="17" s="1"/>
  <c r="K12" i="17" s="1"/>
  <c r="K13" i="17" s="1"/>
  <c r="M18" i="10"/>
  <c r="V20" i="13" s="1"/>
  <c r="M15" i="10"/>
  <c r="K8" i="15" s="1"/>
  <c r="F15" i="20"/>
  <c r="R44" i="10"/>
  <c r="F15" i="19"/>
  <c r="G15" i="19" s="1"/>
  <c r="S55" i="10"/>
  <c r="I26" i="20"/>
  <c r="J26" i="20" s="1"/>
  <c r="K30" i="10"/>
  <c r="R31" i="13"/>
  <c r="N9" i="20"/>
  <c r="O9" i="20" s="1"/>
  <c r="G19" i="20"/>
  <c r="N19" i="20"/>
  <c r="O19" i="20" s="1"/>
  <c r="S43" i="10"/>
  <c r="I14" i="20"/>
  <c r="J14" i="20" s="1"/>
  <c r="N30" i="20"/>
  <c r="O30" i="20" s="1"/>
  <c r="G30" i="20"/>
  <c r="I16" i="20"/>
  <c r="J16" i="20" s="1"/>
  <c r="S45" i="10"/>
  <c r="N17" i="20"/>
  <c r="O17" i="20" s="1"/>
  <c r="G17" i="20"/>
  <c r="N26" i="20"/>
  <c r="O26" i="20" s="1"/>
  <c r="G26" i="20"/>
  <c r="G27" i="20"/>
  <c r="G24" i="20"/>
  <c r="I29" i="20"/>
  <c r="J29" i="20" s="1"/>
  <c r="S58" i="10"/>
  <c r="S49" i="10"/>
  <c r="I20" i="20"/>
  <c r="J20" i="20" s="1"/>
  <c r="S37" i="10"/>
  <c r="K10" i="16"/>
  <c r="V22" i="13"/>
  <c r="N11" i="20"/>
  <c r="O11" i="20" s="1"/>
  <c r="G11" i="20"/>
  <c r="G21" i="20"/>
  <c r="N21" i="20"/>
  <c r="O21" i="20" s="1"/>
  <c r="G7" i="20"/>
  <c r="N14" i="20"/>
  <c r="O14" i="20" s="1"/>
  <c r="G14" i="20"/>
  <c r="S51" i="10"/>
  <c r="I22" i="20"/>
  <c r="J22" i="20" s="1"/>
  <c r="G16" i="20"/>
  <c r="N16" i="20"/>
  <c r="O16" i="20" s="1"/>
  <c r="K19" i="15"/>
  <c r="N26" i="10"/>
  <c r="O26" i="10" s="1"/>
  <c r="P26" i="10" s="1"/>
  <c r="N25" i="10"/>
  <c r="O25" i="10" s="1"/>
  <c r="K15" i="16"/>
  <c r="V28" i="13"/>
  <c r="K17" i="16"/>
  <c r="N27" i="10"/>
  <c r="O27" i="10" s="1"/>
  <c r="K20" i="15"/>
  <c r="G10" i="20"/>
  <c r="N10" i="20"/>
  <c r="O10" i="20" s="1"/>
  <c r="I21" i="20"/>
  <c r="J21" i="20" s="1"/>
  <c r="S50" i="10"/>
  <c r="N28" i="20"/>
  <c r="O28" i="20" s="1"/>
  <c r="S59" i="10"/>
  <c r="I30" i="20"/>
  <c r="J30" i="20" s="1"/>
  <c r="I17" i="20"/>
  <c r="J17" i="20" s="1"/>
  <c r="S46" i="10"/>
  <c r="I18" i="20"/>
  <c r="J18" i="20" s="1"/>
  <c r="G29" i="20"/>
  <c r="N29" i="20"/>
  <c r="O29" i="20" s="1"/>
  <c r="N8" i="20"/>
  <c r="O8" i="20" s="1"/>
  <c r="K15" i="15"/>
  <c r="N21" i="10"/>
  <c r="O21" i="10" s="1"/>
  <c r="S39" i="10"/>
  <c r="S40" i="10"/>
  <c r="I11" i="20"/>
  <c r="J11" i="20" s="1"/>
  <c r="G22" i="20"/>
  <c r="N22" i="20"/>
  <c r="O22" i="20" s="1"/>
  <c r="I23" i="20" l="1"/>
  <c r="J23" i="20" s="1"/>
  <c r="G20" i="20"/>
  <c r="P20" i="20" s="1"/>
  <c r="Q20" i="20" s="1"/>
  <c r="S42" i="10"/>
  <c r="N16" i="10"/>
  <c r="O16" i="10" s="1"/>
  <c r="P16" i="10" s="1"/>
  <c r="N6" i="16" s="1"/>
  <c r="V27" i="13"/>
  <c r="G18" i="20"/>
  <c r="K18" i="20" s="1"/>
  <c r="L18" i="20" s="1"/>
  <c r="G13" i="20"/>
  <c r="G23" i="20"/>
  <c r="P23" i="20" s="1"/>
  <c r="Q23" i="20" s="1"/>
  <c r="I7" i="20"/>
  <c r="J7" i="20" s="1"/>
  <c r="K21" i="15"/>
  <c r="K14" i="16"/>
  <c r="K18" i="16"/>
  <c r="S53" i="10"/>
  <c r="K4" i="16"/>
  <c r="S57" i="10"/>
  <c r="K7" i="16"/>
  <c r="N24" i="10"/>
  <c r="O24" i="10" s="1"/>
  <c r="K11" i="16"/>
  <c r="K5" i="16"/>
  <c r="N23" i="10"/>
  <c r="O23" i="10" s="1"/>
  <c r="P23" i="10" s="1"/>
  <c r="K12" i="16"/>
  <c r="K30" i="20"/>
  <c r="L30" i="20" s="1"/>
  <c r="N20" i="10"/>
  <c r="O20" i="10" s="1"/>
  <c r="W22" i="13" s="1"/>
  <c r="P22" i="20"/>
  <c r="Q22" i="20" s="1"/>
  <c r="K9" i="16"/>
  <c r="K13" i="15"/>
  <c r="K19" i="20"/>
  <c r="L19" i="20" s="1"/>
  <c r="K5" i="15"/>
  <c r="K3" i="16"/>
  <c r="K10" i="20"/>
  <c r="L10" i="20" s="1"/>
  <c r="N19" i="10"/>
  <c r="O19" i="10" s="1"/>
  <c r="P19" i="10" s="1"/>
  <c r="S48" i="10"/>
  <c r="K7" i="15"/>
  <c r="V16" i="13"/>
  <c r="N18" i="10"/>
  <c r="O18" i="10" s="1"/>
  <c r="P18" i="10" s="1"/>
  <c r="V25" i="13"/>
  <c r="N22" i="10"/>
  <c r="O22" i="10" s="1"/>
  <c r="W24" i="13" s="1"/>
  <c r="V21" i="13"/>
  <c r="K6" i="16"/>
  <c r="N14" i="10"/>
  <c r="O14" i="10" s="1"/>
  <c r="W18" i="13" s="1"/>
  <c r="N12" i="10"/>
  <c r="O12" i="10" s="1"/>
  <c r="K8" i="16"/>
  <c r="M3" i="17"/>
  <c r="M12" i="17" s="1"/>
  <c r="M13" i="17" s="1"/>
  <c r="K13" i="16"/>
  <c r="L3" i="17"/>
  <c r="L12" i="17" s="1"/>
  <c r="L13" i="17" s="1"/>
  <c r="K11" i="15"/>
  <c r="P27" i="20"/>
  <c r="Q27" i="20" s="1"/>
  <c r="P19" i="20"/>
  <c r="Q19" i="20" s="1"/>
  <c r="K24" i="20"/>
  <c r="L24" i="20" s="1"/>
  <c r="K10" i="15"/>
  <c r="P26" i="20"/>
  <c r="Q26" i="20" s="1"/>
  <c r="P9" i="20"/>
  <c r="Q9" i="20" s="1"/>
  <c r="K11" i="20"/>
  <c r="L11" i="20" s="1"/>
  <c r="V29" i="13"/>
  <c r="I9" i="20"/>
  <c r="J9" i="20" s="1"/>
  <c r="K9" i="20" s="1"/>
  <c r="L9" i="20" s="1"/>
  <c r="P11" i="20"/>
  <c r="Q11" i="20" s="1"/>
  <c r="N15" i="10"/>
  <c r="O15" i="10" s="1"/>
  <c r="P15" i="10" s="1"/>
  <c r="N8" i="15" s="1"/>
  <c r="N17" i="10"/>
  <c r="O17" i="10" s="1"/>
  <c r="P17" i="10" s="1"/>
  <c r="K17" i="15"/>
  <c r="K6" i="15"/>
  <c r="S56" i="10"/>
  <c r="G15" i="20"/>
  <c r="N15" i="20"/>
  <c r="O15" i="20" s="1"/>
  <c r="K21" i="20"/>
  <c r="L21" i="20" s="1"/>
  <c r="P24" i="20"/>
  <c r="Q24" i="20" s="1"/>
  <c r="K16" i="20"/>
  <c r="L16" i="20" s="1"/>
  <c r="V17" i="13"/>
  <c r="S54" i="10"/>
  <c r="I25" i="20"/>
  <c r="J25" i="20" s="1"/>
  <c r="G12" i="20"/>
  <c r="N12" i="20"/>
  <c r="O12" i="20" s="1"/>
  <c r="K14" i="15"/>
  <c r="P8" i="20"/>
  <c r="Q8" i="20" s="1"/>
  <c r="K28" i="20"/>
  <c r="L28" i="20" s="1"/>
  <c r="P29" i="20"/>
  <c r="Q29" i="20" s="1"/>
  <c r="P16" i="20"/>
  <c r="Q16" i="20" s="1"/>
  <c r="P21" i="20"/>
  <c r="Q21" i="20" s="1"/>
  <c r="K8" i="20"/>
  <c r="L8" i="20" s="1"/>
  <c r="K29" i="20"/>
  <c r="L29" i="20" s="1"/>
  <c r="I15" i="20"/>
  <c r="J15" i="20" s="1"/>
  <c r="S44" i="10"/>
  <c r="G25" i="20"/>
  <c r="N25" i="20"/>
  <c r="O25" i="20" s="1"/>
  <c r="S41" i="10"/>
  <c r="I12" i="20"/>
  <c r="J12" i="20" s="1"/>
  <c r="W29" i="13"/>
  <c r="P28" i="10"/>
  <c r="P17" i="20"/>
  <c r="Q17" i="20" s="1"/>
  <c r="P30" i="20"/>
  <c r="Q30" i="20" s="1"/>
  <c r="W17" i="13"/>
  <c r="P13" i="10"/>
  <c r="K27" i="20"/>
  <c r="L27" i="20" s="1"/>
  <c r="P28" i="20"/>
  <c r="Q28" i="20" s="1"/>
  <c r="K23" i="20"/>
  <c r="L23" i="20" s="1"/>
  <c r="P27" i="10"/>
  <c r="W28" i="13"/>
  <c r="P25" i="10"/>
  <c r="W27" i="13"/>
  <c r="P18" i="20"/>
  <c r="Q18" i="20" s="1"/>
  <c r="P14" i="20"/>
  <c r="Q14" i="20" s="1"/>
  <c r="P13" i="20"/>
  <c r="Q13" i="20" s="1"/>
  <c r="W20" i="13"/>
  <c r="P20" i="10"/>
  <c r="K14" i="20"/>
  <c r="L14" i="20" s="1"/>
  <c r="K26" i="20"/>
  <c r="L26" i="20" s="1"/>
  <c r="W21" i="13"/>
  <c r="N19" i="15"/>
  <c r="N16" i="16"/>
  <c r="N2" i="16"/>
  <c r="K13" i="20"/>
  <c r="L13" i="20" s="1"/>
  <c r="W23" i="13"/>
  <c r="P21" i="10"/>
  <c r="N9" i="15"/>
  <c r="K17" i="20"/>
  <c r="L17" i="20" s="1"/>
  <c r="P10" i="20"/>
  <c r="Q10" i="20" s="1"/>
  <c r="K22" i="20"/>
  <c r="L22" i="20" s="1"/>
  <c r="L30" i="10"/>
  <c r="G23" i="15"/>
  <c r="S31" i="13"/>
  <c r="G20" i="16"/>
  <c r="P24" i="10"/>
  <c r="W26" i="13"/>
  <c r="K20" i="20" l="1"/>
  <c r="L20" i="20" s="1"/>
  <c r="P14" i="10"/>
  <c r="N4" i="16" s="1"/>
  <c r="N5" i="16"/>
  <c r="W25" i="13"/>
  <c r="P25" i="20"/>
  <c r="Q25" i="20" s="1"/>
  <c r="P12" i="20"/>
  <c r="Q12" i="20" s="1"/>
  <c r="P15" i="20"/>
  <c r="Q15" i="20" s="1"/>
  <c r="O31" i="10"/>
  <c r="H1" i="20" s="1"/>
  <c r="P22" i="10"/>
  <c r="N15" i="15" s="1"/>
  <c r="W16" i="13"/>
  <c r="P12" i="10"/>
  <c r="N5" i="15" s="1"/>
  <c r="W19" i="13"/>
  <c r="K12" i="20"/>
  <c r="L12" i="20" s="1"/>
  <c r="K25" i="20"/>
  <c r="L25" i="20" s="1"/>
  <c r="K15" i="20"/>
  <c r="L15" i="20" s="1"/>
  <c r="H20" i="16"/>
  <c r="H23" i="15"/>
  <c r="N16" i="15"/>
  <c r="N13" i="16"/>
  <c r="N9" i="16"/>
  <c r="N12" i="15"/>
  <c r="N8" i="16"/>
  <c r="N11" i="15"/>
  <c r="H1" i="19"/>
  <c r="N17" i="16"/>
  <c r="N20" i="15"/>
  <c r="N10" i="15"/>
  <c r="N7" i="16"/>
  <c r="N14" i="15"/>
  <c r="N11" i="16"/>
  <c r="K14" i="17"/>
  <c r="N13" i="15"/>
  <c r="N10" i="16"/>
  <c r="N15" i="16"/>
  <c r="N18" i="15"/>
  <c r="N6" i="15"/>
  <c r="N3" i="16"/>
  <c r="N18" i="16"/>
  <c r="N21" i="15"/>
  <c r="N17" i="15"/>
  <c r="N14" i="16"/>
  <c r="N7" i="15"/>
  <c r="M14" i="17"/>
  <c r="L14" i="17"/>
  <c r="N12" i="16" l="1"/>
  <c r="N24" i="15"/>
  <c r="Q5" i="15" s="1"/>
  <c r="Q6" i="15" s="1"/>
  <c r="Q7" i="15" s="1"/>
  <c r="Q8" i="15" s="1"/>
  <c r="Q9" i="15" s="1"/>
  <c r="Q10" i="15" s="1"/>
  <c r="Q11" i="15" s="1"/>
  <c r="Q12" i="15" s="1"/>
  <c r="Q13" i="15" s="1"/>
  <c r="Q14" i="15" s="1"/>
  <c r="Q15" i="15" s="1"/>
  <c r="Q16" i="15" s="1"/>
  <c r="Q17" i="15" s="1"/>
  <c r="Q18" i="15" s="1"/>
  <c r="Q19" i="15" s="1"/>
  <c r="Q20" i="15" s="1"/>
  <c r="Q21" i="15" s="1"/>
  <c r="Q22" i="15" s="1"/>
  <c r="P31" i="10"/>
  <c r="Q28" i="10" s="1"/>
  <c r="P18" i="16" s="1"/>
  <c r="Q26" i="10"/>
  <c r="Q25" i="10" l="1"/>
  <c r="P18" i="15" s="1"/>
  <c r="Q17" i="10"/>
  <c r="Q19" i="10"/>
  <c r="P12" i="15" s="1"/>
  <c r="Q15" i="10"/>
  <c r="P8" i="15" s="1"/>
  <c r="Q24" i="10"/>
  <c r="P17" i="15" s="1"/>
  <c r="Q21" i="10"/>
  <c r="P14" i="15" s="1"/>
  <c r="Q27" i="10"/>
  <c r="Q16" i="10"/>
  <c r="P9" i="15" s="1"/>
  <c r="Q23" i="10"/>
  <c r="Q13" i="10"/>
  <c r="Q14" i="10"/>
  <c r="P4" i="16" s="1"/>
  <c r="R12" i="10"/>
  <c r="Q2" i="16" s="1"/>
  <c r="Q22" i="10"/>
  <c r="Q18" i="10"/>
  <c r="Q12" i="10"/>
  <c r="Q20" i="10"/>
  <c r="P15" i="16"/>
  <c r="P21" i="15"/>
  <c r="P16" i="16"/>
  <c r="P19" i="15"/>
  <c r="P17" i="16"/>
  <c r="P20" i="15"/>
  <c r="P7" i="15"/>
  <c r="R13" i="10"/>
  <c r="P9" i="16" l="1"/>
  <c r="P6" i="16"/>
  <c r="P5" i="16"/>
  <c r="P10" i="15"/>
  <c r="P7" i="16"/>
  <c r="P3" i="16"/>
  <c r="P6" i="15"/>
  <c r="P12" i="16"/>
  <c r="P15" i="15"/>
  <c r="P13" i="16"/>
  <c r="P16" i="15"/>
  <c r="P11" i="15"/>
  <c r="P8" i="16"/>
  <c r="P11" i="16"/>
  <c r="P14" i="16"/>
  <c r="P13" i="15"/>
  <c r="P10" i="16"/>
  <c r="P5" i="15"/>
  <c r="P2" i="16"/>
  <c r="Q3" i="16"/>
  <c r="R14" i="10"/>
  <c r="Q4" i="16" l="1"/>
  <c r="R15" i="10"/>
  <c r="R16" i="10" l="1"/>
  <c r="Q5" i="16"/>
  <c r="R17" i="10" l="1"/>
  <c r="Q6" i="16"/>
  <c r="Q7" i="16" l="1"/>
  <c r="R18" i="10"/>
  <c r="R19" i="10" l="1"/>
  <c r="Q8" i="16"/>
  <c r="Q9" i="16" l="1"/>
  <c r="R20" i="10"/>
  <c r="R21" i="10" l="1"/>
  <c r="Q10" i="16"/>
  <c r="Q11" i="16" l="1"/>
  <c r="R22" i="10"/>
  <c r="R23" i="10" l="1"/>
  <c r="Q12" i="16"/>
  <c r="Q13" i="16" l="1"/>
  <c r="R24" i="10"/>
  <c r="Q14" i="16" l="1"/>
  <c r="R25" i="10"/>
  <c r="R26" i="10" l="1"/>
  <c r="Q15" i="16"/>
  <c r="Q16" i="16" l="1"/>
  <c r="R27" i="10"/>
  <c r="Q17" i="16" l="1"/>
  <c r="R28" i="10"/>
  <c r="Q18" i="16" s="1"/>
</calcChain>
</file>

<file path=xl/comments1.xml><?xml version="1.0" encoding="utf-8"?>
<comments xmlns="http://schemas.openxmlformats.org/spreadsheetml/2006/main">
  <authors>
    <author>Gitai Yahel</author>
    <author>Sally</author>
    <author>Yahe Family</author>
  </authors>
  <commentList>
    <comment ref="A4" authorId="0">
      <text>
        <r>
          <rPr>
            <b/>
            <sz val="9"/>
            <color indexed="81"/>
            <rFont val="Tahoma"/>
            <family val="2"/>
          </rPr>
          <t>Gitai Yahel:</t>
        </r>
        <r>
          <rPr>
            <sz val="9"/>
            <color indexed="81"/>
            <rFont val="Tahoma"/>
            <family val="2"/>
          </rPr>
          <t xml:space="preserve">
 using the sponge volume/wall thicknses</t>
        </r>
      </text>
    </comment>
    <comment ref="D4" authorId="0">
      <text>
        <r>
          <rPr>
            <b/>
            <sz val="9"/>
            <color indexed="81"/>
            <rFont val="Tahoma"/>
            <family val="2"/>
          </rPr>
          <t>Gitai Yahel:</t>
        </r>
        <r>
          <rPr>
            <sz val="9"/>
            <color indexed="81"/>
            <rFont val="Tahoma"/>
            <family val="2"/>
          </rPr>
          <t xml:space="preserve">
Using avrage wall thicness of 5.54 mm</t>
        </r>
      </text>
    </comment>
    <comment ref="E4" authorId="0">
      <text>
        <r>
          <rPr>
            <b/>
            <sz val="9"/>
            <color indexed="81"/>
            <rFont val="Tahoma"/>
            <family val="2"/>
          </rPr>
          <t>Gitai Yahel:</t>
        </r>
        <r>
          <rPr>
            <sz val="9"/>
            <color indexed="81"/>
            <rFont val="Tahoma"/>
            <family val="2"/>
          </rPr>
          <t xml:space="preserve">
Seawater at 32 psu, 10 degC</t>
        </r>
      </text>
    </comment>
    <comment ref="H5" authorId="0">
      <text>
        <r>
          <rPr>
            <b/>
            <sz val="9"/>
            <color indexed="81"/>
            <rFont val="Tahoma"/>
            <family val="2"/>
          </rPr>
          <t>Gitai Yahel:</t>
        </r>
        <r>
          <rPr>
            <sz val="9"/>
            <color indexed="81"/>
            <rFont val="Tahoma"/>
            <family val="2"/>
          </rPr>
          <t xml:space="preserve">
From inactive sponge in figures 5D. We amy change this number later</t>
        </r>
      </text>
    </comment>
    <comment ref="G11" authorId="1">
      <text>
        <r>
          <rPr>
            <b/>
            <sz val="9"/>
            <color indexed="81"/>
            <rFont val="Tahoma"/>
            <family val="2"/>
          </rPr>
          <t>Sally:</t>
        </r>
        <r>
          <rPr>
            <sz val="9"/>
            <color indexed="81"/>
            <rFont val="Tahoma"/>
            <family val="2"/>
          </rPr>
          <t xml:space="preserve">
For a 4.79 mm diameter cylindrical cross wall section of the sponge tissue</t>
        </r>
      </text>
    </comment>
    <comment ref="J11" authorId="0">
      <text>
        <r>
          <rPr>
            <b/>
            <sz val="9"/>
            <color indexed="81"/>
            <rFont val="Tahoma"/>
            <family val="2"/>
          </rPr>
          <t>Sally:</t>
        </r>
        <r>
          <rPr>
            <sz val="9"/>
            <color indexed="81"/>
            <rFont val="Tahoma"/>
            <family val="2"/>
          </rPr>
          <t xml:space="preserve">
this means for the ostia, area in a piece of the dermal membrane 1mm x 1mm, same as the large canals, but for the choanocyte chambers, it means total surface area of chambers in the 1mm3 piece</t>
        </r>
      </text>
    </comment>
    <comment ref="M11" authorId="0">
      <text>
        <r>
          <rPr>
            <b/>
            <sz val="9"/>
            <color indexed="81"/>
            <rFont val="Tahoma"/>
            <family val="2"/>
          </rPr>
          <t>Gitai Yahel:</t>
        </r>
        <r>
          <rPr>
            <sz val="9"/>
            <color indexed="81"/>
            <rFont val="Tahoma"/>
            <family val="2"/>
          </rPr>
          <t xml:space="preserve">
=ExcurrentSpeed*$M$30/M12</t>
        </r>
      </text>
    </comment>
    <comment ref="B14" authorId="1">
      <text>
        <r>
          <rPr>
            <b/>
            <sz val="9"/>
            <color indexed="81"/>
            <rFont val="Tahoma"/>
            <family val="2"/>
          </rPr>
          <t>Sally:</t>
        </r>
        <r>
          <rPr>
            <sz val="9"/>
            <color indexed="81"/>
            <rFont val="Tahoma"/>
            <family val="2"/>
          </rPr>
          <t xml:space="preserve">
can this really be right?
I checked the measurements, and they seem so, but it seems a very small area compared to other regions.
Especially when I say that large incurrent and large excurent are the same (statement above).</t>
        </r>
      </text>
    </comment>
    <comment ref="B17" authorId="2">
      <text>
        <r>
          <rPr>
            <b/>
            <sz val="8"/>
            <color indexed="81"/>
            <rFont val="Tahoma"/>
            <family val="2"/>
          </rPr>
          <t>Yahe Family:</t>
        </r>
        <r>
          <rPr>
            <sz val="8"/>
            <color indexed="81"/>
            <rFont val="Tahoma"/>
            <family val="2"/>
          </rPr>
          <t xml:space="preserve">
(entrances to chambers)</t>
        </r>
      </text>
    </comment>
    <comment ref="E18" authorId="1">
      <text>
        <r>
          <rPr>
            <b/>
            <sz val="9"/>
            <color indexed="81"/>
            <rFont val="Tahoma"/>
            <family val="2"/>
          </rPr>
          <t>Sally:</t>
        </r>
        <r>
          <rPr>
            <sz val="9"/>
            <color indexed="81"/>
            <rFont val="Tahoma"/>
            <family val="2"/>
          </rPr>
          <t xml:space="preserve">
Sally:
This path length concerns the 'cone that lies between the prosopyle and the collar slit.
The same is done for the cone that follows the collar slit.
</t>
        </r>
      </text>
    </comment>
    <comment ref="B19" authorId="2">
      <text>
        <r>
          <rPr>
            <b/>
            <sz val="8"/>
            <color indexed="81"/>
            <rFont val="Tahoma"/>
            <family val="2"/>
          </rPr>
          <t>Yahe Family:</t>
        </r>
        <r>
          <rPr>
            <sz val="8"/>
            <color indexed="81"/>
            <rFont val="Tahoma"/>
            <family val="2"/>
          </rPr>
          <t xml:space="preserve">
(dimensions and thickness)
</t>
        </r>
      </text>
    </comment>
    <comment ref="C19" authorId="1">
      <text>
        <r>
          <rPr>
            <b/>
            <sz val="9"/>
            <color indexed="81"/>
            <rFont val="Tahoma"/>
            <family val="2"/>
          </rPr>
          <t>Sally:</t>
        </r>
        <r>
          <rPr>
            <sz val="9"/>
            <color indexed="81"/>
            <rFont val="Tahoma"/>
            <family val="2"/>
          </rPr>
          <t xml:space="preserve">
0.022 x 0.070 (I took their sum and divided by 2)</t>
        </r>
      </text>
    </comment>
    <comment ref="E19" authorId="1">
      <text>
        <r>
          <rPr>
            <b/>
            <sz val="9"/>
            <color indexed="81"/>
            <rFont val="Tahoma"/>
            <family val="2"/>
          </rPr>
          <t>Sally:</t>
        </r>
        <r>
          <rPr>
            <sz val="9"/>
            <color indexed="81"/>
            <rFont val="Tahoma"/>
            <family val="2"/>
          </rPr>
          <t xml:space="preserve">
this length is B36 (the thickness of a single sheet…); you could say it's the same as the width of the collar microvilli though…if considering there to be two such sheets.</t>
        </r>
      </text>
    </comment>
    <comment ref="B20" authorId="2">
      <text>
        <r>
          <rPr>
            <b/>
            <sz val="8"/>
            <color indexed="81"/>
            <rFont val="Tahoma"/>
            <family val="2"/>
          </rPr>
          <t>Yahe Family:</t>
        </r>
        <r>
          <rPr>
            <sz val="8"/>
            <color indexed="81"/>
            <rFont val="Tahoma"/>
            <family val="2"/>
          </rPr>
          <t xml:space="preserve">
(space btwn microvilli)</t>
        </r>
      </text>
    </comment>
    <comment ref="E20" authorId="1">
      <text>
        <r>
          <rPr>
            <b/>
            <sz val="9"/>
            <color indexed="81"/>
            <rFont val="Tahoma"/>
            <family val="2"/>
          </rPr>
          <t>Sally:</t>
        </r>
        <r>
          <rPr>
            <sz val="9"/>
            <color indexed="81"/>
            <rFont val="Tahoma"/>
            <family val="2"/>
          </rPr>
          <t xml:space="preserve">
This is the width of the collar microvilli, 0.07um = 0.00007mm</t>
        </r>
      </text>
    </comment>
    <comment ref="B21" authorId="2">
      <text>
        <r>
          <rPr>
            <b/>
            <sz val="8"/>
            <color indexed="81"/>
            <rFont val="Tahoma"/>
            <family val="2"/>
          </rPr>
          <t>Yahe Family:</t>
        </r>
        <r>
          <rPr>
            <sz val="8"/>
            <color indexed="81"/>
            <rFont val="Tahoma"/>
            <family val="2"/>
          </rPr>
          <t xml:space="preserve">
(dimensions and thickness)
</t>
        </r>
      </text>
    </comment>
    <comment ref="C21" authorId="1">
      <text>
        <r>
          <rPr>
            <b/>
            <sz val="9"/>
            <color indexed="81"/>
            <rFont val="Tahoma"/>
            <family val="2"/>
          </rPr>
          <t>Sally:</t>
        </r>
        <r>
          <rPr>
            <sz val="9"/>
            <color indexed="81"/>
            <rFont val="Tahoma"/>
            <family val="2"/>
          </rPr>
          <t xml:space="preserve">
0.022 x 0.070 (I took their sum and divided by 2)</t>
        </r>
      </text>
    </comment>
    <comment ref="E21" authorId="1">
      <text>
        <r>
          <rPr>
            <b/>
            <sz val="9"/>
            <color indexed="81"/>
            <rFont val="Tahoma"/>
            <family val="2"/>
          </rPr>
          <t>Sally:</t>
        </r>
        <r>
          <rPr>
            <sz val="9"/>
            <color indexed="81"/>
            <rFont val="Tahoma"/>
            <family val="2"/>
          </rPr>
          <t xml:space="preserve">
this length is B36 (the thickness of a single sheet…); you could say it's the same as the width of the collar microvilli though…if considering there to be two such sheets.</t>
        </r>
      </text>
    </comment>
    <comment ref="E23" authorId="1">
      <text>
        <r>
          <rPr>
            <b/>
            <sz val="9"/>
            <color indexed="81"/>
            <rFont val="Tahoma"/>
            <family val="2"/>
          </rPr>
          <t>Sally:</t>
        </r>
        <r>
          <rPr>
            <sz val="9"/>
            <color indexed="81"/>
            <rFont val="Tahoma"/>
            <family val="2"/>
          </rPr>
          <t xml:space="preserve">
This path length is the distance from the microvilli out of the collar aperture - that is estimated to be half of the height of the collar microvilli (3.25um; so 1.64um) plus the height of the collar aperture (0.5um)</t>
        </r>
      </text>
    </comment>
    <comment ref="E24" authorId="1">
      <text>
        <r>
          <rPr>
            <b/>
            <sz val="9"/>
            <color indexed="81"/>
            <rFont val="Tahoma"/>
            <family val="2"/>
          </rPr>
          <t>Sally:</t>
        </r>
        <r>
          <rPr>
            <sz val="9"/>
            <color indexed="81"/>
            <rFont val="Tahoma"/>
            <family val="2"/>
          </rPr>
          <t xml:space="preserve">
path length is the length of the chamber </t>
        </r>
      </text>
    </comment>
    <comment ref="B25" authorId="2">
      <text>
        <r>
          <rPr>
            <b/>
            <sz val="8"/>
            <color indexed="81"/>
            <rFont val="Tahoma"/>
            <family val="2"/>
          </rPr>
          <t>Yahe Family:</t>
        </r>
        <r>
          <rPr>
            <sz val="8"/>
            <color indexed="81"/>
            <rFont val="Tahoma"/>
            <family val="2"/>
          </rPr>
          <t xml:space="preserve">
 (exit of chambers) </t>
        </r>
      </text>
    </comment>
    <comment ref="E25" authorId="1">
      <text>
        <r>
          <rPr>
            <b/>
            <sz val="9"/>
            <color indexed="81"/>
            <rFont val="Tahoma"/>
            <family val="2"/>
          </rPr>
          <t>Sally:</t>
        </r>
        <r>
          <rPr>
            <sz val="9"/>
            <color indexed="81"/>
            <rFont val="Tahoma"/>
            <family val="2"/>
          </rPr>
          <t xml:space="preserve">
this path length is just the diameter of the primary reticulum</t>
        </r>
      </text>
    </comment>
    <comment ref="C30" authorId="0">
      <text>
        <r>
          <rPr>
            <b/>
            <sz val="9"/>
            <color indexed="81"/>
            <rFont val="Tahoma"/>
            <family val="2"/>
          </rPr>
          <t>Gitai Yahel:</t>
        </r>
        <r>
          <rPr>
            <sz val="9"/>
            <color indexed="81"/>
            <rFont val="Tahoma"/>
            <family val="2"/>
          </rPr>
          <t xml:space="preserve">
Using the numbers from the AV sponge used in the flume experiemnt  file and acounting for wall thicknes, the tapring of the oscula and the irgularity of the oscula</t>
        </r>
      </text>
    </comment>
    <comment ref="J30" authorId="0">
      <text>
        <r>
          <rPr>
            <b/>
            <sz val="9"/>
            <color indexed="81"/>
            <rFont val="Tahoma"/>
            <family val="2"/>
          </rPr>
          <t>Gitai Yahel:</t>
        </r>
        <r>
          <rPr>
            <sz val="9"/>
            <color indexed="81"/>
            <rFont val="Tahoma"/>
            <family val="2"/>
          </rPr>
          <t xml:space="preserve">
Using the inner area of the oscula and calculation the total surface area of the sponge using its body volum (304000 mm^3) and a wall thicness of 5.5 mm so that the total inhalent area of the sponge is 304000/5.5=55,273 mm^2 
</t>
        </r>
      </text>
    </comment>
    <comment ref="O35" authorId="0">
      <text>
        <r>
          <rPr>
            <b/>
            <sz val="9"/>
            <color indexed="81"/>
            <rFont val="Tahoma"/>
            <family val="2"/>
          </rPr>
          <t>Gitai Yahel:</t>
        </r>
        <r>
          <rPr>
            <sz val="9"/>
            <color indexed="81"/>
            <rFont val="Tahoma"/>
            <family val="2"/>
          </rPr>
          <t xml:space="preserve">
Pa (kg/(m s^2))
Calculated from the linear depends of DPwall on Q and from the calculated Total Dpwall at excurrent velocity of 1 cm/s.  DP=2032.1*Excurent velocity
</t>
        </r>
      </text>
    </comment>
    <comment ref="Q35" authorId="0">
      <text>
        <r>
          <rPr>
            <b/>
            <sz val="9"/>
            <color indexed="81"/>
            <rFont val="Tahoma"/>
            <family val="2"/>
          </rPr>
          <t>Gitai Yahel:</t>
        </r>
        <r>
          <rPr>
            <sz val="9"/>
            <color indexed="81"/>
            <rFont val="Tahoma"/>
            <family val="2"/>
          </rPr>
          <t xml:space="preserve">
Ambient velocity requiered to genrate passive flow Q calculated accoridng to equation 5 as Vex/alfa</t>
        </r>
      </text>
    </comment>
    <comment ref="R35" authorId="0">
      <text>
        <r>
          <rPr>
            <b/>
            <sz val="9"/>
            <color indexed="81"/>
            <rFont val="Tahoma"/>
            <family val="2"/>
          </rPr>
          <t>Gitai Yahel:</t>
        </r>
        <r>
          <rPr>
            <sz val="9"/>
            <color indexed="81"/>
            <rFont val="Tahoma"/>
            <family val="2"/>
          </rPr>
          <t xml:space="preserve">
Watt (J/s = kg m2/s3)</t>
        </r>
      </text>
    </comment>
  </commentList>
</comments>
</file>

<file path=xl/comments10.xml><?xml version="1.0" encoding="utf-8"?>
<comments xmlns="http://schemas.openxmlformats.org/spreadsheetml/2006/main">
  <authors>
    <author>Sally</author>
  </authors>
  <commentList>
    <comment ref="G8" authorId="0">
      <text>
        <r>
          <rPr>
            <b/>
            <sz val="9"/>
            <color indexed="81"/>
            <rFont val="Tahoma"/>
            <family val="2"/>
          </rPr>
          <t>Sally:</t>
        </r>
        <r>
          <rPr>
            <sz val="9"/>
            <color indexed="81"/>
            <rFont val="Tahoma"/>
            <family val="2"/>
          </rPr>
          <t xml:space="preserve">
 = this is the entire outer surface of a tubular piece
100mm3</t>
        </r>
      </text>
    </comment>
    <comment ref="H8" authorId="0">
      <text>
        <r>
          <rPr>
            <b/>
            <sz val="9"/>
            <color indexed="81"/>
            <rFont val="Tahoma"/>
            <family val="2"/>
          </rPr>
          <t>Sally:</t>
        </r>
        <r>
          <rPr>
            <sz val="9"/>
            <color indexed="81"/>
            <rFont val="Tahoma"/>
            <family val="2"/>
          </rPr>
          <t xml:space="preserve">
1mm x 1mm x 1mm</t>
        </r>
      </text>
    </comment>
    <comment ref="R8" authorId="0">
      <text>
        <r>
          <rPr>
            <b/>
            <sz val="9"/>
            <color indexed="81"/>
            <rFont val="Tahoma"/>
            <family val="2"/>
          </rPr>
          <t>Sally:</t>
        </r>
        <r>
          <rPr>
            <sz val="9"/>
            <color indexed="81"/>
            <rFont val="Tahoma"/>
            <family val="2"/>
          </rPr>
          <t xml:space="preserve">
1mm x 1mm x 1mm</t>
        </r>
      </text>
    </comment>
    <comment ref="O18" authorId="0">
      <text>
        <r>
          <rPr>
            <b/>
            <sz val="9"/>
            <color indexed="81"/>
            <rFont val="Tahoma"/>
            <family val="2"/>
          </rPr>
          <t>Sally:</t>
        </r>
        <r>
          <rPr>
            <sz val="9"/>
            <color indexed="81"/>
            <rFont val="Tahoma"/>
            <family val="2"/>
          </rPr>
          <t xml:space="preserve">
the path length is a portion (600um) of the length of one large incurrent canal; the rest of distance is traversed in the excurrent canal - estimated below as 200um</t>
        </r>
      </text>
    </comment>
    <comment ref="O19" authorId="0">
      <text>
        <r>
          <rPr>
            <b/>
            <sz val="9"/>
            <color indexed="81"/>
            <rFont val="Tahoma"/>
            <family val="2"/>
          </rPr>
          <t>Sally:</t>
        </r>
        <r>
          <rPr>
            <sz val="9"/>
            <color indexed="81"/>
            <rFont val="Tahoma"/>
            <family val="2"/>
          </rPr>
          <t xml:space="preserve">
This path length includes the height of the donut hole (0.5um) and the distance from the hole to the collar slit (estimated as half the height of the collar  which is 3.25um)
</t>
        </r>
      </text>
    </comment>
    <comment ref="N21" authorId="0">
      <text>
        <r>
          <rPr>
            <b/>
            <sz val="9"/>
            <color indexed="81"/>
            <rFont val="Tahoma"/>
            <family val="2"/>
          </rPr>
          <t>Sally:</t>
        </r>
        <r>
          <rPr>
            <sz val="9"/>
            <color indexed="81"/>
            <rFont val="Tahoma"/>
            <family val="2"/>
          </rPr>
          <t xml:space="preserve">
0.022 x 0.070 (I took their sum and divided by 2)</t>
        </r>
      </text>
    </comment>
    <comment ref="O21" authorId="0">
      <text>
        <r>
          <rPr>
            <b/>
            <sz val="9"/>
            <color indexed="81"/>
            <rFont val="Tahoma"/>
            <family val="2"/>
          </rPr>
          <t>Sally:</t>
        </r>
        <r>
          <rPr>
            <sz val="9"/>
            <color indexed="81"/>
            <rFont val="Tahoma"/>
            <family val="2"/>
          </rPr>
          <t xml:space="preserve">
this length is B36 (the thickness of a single sheet…); you could say it's the same as the width of the collar microvilli though…if considering there to be two such sheets.</t>
        </r>
      </text>
    </comment>
    <comment ref="O22" authorId="0">
      <text>
        <r>
          <rPr>
            <b/>
            <sz val="9"/>
            <color indexed="81"/>
            <rFont val="Tahoma"/>
            <family val="2"/>
          </rPr>
          <t>Sally:</t>
        </r>
        <r>
          <rPr>
            <sz val="9"/>
            <color indexed="81"/>
            <rFont val="Tahoma"/>
            <family val="2"/>
          </rPr>
          <t xml:space="preserve">
This is the width of the collar microvilli, 0.07um = 0.00007mm</t>
        </r>
      </text>
    </comment>
    <comment ref="N23" authorId="0">
      <text>
        <r>
          <rPr>
            <b/>
            <sz val="9"/>
            <color indexed="81"/>
            <rFont val="Tahoma"/>
            <family val="2"/>
          </rPr>
          <t>Sally:</t>
        </r>
        <r>
          <rPr>
            <sz val="9"/>
            <color indexed="81"/>
            <rFont val="Tahoma"/>
            <family val="2"/>
          </rPr>
          <t xml:space="preserve">
0.022 x 0.070 (I took their sum and divided by 2)</t>
        </r>
      </text>
    </comment>
    <comment ref="O23" authorId="0">
      <text>
        <r>
          <rPr>
            <b/>
            <sz val="9"/>
            <color indexed="81"/>
            <rFont val="Tahoma"/>
            <family val="2"/>
          </rPr>
          <t>Sally:</t>
        </r>
        <r>
          <rPr>
            <sz val="9"/>
            <color indexed="81"/>
            <rFont val="Tahoma"/>
            <family val="2"/>
          </rPr>
          <t xml:space="preserve">
this length is B36 (the thickness of a single sheet…); you could say it's the same as the width of the collar microvilli though…if considering there to be two such sheets.</t>
        </r>
      </text>
    </comment>
    <comment ref="O25" authorId="0">
      <text>
        <r>
          <rPr>
            <b/>
            <sz val="9"/>
            <color indexed="81"/>
            <rFont val="Tahoma"/>
            <family val="2"/>
          </rPr>
          <t>Sally:</t>
        </r>
        <r>
          <rPr>
            <sz val="9"/>
            <color indexed="81"/>
            <rFont val="Tahoma"/>
            <family val="2"/>
          </rPr>
          <t xml:space="preserve">
This path length is the distance from the microvilli out of the collar aperture - that is estimated to be half of the height of the collar microvilli (3.25um; so 1.64um) plus the height of the collar aperture (0.5um)</t>
        </r>
      </text>
    </comment>
    <comment ref="O26" authorId="0">
      <text>
        <r>
          <rPr>
            <b/>
            <sz val="9"/>
            <color indexed="81"/>
            <rFont val="Tahoma"/>
            <family val="2"/>
          </rPr>
          <t>Sally:</t>
        </r>
        <r>
          <rPr>
            <sz val="9"/>
            <color indexed="81"/>
            <rFont val="Tahoma"/>
            <family val="2"/>
          </rPr>
          <t xml:space="preserve">
path length is the length of the chamber </t>
        </r>
      </text>
    </comment>
    <comment ref="O27" authorId="0">
      <text>
        <r>
          <rPr>
            <b/>
            <sz val="9"/>
            <color indexed="81"/>
            <rFont val="Tahoma"/>
            <family val="2"/>
          </rPr>
          <t>Sally:</t>
        </r>
        <r>
          <rPr>
            <sz val="9"/>
            <color indexed="81"/>
            <rFont val="Tahoma"/>
            <family val="2"/>
          </rPr>
          <t xml:space="preserve">
this path length is just the diameter of the primary reticulum</t>
        </r>
      </text>
    </comment>
    <comment ref="U31" authorId="0">
      <text>
        <r>
          <rPr>
            <b/>
            <sz val="9"/>
            <color indexed="81"/>
            <rFont val="Tahoma"/>
            <family val="2"/>
          </rPr>
          <t>Sally:</t>
        </r>
        <r>
          <rPr>
            <sz val="9"/>
            <color indexed="81"/>
            <rFont val="Tahoma"/>
            <family val="2"/>
          </rPr>
          <t xml:space="preserve">
assuming a 'low' pumping velocity of 1cm/s
axial velocity; about 58% of that is the oscular planar velocity (according to Henry's measurements).</t>
        </r>
      </text>
    </comment>
  </commentList>
</comments>
</file>

<file path=xl/comments2.xml><?xml version="1.0" encoding="utf-8"?>
<comments xmlns="http://schemas.openxmlformats.org/spreadsheetml/2006/main">
  <authors>
    <author>Gitai Yahel</author>
  </authors>
  <commentList>
    <comment ref="E6" authorId="0">
      <text>
        <r>
          <rPr>
            <b/>
            <sz val="9"/>
            <color indexed="81"/>
            <rFont val="Tahoma"/>
            <family val="2"/>
          </rPr>
          <t>Gitai Yahel:</t>
        </r>
        <r>
          <rPr>
            <sz val="9"/>
            <color indexed="81"/>
            <rFont val="Tahoma"/>
            <family val="2"/>
          </rPr>
          <t xml:space="preserve">
I used 45% of the equivalent circle calculated from the near osculum circumference as an estimate of the actual osculum area accounting fro tapering at the rim and the irregular shape of the oscula</t>
        </r>
      </text>
    </comment>
  </commentList>
</comments>
</file>

<file path=xl/comments3.xml><?xml version="1.0" encoding="utf-8"?>
<comments xmlns="http://schemas.openxmlformats.org/spreadsheetml/2006/main">
  <authors>
    <author>Gitai Yahel</author>
  </authors>
  <commentList>
    <comment ref="N5" authorId="0">
      <text>
        <r>
          <rPr>
            <b/>
            <sz val="9"/>
            <color indexed="81"/>
            <rFont val="Tahoma"/>
            <family val="2"/>
          </rPr>
          <t>Gitai Yahel:</t>
        </r>
        <r>
          <rPr>
            <sz val="9"/>
            <color indexed="81"/>
            <rFont val="Tahoma"/>
            <family val="2"/>
          </rPr>
          <t xml:space="preserve">
Using 100 mJ/L pumped as the maximal active pumping cost (Excurrent Velocity =5 cm/s)</t>
        </r>
      </text>
    </comment>
    <comment ref="L6" authorId="0">
      <text>
        <r>
          <rPr>
            <b/>
            <sz val="9"/>
            <color indexed="81"/>
            <rFont val="Tahoma"/>
            <family val="2"/>
          </rPr>
          <t>Gitai Yahel:</t>
        </r>
        <r>
          <rPr>
            <sz val="9"/>
            <color indexed="81"/>
            <rFont val="Tahoma"/>
            <family val="2"/>
          </rPr>
          <t xml:space="preserve">
1mL O2 = 19.2 Joule
=&gt; 0.4303 J/umol O2 Riisgard et al 1988</t>
        </r>
      </text>
    </comment>
    <comment ref="Q6" authorId="0">
      <text>
        <r>
          <rPr>
            <b/>
            <sz val="9"/>
            <color indexed="81"/>
            <rFont val="Tahoma"/>
            <family val="2"/>
          </rPr>
          <t>Gitai Yahel:</t>
        </r>
        <r>
          <rPr>
            <sz val="9"/>
            <color indexed="81"/>
            <rFont val="Tahoma"/>
            <family val="2"/>
          </rPr>
          <t xml:space="preserve">
1mL O2 = 19.2 Joule
=&gt; 0.4303 J/umol O2 Riisgard et al 1988</t>
        </r>
      </text>
    </comment>
  </commentList>
</comments>
</file>

<file path=xl/comments4.xml><?xml version="1.0" encoding="utf-8"?>
<comments xmlns="http://schemas.openxmlformats.org/spreadsheetml/2006/main">
  <authors>
    <author>Sally</author>
  </authors>
  <commentList>
    <comment ref="I15" authorId="0">
      <text>
        <r>
          <rPr>
            <b/>
            <sz val="9"/>
            <color indexed="81"/>
            <rFont val="Tahoma"/>
            <family val="2"/>
          </rPr>
          <t>Sally:</t>
        </r>
        <r>
          <rPr>
            <sz val="9"/>
            <color indexed="81"/>
            <rFont val="Tahoma"/>
            <family val="2"/>
          </rPr>
          <t xml:space="preserve">
this is the area in mm2 of ostia in a 1mm3 piece (the area is 2D).</t>
        </r>
      </text>
    </comment>
    <comment ref="L15" authorId="0">
      <text>
        <r>
          <rPr>
            <b/>
            <sz val="9"/>
            <color indexed="81"/>
            <rFont val="Tahoma"/>
            <family val="2"/>
          </rPr>
          <t>Sally:</t>
        </r>
        <r>
          <rPr>
            <sz val="9"/>
            <color indexed="81"/>
            <rFont val="Tahoma"/>
            <family val="2"/>
          </rPr>
          <t xml:space="preserve">
same percent as for 1mm^3 since it is a single plane.</t>
        </r>
      </text>
    </comment>
    <comment ref="I30" authorId="0">
      <text>
        <r>
          <rPr>
            <b/>
            <sz val="9"/>
            <color indexed="81"/>
            <rFont val="Tahoma"/>
            <family val="2"/>
          </rPr>
          <t>Sally:</t>
        </r>
        <r>
          <rPr>
            <sz val="9"/>
            <color indexed="81"/>
            <rFont val="Tahoma"/>
            <family val="2"/>
          </rPr>
          <t xml:space="preserve">
this is the area in mm2 of ostia in a 1mm3 piece (the area is 2D).</t>
        </r>
      </text>
    </comment>
    <comment ref="A31" authorId="0">
      <text>
        <r>
          <rPr>
            <b/>
            <sz val="9"/>
            <color indexed="81"/>
            <rFont val="Tahoma"/>
            <family val="2"/>
          </rPr>
          <t>Sally:</t>
        </r>
        <r>
          <rPr>
            <sz val="9"/>
            <color indexed="81"/>
            <rFont val="Tahoma"/>
            <family val="2"/>
          </rPr>
          <t xml:space="preserve">
This image shows small medium and large ostia, it seems that they can change size</t>
        </r>
      </text>
    </comment>
    <comment ref="A72" authorId="0">
      <text>
        <r>
          <rPr>
            <b/>
            <sz val="9"/>
            <color indexed="81"/>
            <rFont val="Tahoma"/>
            <family val="2"/>
          </rPr>
          <t>Sally:</t>
        </r>
        <r>
          <rPr>
            <sz val="9"/>
            <color indexed="81"/>
            <rFont val="Tahoma"/>
            <family val="2"/>
          </rPr>
          <t xml:space="preserve">
this image shows very large ostia - most of surface is open.</t>
        </r>
      </text>
    </comment>
    <comment ref="E123" authorId="0">
      <text>
        <r>
          <rPr>
            <b/>
            <sz val="9"/>
            <color indexed="81"/>
            <rFont val="Tahoma"/>
            <family val="2"/>
          </rPr>
          <t>Sally:</t>
        </r>
        <r>
          <rPr>
            <sz val="9"/>
            <color indexed="81"/>
            <rFont val="Tahoma"/>
            <family val="2"/>
          </rPr>
          <t xml:space="preserve">
my measurements miss the small ostia (or what appear to be ostia) so the area is larger.</t>
        </r>
      </text>
    </comment>
    <comment ref="J123" authorId="0">
      <text>
        <r>
          <rPr>
            <b/>
            <sz val="9"/>
            <color indexed="81"/>
            <rFont val="Tahoma"/>
            <family val="2"/>
          </rPr>
          <t>Sally:</t>
        </r>
        <r>
          <rPr>
            <sz val="9"/>
            <color indexed="81"/>
            <rFont val="Tahoma"/>
            <family val="2"/>
          </rPr>
          <t xml:space="preserve">
This is probably inaccurate given the other numbers</t>
        </r>
      </text>
    </comment>
  </commentList>
</comments>
</file>

<file path=xl/comments5.xml><?xml version="1.0" encoding="utf-8"?>
<comments xmlns="http://schemas.openxmlformats.org/spreadsheetml/2006/main">
  <authors>
    <author>Sally</author>
  </authors>
  <commentList>
    <comment ref="B15" authorId="0">
      <text>
        <r>
          <rPr>
            <b/>
            <sz val="9"/>
            <color indexed="81"/>
            <rFont val="Tahoma"/>
            <family val="2"/>
          </rPr>
          <t>Sally:</t>
        </r>
        <r>
          <rPr>
            <sz val="9"/>
            <color indexed="81"/>
            <rFont val="Tahoma"/>
            <family val="2"/>
          </rPr>
          <t xml:space="preserve">
(dist from dermal membrane to incurrent canal)</t>
        </r>
      </text>
    </comment>
    <comment ref="I15" authorId="0">
      <text>
        <r>
          <rPr>
            <b/>
            <sz val="9"/>
            <color indexed="81"/>
            <rFont val="Tahoma"/>
            <family val="2"/>
          </rPr>
          <t>Sally:</t>
        </r>
        <r>
          <rPr>
            <sz val="9"/>
            <color indexed="81"/>
            <rFont val="Tahoma"/>
            <family val="2"/>
          </rPr>
          <t xml:space="preserve">
this is in 1mm^2</t>
        </r>
      </text>
    </comment>
    <comment ref="K15" authorId="0">
      <text>
        <r>
          <rPr>
            <b/>
            <sz val="9"/>
            <color indexed="81"/>
            <rFont val="Tahoma"/>
            <family val="2"/>
          </rPr>
          <t>Sally:</t>
        </r>
        <r>
          <rPr>
            <sz val="9"/>
            <color indexed="81"/>
            <rFont val="Tahoma"/>
            <family val="2"/>
          </rPr>
          <t xml:space="preserve">
this is in 20.25mm^2</t>
        </r>
      </text>
    </comment>
    <comment ref="L15" authorId="0">
      <text>
        <r>
          <rPr>
            <b/>
            <sz val="9"/>
            <color indexed="81"/>
            <rFont val="Tahoma"/>
            <family val="2"/>
          </rPr>
          <t>Sally:</t>
        </r>
        <r>
          <rPr>
            <sz val="9"/>
            <color indexed="81"/>
            <rFont val="Tahoma"/>
            <family val="2"/>
          </rPr>
          <t xml:space="preserve">
this is in effect in 1mm^2</t>
        </r>
      </text>
    </comment>
  </commentList>
</comments>
</file>

<file path=xl/comments6.xml><?xml version="1.0" encoding="utf-8"?>
<comments xmlns="http://schemas.openxmlformats.org/spreadsheetml/2006/main">
  <authors>
    <author>Sally</author>
  </authors>
  <commentList>
    <comment ref="A15" authorId="0">
      <text>
        <r>
          <rPr>
            <b/>
            <sz val="9"/>
            <color indexed="81"/>
            <rFont val="Tahoma"/>
            <family val="2"/>
          </rPr>
          <t xml:space="preserve">Sally: Includes small csnals: = </t>
        </r>
        <r>
          <rPr>
            <sz val="9"/>
            <color indexed="81"/>
            <rFont val="Tahoma"/>
            <family val="2"/>
          </rPr>
          <t>area of image minus area of canals/area of image x 100</t>
        </r>
      </text>
    </comment>
    <comment ref="B17" authorId="0">
      <text>
        <r>
          <rPr>
            <b/>
            <sz val="9"/>
            <color indexed="81"/>
            <rFont val="Tahoma"/>
            <family val="2"/>
          </rPr>
          <t>Sally:</t>
        </r>
        <r>
          <rPr>
            <sz val="9"/>
            <color indexed="81"/>
            <rFont val="Tahoma"/>
            <family val="2"/>
          </rPr>
          <t xml:space="preserve">
not including small canals</t>
        </r>
      </text>
    </comment>
    <comment ref="K24" authorId="0">
      <text>
        <r>
          <rPr>
            <b/>
            <sz val="9"/>
            <color indexed="81"/>
            <rFont val="Tahoma"/>
            <family val="2"/>
          </rPr>
          <t>Sally:</t>
        </r>
        <r>
          <rPr>
            <sz val="9"/>
            <color indexed="81"/>
            <rFont val="Tahoma"/>
            <family val="2"/>
          </rPr>
          <t xml:space="preserve">
I'm treating these canals as though they were planar to the incurrent surface, that is I've added all their surface areas, multiplied it by the number of large incurrent canals in the area above (for Large IC) and then divided that area by the area of the image above for the large IC.</t>
        </r>
      </text>
    </comment>
    <comment ref="K35" authorId="0">
      <text>
        <r>
          <rPr>
            <b/>
            <sz val="9"/>
            <color indexed="81"/>
            <rFont val="Tahoma"/>
            <family val="2"/>
          </rPr>
          <t>Sally:</t>
        </r>
        <r>
          <rPr>
            <sz val="9"/>
            <color indexed="81"/>
            <rFont val="Tahoma"/>
            <family val="2"/>
          </rPr>
          <t xml:space="preserve">
I'm treating these canals as though they were planar to the incurrent surface, that is I've added all their surface areas, multiplied it by the number of large incurrent canals in the area above (for Large IC) and then divided that area by the area of the image above for the large IC.</t>
        </r>
      </text>
    </comment>
    <comment ref="J48" authorId="0">
      <text>
        <r>
          <rPr>
            <b/>
            <sz val="9"/>
            <color indexed="81"/>
            <rFont val="Tahoma"/>
            <family val="2"/>
          </rPr>
          <t>Sally:</t>
        </r>
        <r>
          <rPr>
            <sz val="9"/>
            <color indexed="81"/>
            <rFont val="Tahoma"/>
            <family val="2"/>
          </rPr>
          <t xml:space="preserve">
this should scale horizontally, like the large incurrent canals</t>
        </r>
      </text>
    </comment>
  </commentList>
</comments>
</file>

<file path=xl/comments7.xml><?xml version="1.0" encoding="utf-8"?>
<comments xmlns="http://schemas.openxmlformats.org/spreadsheetml/2006/main">
  <authors>
    <author>Sally</author>
  </authors>
  <commentList>
    <comment ref="H7" authorId="0">
      <text>
        <r>
          <rPr>
            <b/>
            <sz val="9"/>
            <color indexed="81"/>
            <rFont val="Tahoma"/>
            <family val="2"/>
          </rPr>
          <t>Sally:</t>
        </r>
        <r>
          <rPr>
            <sz val="9"/>
            <color indexed="81"/>
            <rFont val="Tahoma"/>
            <family val="2"/>
          </rPr>
          <t xml:space="preserve">
this is the percent of the chamber surface area that is prosopyle openings. (i.e. cross sectional area of prosopyles</t>
        </r>
      </text>
    </comment>
    <comment ref="A42" authorId="0">
      <text>
        <r>
          <rPr>
            <b/>
            <sz val="9"/>
            <color indexed="81"/>
            <rFont val="Tahoma"/>
            <family val="2"/>
          </rPr>
          <t>Sally:</t>
        </r>
        <r>
          <rPr>
            <sz val="9"/>
            <color indexed="81"/>
            <rFont val="Tahoma"/>
            <family val="2"/>
          </rPr>
          <t xml:space="preserve">
from sheet (Flagellated chambers)</t>
        </r>
      </text>
    </comment>
  </commentList>
</comments>
</file>

<file path=xl/comments8.xml><?xml version="1.0" encoding="utf-8"?>
<comments xmlns="http://schemas.openxmlformats.org/spreadsheetml/2006/main">
  <authors>
    <author>Sally</author>
  </authors>
  <commentList>
    <comment ref="B27" authorId="0">
      <text>
        <r>
          <rPr>
            <b/>
            <sz val="9"/>
            <color indexed="81"/>
            <rFont val="Tahoma"/>
            <family val="2"/>
          </rPr>
          <t>Sally:</t>
        </r>
        <r>
          <rPr>
            <sz val="9"/>
            <color indexed="81"/>
            <rFont val="Tahoma"/>
            <family val="2"/>
          </rPr>
          <t xml:space="preserve">
300 holes of 22x70nm inbetween two adjacent microvilli.
This is calculated as follows:
22nm fits 150 times into the height of the collar mv (3.25um); 70nm fits about twice into the width of the collar slit. Therefore 2x150=300 such 'holes' fit into the space of a collar slit.</t>
        </r>
      </text>
    </comment>
  </commentList>
</comments>
</file>

<file path=xl/comments9.xml><?xml version="1.0" encoding="utf-8"?>
<comments xmlns="http://schemas.openxmlformats.org/spreadsheetml/2006/main">
  <authors>
    <author>Sally</author>
  </authors>
  <commentList>
    <comment ref="G4" authorId="0">
      <text>
        <r>
          <rPr>
            <b/>
            <sz val="9"/>
            <color indexed="81"/>
            <rFont val="Tahoma"/>
            <family val="2"/>
          </rPr>
          <t xml:space="preserve">Sally:
</t>
        </r>
        <r>
          <rPr>
            <sz val="9"/>
            <color indexed="81"/>
            <rFont val="Tahoma"/>
            <family val="2"/>
          </rPr>
          <t>the average chamber diameter is 56um and t</t>
        </r>
        <r>
          <rPr>
            <sz val="9"/>
            <color indexed="81"/>
            <rFont val="Tahoma"/>
            <family val="2"/>
          </rPr>
          <t>he proportion of the sponge that is choanosome is 75%</t>
        </r>
      </text>
    </comment>
    <comment ref="M4" authorId="0">
      <text>
        <r>
          <rPr>
            <b/>
            <sz val="9"/>
            <color indexed="81"/>
            <rFont val="Tahoma"/>
            <family val="2"/>
          </rPr>
          <t>Sally:</t>
        </r>
        <r>
          <rPr>
            <sz val="9"/>
            <color indexed="81"/>
            <rFont val="Tahoma"/>
            <family val="2"/>
          </rPr>
          <t xml:space="preserve">
percent cover of chambers in the choanosome (not including large IC) </t>
        </r>
      </text>
    </comment>
    <comment ref="Q4" authorId="0">
      <text>
        <r>
          <rPr>
            <b/>
            <sz val="9"/>
            <color indexed="81"/>
            <rFont val="Tahoma"/>
            <family val="2"/>
          </rPr>
          <t>Sally:</t>
        </r>
        <r>
          <rPr>
            <sz val="9"/>
            <color indexed="81"/>
            <rFont val="Tahoma"/>
            <family val="2"/>
          </rPr>
          <t xml:space="preserve">
Assuming the choanosome makes up 30% of the sponge (70% is incurrent canals)</t>
        </r>
      </text>
    </comment>
    <comment ref="R4" authorId="0">
      <text>
        <r>
          <rPr>
            <b/>
            <sz val="9"/>
            <color indexed="81"/>
            <rFont val="Tahoma"/>
            <family val="2"/>
          </rPr>
          <t>Sally:</t>
        </r>
        <r>
          <rPr>
            <sz val="9"/>
            <color indexed="81"/>
            <rFont val="Tahoma"/>
            <family val="2"/>
          </rPr>
          <t xml:space="preserve">
1mm^3 = 1,000,000,000 um^3</t>
        </r>
      </text>
    </comment>
    <comment ref="L5" authorId="0">
      <text>
        <r>
          <rPr>
            <b/>
            <sz val="9"/>
            <color indexed="81"/>
            <rFont val="Tahoma"/>
            <family val="2"/>
          </rPr>
          <t>Sally:</t>
        </r>
        <r>
          <rPr>
            <sz val="9"/>
            <color indexed="81"/>
            <rFont val="Tahoma"/>
            <family val="2"/>
          </rPr>
          <t xml:space="preserve">
Image J calculates the XS area of the chambers as 35,686 um^2, so pretty close.</t>
        </r>
      </text>
    </comment>
    <comment ref="L6" authorId="0">
      <text>
        <r>
          <rPr>
            <b/>
            <sz val="9"/>
            <color indexed="81"/>
            <rFont val="Tahoma"/>
            <family val="2"/>
          </rPr>
          <t>Sally:</t>
        </r>
        <r>
          <rPr>
            <sz val="9"/>
            <color indexed="81"/>
            <rFont val="Tahoma"/>
            <family val="2"/>
          </rPr>
          <t xml:space="preserve">
Image J area by thresholding =32,809</t>
        </r>
      </text>
    </comment>
    <comment ref="L7" authorId="0">
      <text>
        <r>
          <rPr>
            <b/>
            <sz val="9"/>
            <color indexed="81"/>
            <rFont val="Tahoma"/>
            <family val="2"/>
          </rPr>
          <t>Sally:</t>
        </r>
        <r>
          <rPr>
            <sz val="9"/>
            <color indexed="81"/>
            <rFont val="Tahoma"/>
            <family val="2"/>
          </rPr>
          <t xml:space="preserve">
Image J area by thresholding = 121,757</t>
        </r>
      </text>
    </comment>
    <comment ref="L8" authorId="0">
      <text>
        <r>
          <rPr>
            <b/>
            <sz val="9"/>
            <color indexed="81"/>
            <rFont val="Tahoma"/>
            <family val="2"/>
          </rPr>
          <t>Sally:</t>
        </r>
        <r>
          <rPr>
            <sz val="9"/>
            <color indexed="81"/>
            <rFont val="Tahoma"/>
            <family val="2"/>
          </rPr>
          <t xml:space="preserve">
Image J area of chambers by thresholding = 118,163</t>
        </r>
      </text>
    </comment>
    <comment ref="L9" authorId="0">
      <text>
        <r>
          <rPr>
            <b/>
            <sz val="9"/>
            <color indexed="81"/>
            <rFont val="Tahoma"/>
            <family val="2"/>
          </rPr>
          <t>Sally:</t>
        </r>
        <r>
          <rPr>
            <sz val="9"/>
            <color indexed="81"/>
            <rFont val="Tahoma"/>
            <family val="2"/>
          </rPr>
          <t xml:space="preserve">
Image J area by thresholding = 197,096</t>
        </r>
      </text>
    </comment>
    <comment ref="M9" authorId="0">
      <text>
        <r>
          <rPr>
            <b/>
            <sz val="9"/>
            <color indexed="81"/>
            <rFont val="Tahoma"/>
            <family val="2"/>
          </rPr>
          <t>Sally:</t>
        </r>
        <r>
          <rPr>
            <sz val="9"/>
            <color indexed="81"/>
            <rFont val="Tahoma"/>
            <family val="2"/>
          </rPr>
          <t xml:space="preserve">
Image J percent = 24%</t>
        </r>
      </text>
    </comment>
  </commentList>
</comments>
</file>

<file path=xl/sharedStrings.xml><?xml version="1.0" encoding="utf-8"?>
<sst xmlns="http://schemas.openxmlformats.org/spreadsheetml/2006/main" count="656" uniqueCount="521">
  <si>
    <t>xs area per 1mm3 (in um^2)</t>
  </si>
  <si>
    <t>apopyle radius (um)</t>
  </si>
  <si>
    <t>apopyle area (um^2)</t>
  </si>
  <si>
    <t>For reference, these images were measured for choanocyte chamber diameter, number and percent cover</t>
  </si>
  <si>
    <t>XS area (mm2) of aquiferous system in 1mm3  pieces</t>
  </si>
  <si>
    <t>XS area in 100 mm^3 pieces (mm^2)</t>
  </si>
  <si>
    <t>number of equivalent areas that fit in 1,000,000um^2</t>
  </si>
  <si>
    <t>XS area of all chambers in 1mm^3 (mm^2)</t>
  </si>
  <si>
    <t>xs area of apopyles in 1mm^3 (mm^2)</t>
  </si>
  <si>
    <t>xs area of chambers (um^2) in each image</t>
  </si>
  <si>
    <t xml:space="preserve">All sheets are linked to the summary sheet </t>
  </si>
  <si>
    <t>He used 100ul (100mm3) segments; I used 1ul (1mm3) segments, and have converted mine to 100ul to allow comparison</t>
  </si>
  <si>
    <t>XS area of 100ul volume</t>
  </si>
  <si>
    <t>Pressure drop</t>
  </si>
  <si>
    <t>Est # collars per chamber = 260</t>
  </si>
  <si>
    <t>Number of mv per collar = 38</t>
  </si>
  <si>
    <t>Percent of sponge that is choanosome</t>
  </si>
  <si>
    <t>Percent of sponge that is chambers only</t>
  </si>
  <si>
    <t>range</t>
  </si>
  <si>
    <t>25-35</t>
  </si>
  <si>
    <t>9 to 25</t>
  </si>
  <si>
    <t>Volume of a chamber =</t>
  </si>
  <si>
    <t xml:space="preserve">number of chambers in one 56um slice of the sponge 1mm^3 </t>
  </si>
  <si>
    <t>percent  of image that is canal space</t>
  </si>
  <si>
    <t>The choanosome area =</t>
  </si>
  <si>
    <t>all area of canals in image (pixels)</t>
  </si>
  <si>
    <t>all area of image analyzed (pixels)</t>
  </si>
  <si>
    <t>(note however, In my calculations of flagellated chambers I have included images with some small incurrent canal space, so this should be taken into account)</t>
  </si>
  <si>
    <t>number of chambers in 1mm^3 (considering there are 20 slices 50um wide in the 1mm^3 piece of sponge</t>
  </si>
  <si>
    <t>FILE</t>
  </si>
  <si>
    <t>Av4-24 copy</t>
  </si>
  <si>
    <t>AV4 - 24 copy</t>
  </si>
  <si>
    <t>3AV4AVlots of sed 01x copy</t>
  </si>
  <si>
    <t xml:space="preserve">3AV4AVlots of sed 01x </t>
  </si>
  <si>
    <t>Gabrielle 02-04</t>
  </si>
  <si>
    <t>Leys 10-16-09</t>
  </si>
  <si>
    <t>Leys 10-31</t>
  </si>
  <si>
    <t>Paraffin section 2 (values in pixels)</t>
  </si>
  <si>
    <t>AV Cast 00x</t>
  </si>
  <si>
    <t>AV Cast 00x copy</t>
  </si>
  <si>
    <t>Gabrielle 02-043AV4AVlots of sed 12x</t>
  </si>
  <si>
    <t>3AV4AVlots of sed 12x</t>
  </si>
  <si>
    <t>IMAGE</t>
  </si>
  <si>
    <t>3AV4AVlots of sed - 6x</t>
  </si>
  <si>
    <t>leys choanosome paper</t>
  </si>
  <si>
    <t>AV tissue 04</t>
  </si>
  <si>
    <t>Average diameter</t>
  </si>
  <si>
    <t>APOPYLES</t>
  </si>
  <si>
    <t>Apopyle - diameter (um)</t>
  </si>
  <si>
    <t>diameter (um) [length+width/2]</t>
  </si>
  <si>
    <t>percent xs cover of chambers in the choanosome/image</t>
  </si>
  <si>
    <t>chamber volume (um^3)</t>
  </si>
  <si>
    <t>surface area of a chamber (um^2)</t>
  </si>
  <si>
    <t>chamber volume (mm^3)</t>
  </si>
  <si>
    <t>Surface area of  chambers in 1mm^3 (mm^2)</t>
  </si>
  <si>
    <t>Choanocyte chamber diameter</t>
  </si>
  <si>
    <t>Ch Chamber Surface area</t>
  </si>
  <si>
    <t>Apopyle Surface area</t>
  </si>
  <si>
    <t>Area of ChChamber-apopyle</t>
  </si>
  <si>
    <t>Area of prosopyles per chamber</t>
  </si>
  <si>
    <t>SA of prosopyles in 1mm^3 (um^2)</t>
  </si>
  <si>
    <t>SA of prosopyles in mm^3 (mm^2)</t>
  </si>
  <si>
    <t>COLLARS</t>
  </si>
  <si>
    <t>IMAGE NAMES</t>
  </si>
  <si>
    <t>collar microvilli diameter (um)</t>
  </si>
  <si>
    <t>collar slit width (um)</t>
  </si>
  <si>
    <t>height of collar (to 2nd reticulum; um)</t>
  </si>
  <si>
    <t>area between collar mv (um^2)</t>
  </si>
  <si>
    <t>XS area of collar slits for one collar (um^2)</t>
  </si>
  <si>
    <t>xs area per chamber (um^2)</t>
  </si>
  <si>
    <t>xs area of collar slits per chamber (um^2)</t>
  </si>
  <si>
    <t>xs area per 1mm^3 (um^2)</t>
  </si>
  <si>
    <t>XS area of collar slits per 1mm^3 (mm^2)</t>
  </si>
  <si>
    <t xml:space="preserve">diameter of collar body (um) </t>
  </si>
  <si>
    <t>dist betwn collar bodies (um)</t>
  </si>
  <si>
    <t>diameter of 2nd retic opening (um)</t>
  </si>
  <si>
    <t>area of collar aperture (2nd retic opening; um^2)</t>
  </si>
  <si>
    <t>area of collar apertures per chamber (um^2)</t>
  </si>
  <si>
    <t>area of collar apertures in 1mm^3 (um^2)</t>
  </si>
  <si>
    <t>area of collar apertures in 1mm^3 (mm^2)</t>
  </si>
  <si>
    <r>
      <t>PRE AND POST COLLAR SPACE:</t>
    </r>
    <r>
      <rPr>
        <sz val="10"/>
        <rFont val="Arial"/>
        <family val="2"/>
      </rPr>
      <t xml:space="preserve"> this is the 'cone' of space between the prosopyle and the collar slit, and the cone of space between the collar slit and the collar aperture.</t>
    </r>
  </si>
  <si>
    <t>area per 1mm^3 piece (in um^2)</t>
  </si>
  <si>
    <t>diameter of mesh</t>
  </si>
  <si>
    <t>area in one collar slit (um^2)</t>
  </si>
  <si>
    <t>area of one glycocalyx hole (um^2)</t>
  </si>
  <si>
    <t>xs area for 1 complete collar (um^2)</t>
  </si>
  <si>
    <t>Image J analysis of Image: RP Replica plastic AV incureent 1-00x</t>
  </si>
  <si>
    <t>area of image</t>
  </si>
  <si>
    <t># canals</t>
  </si>
  <si>
    <t>area of canals</t>
  </si>
  <si>
    <t>(cover)</t>
  </si>
  <si>
    <t>#holes in mesh</t>
  </si>
  <si>
    <t>xs area per 1mm3 (in mm2)</t>
  </si>
  <si>
    <t>(0.020 x 0.070)</t>
  </si>
  <si>
    <t>Aphrocallistes vastus</t>
  </si>
  <si>
    <t>Inhalant surface</t>
  </si>
  <si>
    <t>Exhalent surface</t>
  </si>
  <si>
    <t>Total outer surface</t>
  </si>
  <si>
    <t>Subdermal spaces</t>
  </si>
  <si>
    <t>length of a single ostium (depth of the dermal membrane) = 0.5um approx.</t>
  </si>
  <si>
    <t>b</t>
  </si>
  <si>
    <t>c</t>
  </si>
  <si>
    <t>d</t>
  </si>
  <si>
    <t>e</t>
  </si>
  <si>
    <t>f</t>
  </si>
  <si>
    <t>g</t>
  </si>
  <si>
    <t>h</t>
  </si>
  <si>
    <t>i</t>
  </si>
  <si>
    <t>j</t>
  </si>
  <si>
    <t>k</t>
  </si>
  <si>
    <t>l</t>
  </si>
  <si>
    <t>m</t>
  </si>
  <si>
    <t>n</t>
  </si>
  <si>
    <t>o</t>
  </si>
  <si>
    <t>p</t>
  </si>
  <si>
    <t>q</t>
  </si>
  <si>
    <t>r</t>
  </si>
  <si>
    <t>s</t>
  </si>
  <si>
    <t>t</t>
  </si>
  <si>
    <t>u</t>
  </si>
  <si>
    <t>v</t>
  </si>
  <si>
    <t>w</t>
  </si>
  <si>
    <t>x</t>
  </si>
  <si>
    <t>y</t>
  </si>
  <si>
    <t>z</t>
  </si>
  <si>
    <t>proportional distance from inhalent surface</t>
  </si>
  <si>
    <t>cross sect area</t>
  </si>
  <si>
    <t>Path length of each section (um)</t>
  </si>
  <si>
    <t>Distance from inhalent surface (um)</t>
  </si>
  <si>
    <t>percent cover</t>
  </si>
  <si>
    <t>diameter</t>
  </si>
  <si>
    <t>cover</t>
  </si>
  <si>
    <t xml:space="preserve">Glycocalyx mesh </t>
  </si>
  <si>
    <t>distance along which spaces were counted (um)</t>
  </si>
  <si>
    <t>Automated analysis of ostia area by threshold and count of circles and measure of area.</t>
  </si>
  <si>
    <t>Therefore in 4.5ul there are 4.5/0.000 0655 = 68,702 chambers</t>
  </si>
  <si>
    <t>In 1ul (1mm^3) there are  68,702/100 = 687 chambers</t>
  </si>
  <si>
    <t>Chambers take up 9-25% of the choanosome</t>
  </si>
  <si>
    <t>In 100ul, 4.5ul is made up by chambers only</t>
  </si>
  <si>
    <t>File</t>
  </si>
  <si>
    <t>AV tissue 5 trace only</t>
  </si>
  <si>
    <t>CHOANOCYTE CHAMBERS</t>
  </si>
  <si>
    <t>Ave tissue 05 copy</t>
  </si>
  <si>
    <t>length</t>
  </si>
  <si>
    <t>width</t>
  </si>
  <si>
    <t>chamber</t>
  </si>
  <si>
    <t>average chamber diameter</t>
  </si>
  <si>
    <t>xs area of a chamber (pi(r^2))</t>
  </si>
  <si>
    <t>chamber radius (um)</t>
  </si>
  <si>
    <t>IMAGE NAME</t>
  </si>
  <si>
    <t>Percent of Inhalent surface</t>
  </si>
  <si>
    <t>Chamber</t>
  </si>
  <si>
    <t>area of one hole of mesh (um2)</t>
  </si>
  <si>
    <t>a</t>
  </si>
  <si>
    <t>Excurrent canals</t>
  </si>
  <si>
    <t>Small Excurrent canals</t>
  </si>
  <si>
    <t>Large Excurrent canals</t>
  </si>
  <si>
    <t>average area of canals (um2)</t>
  </si>
  <si>
    <t>YStart</t>
  </si>
  <si>
    <t>Total area estimated: 284,987 um2</t>
  </si>
  <si>
    <t>Sponge Region</t>
  </si>
  <si>
    <t>Total number of ostia estimated = 303. The area is similar to the high measure I made manually.</t>
  </si>
  <si>
    <t xml:space="preserve"> </t>
  </si>
  <si>
    <t>Area</t>
  </si>
  <si>
    <t>XStart</t>
  </si>
  <si>
    <t>area per chamber (i.e. x260)</t>
  </si>
  <si>
    <t>pre/post collar space</t>
  </si>
  <si>
    <t>area per 1mm3 piece (in mm2)</t>
  </si>
  <si>
    <t>Pre-collar slit</t>
  </si>
  <si>
    <t>Post-collar slit</t>
  </si>
  <si>
    <t>path length</t>
  </si>
  <si>
    <t>dist from inh surface</t>
  </si>
  <si>
    <t>dist from inh surface (mm)</t>
  </si>
  <si>
    <t>Summary sheet for measurements of Aphrocallistes aquiferous system.</t>
  </si>
  <si>
    <t># holes in mesh</t>
  </si>
  <si>
    <t>mesh size is (um)</t>
  </si>
  <si>
    <t>assume 200 meshes in a collar slit</t>
  </si>
  <si>
    <t>New Length of collar slit is:3.25-1.9</t>
  </si>
  <si>
    <t>New width of collar slit is: 0.12-0.0095</t>
  </si>
  <si>
    <t>Area of collar slit minus mesh thickness (um2)</t>
  </si>
  <si>
    <t>Real # holes in collar slits (minus mesh)</t>
  </si>
  <si>
    <t xml:space="preserve">max poss # holes in collar slit area </t>
  </si>
  <si>
    <t>in an area 1028 um2 there are about 55 prosopyles (angle is difficult though)</t>
  </si>
  <si>
    <t>per 864um2</t>
  </si>
  <si>
    <t>per 1028um2</t>
  </si>
  <si>
    <t>per 100um2</t>
  </si>
  <si>
    <t>Area of ostia</t>
  </si>
  <si>
    <t>Area of image</t>
  </si>
  <si>
    <t>Percent cover</t>
  </si>
  <si>
    <t>diameter of small incurrent canal</t>
  </si>
  <si>
    <t>Osculum</t>
  </si>
  <si>
    <t>inner subdermal space</t>
  </si>
  <si>
    <t>diameter (um)</t>
  </si>
  <si>
    <t>average length (um)</t>
  </si>
  <si>
    <t>area (um2)</t>
  </si>
  <si>
    <t>50-340</t>
  </si>
  <si>
    <t>Prosopyles</t>
  </si>
  <si>
    <t>1 to 5</t>
  </si>
  <si>
    <t>Collar slits</t>
  </si>
  <si>
    <t>Apertures of exhalent canals</t>
  </si>
  <si>
    <t>Apopyles</t>
  </si>
  <si>
    <t>Chambers per mm3</t>
  </si>
  <si>
    <t>4.5 (20.6) 44</t>
  </si>
  <si>
    <t>Collars per chamber</t>
  </si>
  <si>
    <t>(mean is in parentheses)</t>
  </si>
  <si>
    <t>I counted 8 spaces along a distance of 683um; if this is the same in both directions, there are up to 64 spaces in that area</t>
  </si>
  <si>
    <t>estimated # spaces</t>
  </si>
  <si>
    <t>number of choanocytes/chamber estimate: 260</t>
  </si>
  <si>
    <t>area of one space (um2)</t>
  </si>
  <si>
    <t>area of all spaces (um2)</t>
  </si>
  <si>
    <t>Image Av 56.</t>
  </si>
  <si>
    <t>diatance between prosopyles</t>
  </si>
  <si>
    <t>in an area 24 x 36 um (864 um2) there are 43 prosopyles</t>
  </si>
  <si>
    <t>distance between choanocytes is 5.2 um</t>
  </si>
  <si>
    <t>Opening to Smaller Incurrent canal diameter (microns)</t>
  </si>
  <si>
    <t>Area of collar slit (um2)</t>
  </si>
  <si>
    <t>Here I want to present the data in a format that can be compared to Henry's 1975 paper and used for the calculations of velocity by Matt</t>
  </si>
  <si>
    <t>I will use Henry's Haliclona permollis measurements as the guide (carrying them into this table)</t>
  </si>
  <si>
    <t>Haliclona permollis</t>
  </si>
  <si>
    <t>Diameter (um)</t>
  </si>
  <si>
    <t>av # collars per chamber</t>
  </si>
  <si>
    <t># chambers per 1mm3</t>
  </si>
  <si>
    <t>Apertures of Inhalent canals</t>
  </si>
  <si>
    <t>Small incurrent canals</t>
  </si>
  <si>
    <t>Atrial subdermal space (AV)</t>
  </si>
  <si>
    <t>Collar apertures (2 retic AV)</t>
  </si>
  <si>
    <t>Length (mm)</t>
  </si>
  <si>
    <t>Percent of AV inhalent surface</t>
  </si>
  <si>
    <t>Percent of Haliclona inhalent surface</t>
  </si>
  <si>
    <t>glycocalyx mesh</t>
  </si>
  <si>
    <t>mean, collar dimensions</t>
  </si>
  <si>
    <t>radius</t>
  </si>
  <si>
    <t>area</t>
  </si>
  <si>
    <t>Image Av 32</t>
  </si>
  <si>
    <t>Ostia diameter</t>
  </si>
  <si>
    <t>Ostia in Image AV10</t>
  </si>
  <si>
    <t>Measurements of Aphrocallistes vastus ultrastructure for flow calculations</t>
  </si>
  <si>
    <t># microvilli per collar</t>
  </si>
  <si>
    <t>Average</t>
  </si>
  <si>
    <t># of cham per image area</t>
  </si>
  <si>
    <t>1) Manual counts of the number of small, medium and large ostia in a single SEM image; the diameter of each ostium was measured, area calculated, and area x total number ostia calculated</t>
  </si>
  <si>
    <t>This gave a very small number (4.5% of the inhalant surface)</t>
  </si>
  <si>
    <t>2) Image J was used to identify every ostium (large and small) and the total area calculated; the total area of the image was also calculated</t>
  </si>
  <si>
    <r>
      <t>Method:</t>
    </r>
    <r>
      <rPr>
        <sz val="10"/>
        <rFont val="Arial"/>
        <family val="2"/>
      </rPr>
      <t xml:space="preserve"> The area of ostia was calculated in two ways:</t>
    </r>
  </si>
  <si>
    <t>Final number to be used is shown in Green</t>
  </si>
  <si>
    <t>% of 1mm^2</t>
  </si>
  <si>
    <t xml:space="preserve">In some images the ostia are vast, in others small. Numbers obtained range from 4.5% to 73% of the surface area. </t>
  </si>
  <si>
    <t xml:space="preserve"> measurements from casts</t>
  </si>
  <si>
    <t xml:space="preserve"># ostia (count) </t>
  </si>
  <si>
    <t>AV4-32 image J</t>
  </si>
  <si>
    <t>AV4-61 image J</t>
  </si>
  <si>
    <t>AV4-63 image J</t>
  </si>
  <si>
    <t>AV4-57 image J</t>
  </si>
  <si>
    <t>AV4-10 image J</t>
  </si>
  <si>
    <t>(numbers are um or um2)</t>
  </si>
  <si>
    <t>AV4-49</t>
  </si>
  <si>
    <t>Large Incurrent canals</t>
  </si>
  <si>
    <t>Therefore an estimate of 25.86 percent in 1mm^2 seems reasonable.</t>
  </si>
  <si>
    <t>Other counts</t>
  </si>
  <si>
    <t>area of ostia in 100mm^3</t>
  </si>
  <si>
    <t xml:space="preserve">area of ostia in 1mm^3 </t>
  </si>
  <si>
    <t>1mm^3</t>
  </si>
  <si>
    <t>100mm^3</t>
  </si>
  <si>
    <t>Inhalant area: 1mm^2</t>
  </si>
  <si>
    <t>Inhalant area: 20.25mm^2</t>
  </si>
  <si>
    <t>% of 1mm^3</t>
  </si>
  <si>
    <t>Ostia</t>
  </si>
  <si>
    <t>chamber diameter</t>
  </si>
  <si>
    <t>prosopyle diameter</t>
  </si>
  <si>
    <t>radius (1/2 diameter)</t>
  </si>
  <si>
    <t>area (pi r2)</t>
  </si>
  <si>
    <t>average</t>
  </si>
  <si>
    <t>large</t>
  </si>
  <si>
    <t>medium</t>
  </si>
  <si>
    <t>small</t>
  </si>
  <si>
    <t>Image</t>
  </si>
  <si>
    <t>AV4-17</t>
  </si>
  <si>
    <t>same image by thresholding…</t>
  </si>
  <si>
    <t>AV4-18</t>
  </si>
  <si>
    <t>From Images AV4-19, 20, 21, 22; also Aphro latex beads1-17</t>
  </si>
  <si>
    <t>mean</t>
  </si>
  <si>
    <t>Dist from surface</t>
  </si>
  <si>
    <t>cross sectional area of a 100ul piece (mm2)</t>
  </si>
  <si>
    <t>XS area of a 1 ul piece (mm2)</t>
  </si>
  <si>
    <t>XS area of a  1ul piece (mm2)</t>
  </si>
  <si>
    <t>1cm/s</t>
  </si>
  <si>
    <t>5cm/s</t>
  </si>
  <si>
    <t>9cm/s</t>
  </si>
  <si>
    <t>20cm/s</t>
  </si>
  <si>
    <t>30cm/s</t>
  </si>
  <si>
    <t>axial vel from osc=</t>
  </si>
  <si>
    <t>Est. Velocity (mm/s)</t>
  </si>
  <si>
    <t>SA of prosopyles/chamber</t>
  </si>
  <si>
    <t>(x 20.25)</t>
  </si>
  <si>
    <t>Below are manual and image J counts of image AV10 - both agree, so it seems that some areas have lots of ostia and others fewer</t>
  </si>
  <si>
    <t>Manual count of image AV32</t>
  </si>
  <si>
    <t>The region below the Dermal membrane is a space, called the Subdermal Space. In fact it consists of two regions, an outer one of slightly larger pockets and an inner one of smaller 'pockets'</t>
  </si>
  <si>
    <t>SUBDERMAL SPACE (SDS)</t>
  </si>
  <si>
    <t>I estimate the spaces that form the areas directly under the dermal membrane are squares with the average dimensions below:</t>
  </si>
  <si>
    <t>For practicality, we will consider them one unit with the pathlength of the sum of the two, and the diameter of the Inner SDS</t>
  </si>
  <si>
    <t>SDS</t>
  </si>
  <si>
    <t>Summary SDS</t>
  </si>
  <si>
    <t>% cover 1mm^2</t>
  </si>
  <si>
    <t>area in 100mm^3</t>
  </si>
  <si>
    <t xml:space="preserve">area of spaces in 1 mm^3 </t>
  </si>
  <si>
    <t>% cover in 1mm^3</t>
  </si>
  <si>
    <t>height (path length; um)</t>
  </si>
  <si>
    <t>INCURRENT CANALS</t>
  </si>
  <si>
    <t>radius (um)</t>
  </si>
  <si>
    <t>average area of canals (um^2)</t>
  </si>
  <si>
    <t>PROSOPYLES</t>
  </si>
  <si>
    <t>area of one prosopyle (um)</t>
  </si>
  <si>
    <t># prosopyles in image area (um)</t>
  </si>
  <si>
    <t>area of all prosopyles in image (um^2)</t>
  </si>
  <si>
    <t>area of image (um^2)</t>
  </si>
  <si>
    <t>mean diameter of prosopyle</t>
  </si>
  <si>
    <t>path length of a prosopyle</t>
  </si>
  <si>
    <t>diameter (from below)</t>
  </si>
  <si>
    <t>another image (not sure which)</t>
  </si>
  <si>
    <t xml:space="preserve">percent cover of a chamber </t>
  </si>
  <si>
    <t>Note - discussed with Henry, who said he wouldn't deal with the small canals (inhalent or exhalent) since they're too variable</t>
  </si>
  <si>
    <t>area of image (um2)</t>
  </si>
  <si>
    <t>(where applicable, mean is in parentheses)</t>
  </si>
  <si>
    <t>#chambers/mm3</t>
  </si>
  <si>
    <t>XS area of 1ul volume</t>
  </si>
  <si>
    <t xml:space="preserve">area of ostia in 1mm2 </t>
  </si>
  <si>
    <t>height  (um)</t>
  </si>
  <si>
    <t>length (um)</t>
  </si>
  <si>
    <t>area of canals in 1mm3</t>
  </si>
  <si>
    <t>Velocity @1cm/s</t>
  </si>
  <si>
    <t>oscular velocity</t>
  </si>
  <si>
    <t>Image AV4_02</t>
  </si>
  <si>
    <t>area in which spaces were counted (um2)</t>
  </si>
  <si>
    <t>OSTIA</t>
  </si>
  <si>
    <t>um</t>
  </si>
  <si>
    <t>% distance from inhalent surface</t>
  </si>
  <si>
    <t># chambers in 1mm3 = 1876</t>
  </si>
  <si>
    <t>Green fill indicates final calculated xs area. Note these numbers correspond to green filled cells on each of the sheets for each region - they are linked.</t>
  </si>
  <si>
    <t>Path length (um)</t>
  </si>
  <si>
    <t>Henry's method for calculating Velocity per opening (mm/s)</t>
  </si>
  <si>
    <t>Velocity m/s (matt)</t>
  </si>
  <si>
    <t>percent distance from inhalent surface</t>
  </si>
  <si>
    <t>Sponge region name from summary sheet</t>
  </si>
  <si>
    <t>From "summary sheet" Colum O - Velocity per opening</t>
  </si>
  <si>
    <t>Pa</t>
  </si>
  <si>
    <t>cm</t>
  </si>
  <si>
    <t>Head (mm)</t>
  </si>
  <si>
    <t>Pressure (Pa)</t>
  </si>
  <si>
    <t>L</t>
  </si>
  <si>
    <t>Sponge volume</t>
  </si>
  <si>
    <t>Region</t>
  </si>
  <si>
    <t>% of inhalant surface</t>
  </si>
  <si>
    <t>A. vastus</t>
  </si>
  <si>
    <t>% of total</t>
  </si>
  <si>
    <t>-</t>
  </si>
  <si>
    <t>Pre-collar space</t>
  </si>
  <si>
    <t>Post-collar space</t>
  </si>
  <si>
    <t>Subatrial space</t>
  </si>
  <si>
    <t>Atrial cavity</t>
  </si>
  <si>
    <t>% Dist. from Inhalant surface</t>
  </si>
  <si>
    <t>Subdermal space</t>
  </si>
  <si>
    <t>Large incurrent canal</t>
  </si>
  <si>
    <t>Glycocalyx mesh pores</t>
  </si>
  <si>
    <t>Collar slit</t>
  </si>
  <si>
    <t xml:space="preserve">Collar apertures </t>
  </si>
  <si>
    <t xml:space="preserve">Chamber </t>
  </si>
  <si>
    <t>Large excurrent canals</t>
  </si>
  <si>
    <t>Q (per opening, m^3/s)</t>
  </si>
  <si>
    <t xml:space="preserve">Prosopyles </t>
  </si>
  <si>
    <t>Apopyle</t>
  </si>
  <si>
    <r>
      <t>Chambers per mm</t>
    </r>
    <r>
      <rPr>
        <vertAlign val="superscript"/>
        <sz val="11"/>
        <rFont val="Times New Roman"/>
        <family val="1"/>
      </rPr>
      <t>3</t>
    </r>
  </si>
  <si>
    <t>Microvilli per collar</t>
  </si>
  <si>
    <t>Std. Sponge</t>
  </si>
  <si>
    <t>% of inhalant surfaceA. vastus</t>
  </si>
  <si>
    <t>Water velocity 
(um s-1) A. vastus</t>
  </si>
  <si>
    <t xml:space="preserve"> Head loss  % of total</t>
  </si>
  <si>
    <r>
      <rPr>
        <sz val="10"/>
        <rFont val="Symbol"/>
        <family val="1"/>
        <charset val="2"/>
      </rPr>
      <t>D</t>
    </r>
    <r>
      <rPr>
        <sz val="10"/>
        <rFont val="Arial"/>
        <family val="2"/>
      </rPr>
      <t>P (Pa)</t>
    </r>
  </si>
  <si>
    <r>
      <rPr>
        <sz val="10"/>
        <rFont val="Symbol"/>
        <family val="1"/>
        <charset val="2"/>
      </rPr>
      <t>D</t>
    </r>
    <r>
      <rPr>
        <sz val="10"/>
        <rFont val="Arial"/>
        <family val="2"/>
      </rPr>
      <t>Head (µm)</t>
    </r>
  </si>
  <si>
    <r>
      <t xml:space="preserve">% of total </t>
    </r>
    <r>
      <rPr>
        <sz val="10"/>
        <rFont val="Symbol"/>
        <family val="1"/>
        <charset val="2"/>
      </rPr>
      <t>D</t>
    </r>
    <r>
      <rPr>
        <sz val="10"/>
        <rFont val="Arial"/>
        <family val="2"/>
      </rPr>
      <t>Head</t>
    </r>
  </si>
  <si>
    <t xml:space="preserve">Velocity (per opening, m/s) </t>
  </si>
  <si>
    <t>Fraction of inhalent surface</t>
  </si>
  <si>
    <t>Total</t>
  </si>
  <si>
    <t>nL/collar/hr</t>
  </si>
  <si>
    <t>tau</t>
  </si>
  <si>
    <t>width of the mesh</t>
  </si>
  <si>
    <t>length of the mesh</t>
  </si>
  <si>
    <t>dynamic viscosity of seawater</t>
  </si>
  <si>
    <t>Pa s</t>
  </si>
  <si>
    <t>τ</t>
  </si>
  <si>
    <t>ratio</t>
  </si>
  <si>
    <t>unit less</t>
  </si>
  <si>
    <t>U</t>
  </si>
  <si>
    <t>m/s</t>
  </si>
  <si>
    <t>=</t>
  </si>
  <si>
    <r>
      <rPr>
        <b/>
        <sz val="10"/>
        <rFont val="Symbol"/>
        <family val="1"/>
        <charset val="2"/>
      </rPr>
      <t>D</t>
    </r>
    <r>
      <rPr>
        <b/>
        <sz val="10"/>
        <rFont val="Arial"/>
        <family val="2"/>
      </rPr>
      <t>P</t>
    </r>
  </si>
  <si>
    <t>DH</t>
  </si>
  <si>
    <t>µm</t>
  </si>
  <si>
    <t>µ</t>
  </si>
  <si>
    <r>
      <t>h</t>
    </r>
    <r>
      <rPr>
        <vertAlign val="subscript"/>
        <sz val="10"/>
        <rFont val="Arial"/>
        <family val="2"/>
      </rPr>
      <t>1</t>
    </r>
  </si>
  <si>
    <r>
      <t>H</t>
    </r>
    <r>
      <rPr>
        <vertAlign val="subscript"/>
        <sz val="10"/>
        <rFont val="Arial"/>
        <family val="2"/>
      </rPr>
      <t>2</t>
    </r>
  </si>
  <si>
    <r>
      <t>H</t>
    </r>
    <r>
      <rPr>
        <vertAlign val="subscript"/>
        <sz val="10"/>
        <rFont val="Arial"/>
        <family val="2"/>
      </rPr>
      <t>e</t>
    </r>
  </si>
  <si>
    <r>
      <t>H</t>
    </r>
    <r>
      <rPr>
        <vertAlign val="subscript"/>
        <sz val="10"/>
        <rFont val="Arial"/>
        <family val="2"/>
      </rPr>
      <t>0</t>
    </r>
  </si>
  <si>
    <r>
      <t>Λ</t>
    </r>
    <r>
      <rPr>
        <vertAlign val="subscript"/>
        <sz val="10"/>
        <rFont val="Calibri"/>
        <family val="2"/>
      </rPr>
      <t>e</t>
    </r>
  </si>
  <si>
    <t>Riisgard, H. U. 1988. THE ASCIDIAN PUMP - PROPERTIES AND ENERGY-COST. Mar. Ecol.-Prog. Ser. 47: 129-134.</t>
  </si>
  <si>
    <t>% of our model:</t>
  </si>
  <si>
    <t>Secenario 1</t>
  </si>
  <si>
    <t>;</t>
  </si>
  <si>
    <t>Secenario 2</t>
  </si>
  <si>
    <t>Secenario 3</t>
  </si>
  <si>
    <t>velocity at the mess pore</t>
  </si>
  <si>
    <t>mesh fibbers radius</t>
  </si>
  <si>
    <t>Lambda</t>
  </si>
  <si>
    <t>Total:</t>
  </si>
  <si>
    <t>Riisgard et al 1988</t>
  </si>
  <si>
    <t>J/umol O2</t>
  </si>
  <si>
    <t>umol O2 /1 mL O2</t>
  </si>
  <si>
    <t>Medium icurrent canals</t>
  </si>
  <si>
    <r>
      <t xml:space="preserve">Therefore it would be fair to say that approximately 75% of the images is choanosome </t>
    </r>
    <r>
      <rPr>
        <sz val="10"/>
        <rFont val="Arial"/>
        <family val="2"/>
      </rPr>
      <t>(this takes into account the few incurrent canals that are in the images I have measured for flagellated chambers</t>
    </r>
  </si>
  <si>
    <t>SMALL Incurrent Canals</t>
  </si>
  <si>
    <t>area of single canal (um^2)</t>
  </si>
  <si>
    <t>count per large incurrent canal</t>
  </si>
  <si>
    <t xml:space="preserve">number of large IC in </t>
  </si>
  <si>
    <t xml:space="preserve">total number of (large)small IC per large IC </t>
  </si>
  <si>
    <t>area of 'larger'-small IC (um^2)</t>
  </si>
  <si>
    <t>XS area of large-small incurrent canals in 1mm^3</t>
  </si>
  <si>
    <t>PATH LENGTH - Two types of Small Incurrent canals (From AV incureent 1-00x)</t>
  </si>
  <si>
    <t>larger 'small' incurrent canals</t>
  </si>
  <si>
    <t>canal</t>
  </si>
  <si>
    <t>path length (um)</t>
  </si>
  <si>
    <t>mean length 'large' small incurrent canal</t>
  </si>
  <si>
    <t>mean length 'small' small incurrent canal</t>
  </si>
  <si>
    <t>(very few images accurately show these -- I have used one only but to be honest I think it's not bad -- the chambers mostly empty directly into the large EC)</t>
  </si>
  <si>
    <t>Path length of Small Excurrent canals</t>
  </si>
  <si>
    <r>
      <t>Cross section Area (mm</t>
    </r>
    <r>
      <rPr>
        <vertAlign val="superscript"/>
        <sz val="10"/>
        <rFont val="Calibri"/>
        <family val="2"/>
      </rPr>
      <t>2</t>
    </r>
    <r>
      <rPr>
        <sz val="10"/>
        <rFont val="Calibri"/>
        <family val="2"/>
      </rPr>
      <t>)</t>
    </r>
  </si>
  <si>
    <r>
      <t>Inner Diameter  
(D</t>
    </r>
    <r>
      <rPr>
        <vertAlign val="subscript"/>
        <sz val="10"/>
        <rFont val="Calibri"/>
        <family val="2"/>
      </rPr>
      <t>i</t>
    </r>
    <r>
      <rPr>
        <sz val="10"/>
        <rFont val="Calibri"/>
        <family val="2"/>
      </rPr>
      <t>, µm)</t>
    </r>
  </si>
  <si>
    <r>
      <t>Path Length (L</t>
    </r>
    <r>
      <rPr>
        <vertAlign val="subscript"/>
        <sz val="10"/>
        <rFont val="Calibri"/>
        <family val="2"/>
      </rPr>
      <t>i</t>
    </r>
    <r>
      <rPr>
        <sz val="10"/>
        <rFont val="Calibri"/>
        <family val="2"/>
      </rPr>
      <t>, µm)</t>
    </r>
  </si>
  <si>
    <r>
      <t xml:space="preserve">Cumulative Head loss  (DP, </t>
    </r>
    <r>
      <rPr>
        <sz val="10"/>
        <rFont val="Calibri"/>
        <family val="2"/>
      </rPr>
      <t>µ</t>
    </r>
    <r>
      <rPr>
        <sz val="10"/>
        <rFont val="Arial"/>
        <family val="2"/>
      </rPr>
      <t xml:space="preserve">m) </t>
    </r>
  </si>
  <si>
    <r>
      <rPr>
        <i/>
        <sz val="10"/>
        <rFont val="Calibri"/>
        <family val="2"/>
      </rPr>
      <t xml:space="preserve">Head loss  (DP, </t>
    </r>
    <r>
      <rPr>
        <sz val="10"/>
        <rFont val="Calibri"/>
        <family val="2"/>
      </rPr>
      <t>µ</t>
    </r>
    <r>
      <rPr>
        <i/>
        <sz val="10"/>
        <rFont val="Calibri"/>
        <family val="2"/>
      </rPr>
      <t>m) A. vastus</t>
    </r>
  </si>
  <si>
    <t xml:space="preserve"> % of inhalant surface Std. Sponge</t>
  </si>
  <si>
    <r>
      <t xml:space="preserve">Head loss  (DP, </t>
    </r>
    <r>
      <rPr>
        <sz val="10"/>
        <color indexed="30"/>
        <rFont val="Calibri"/>
        <family val="2"/>
      </rPr>
      <t>µ</t>
    </r>
    <r>
      <rPr>
        <i/>
        <sz val="10"/>
        <color indexed="30"/>
        <rFont val="Arial"/>
        <family val="2"/>
      </rPr>
      <t>m) Std. Spong</t>
    </r>
    <r>
      <rPr>
        <i/>
        <sz val="10"/>
        <color indexed="30"/>
        <rFont val="Calibri"/>
        <family val="2"/>
      </rPr>
      <t>e</t>
    </r>
  </si>
  <si>
    <r>
      <t>Water velocity 
(um s-1) Std. Spong</t>
    </r>
    <r>
      <rPr>
        <i/>
        <sz val="10"/>
        <color indexed="30"/>
        <rFont val="Calibri"/>
        <family val="2"/>
      </rPr>
      <t>e</t>
    </r>
  </si>
  <si>
    <t xml:space="preserve">Sponge </t>
  </si>
  <si>
    <t>Estimated number of collars</t>
  </si>
  <si>
    <t>SD</t>
  </si>
  <si>
    <t>CV</t>
  </si>
  <si>
    <t>CI95%</t>
  </si>
  <si>
    <r>
      <t>Flow per osculum at EV=1 cm s</t>
    </r>
    <r>
      <rPr>
        <vertAlign val="superscript"/>
        <sz val="12"/>
        <rFont val="Times New Roman"/>
        <family val="1"/>
      </rPr>
      <t>-1</t>
    </r>
    <r>
      <rPr>
        <sz val="12"/>
        <rFont val="Times New Roman"/>
        <family val="1"/>
      </rPr>
      <t xml:space="preserve">  (L hr-1)</t>
    </r>
  </si>
  <si>
    <t>Osculum to base length (cm)</t>
  </si>
  <si>
    <t>Near osculum circumference (cm)</t>
  </si>
  <si>
    <r>
      <t>Flow per osculum at EV=2 cm s</t>
    </r>
    <r>
      <rPr>
        <vertAlign val="superscript"/>
        <sz val="12"/>
        <rFont val="Times New Roman"/>
        <family val="1"/>
      </rPr>
      <t xml:space="preserve">-1 </t>
    </r>
    <r>
      <rPr>
        <sz val="12"/>
        <rFont val="Times New Roman"/>
        <family val="1"/>
      </rPr>
      <t>(L hr-1)</t>
    </r>
  </si>
  <si>
    <t>Sponge volume (L)</t>
  </si>
  <si>
    <r>
      <t>Osculum  area (cm</t>
    </r>
    <r>
      <rPr>
        <vertAlign val="superscript"/>
        <sz val="12"/>
        <rFont val="Times New Roman"/>
        <family val="1"/>
      </rPr>
      <t>2</t>
    </r>
    <r>
      <rPr>
        <sz val="12"/>
        <rFont val="Times New Roman"/>
        <family val="1"/>
      </rPr>
      <t>)</t>
    </r>
  </si>
  <si>
    <t>Equivalent circle diameter (cm)</t>
  </si>
  <si>
    <t>names at the comparison table</t>
  </si>
  <si>
    <t>mL/mLSponge/s</t>
  </si>
  <si>
    <t>total pathlength</t>
  </si>
  <si>
    <t>Relative  head (µm)</t>
  </si>
  <si>
    <t xml:space="preserve">Excuurent velocity (m/s) </t>
  </si>
  <si>
    <t>Internal area of the atrium (m^2)</t>
  </si>
  <si>
    <t xml:space="preserve"> Oscolum flow rate (m^3/s) </t>
  </si>
  <si>
    <t xml:space="preserve">Viscosity (Pa s) </t>
  </si>
  <si>
    <t>Surface area of the 100^3 crosswall section (mm^2)</t>
  </si>
  <si>
    <t>Specific pumping rate (mL/mLSponge/min)</t>
  </si>
  <si>
    <t xml:space="preserve">Excurrent velocity (m/s) </t>
  </si>
  <si>
    <t>Q, Excurrent flow rate (m^3/s)</t>
  </si>
  <si>
    <r>
      <t>required U</t>
    </r>
    <r>
      <rPr>
        <vertAlign val="subscript"/>
        <sz val="10"/>
        <rFont val="Arial"/>
        <family val="2"/>
      </rPr>
      <t>ambient</t>
    </r>
    <r>
      <rPr>
        <sz val="10"/>
        <rFont val="Arial"/>
        <family val="2"/>
      </rPr>
      <t xml:space="preserve"> for passive flow Q (m/s)</t>
    </r>
  </si>
  <si>
    <r>
      <rPr>
        <b/>
        <sz val="10"/>
        <color indexed="17"/>
        <rFont val="Arial"/>
        <family val="2"/>
      </rPr>
      <t>Density,</t>
    </r>
    <r>
      <rPr>
        <b/>
        <sz val="10"/>
        <color indexed="17"/>
        <rFont val="Symbol"/>
        <family val="1"/>
        <charset val="2"/>
      </rPr>
      <t xml:space="preserve"> r</t>
    </r>
    <r>
      <rPr>
        <b/>
        <sz val="10"/>
        <color indexed="17"/>
        <rFont val="Arial"/>
        <family val="2"/>
      </rPr>
      <t xml:space="preserve"> (kg/m^3)</t>
    </r>
  </si>
  <si>
    <r>
      <t xml:space="preserve">Specific weight </t>
    </r>
    <r>
      <rPr>
        <b/>
        <sz val="11"/>
        <color indexed="17"/>
        <rFont val="Symbol"/>
        <family val="1"/>
        <charset val="2"/>
      </rPr>
      <t>g</t>
    </r>
  </si>
  <si>
    <r>
      <rPr>
        <b/>
        <sz val="10"/>
        <color indexed="39"/>
        <rFont val="Symbol"/>
        <family val="1"/>
        <charset val="2"/>
      </rPr>
      <t>D</t>
    </r>
    <r>
      <rPr>
        <b/>
        <sz val="10"/>
        <color indexed="39"/>
        <rFont val="Arial"/>
        <family val="2"/>
      </rPr>
      <t>P</t>
    </r>
    <r>
      <rPr>
        <b/>
        <vertAlign val="subscript"/>
        <sz val="10"/>
        <color indexed="39"/>
        <rFont val="Arial"/>
        <family val="2"/>
      </rPr>
      <t xml:space="preserve">wall </t>
    </r>
    <r>
      <rPr>
        <b/>
        <sz val="10"/>
        <color indexed="39"/>
        <rFont val="Arial"/>
        <family val="2"/>
      </rPr>
      <t>(Pa)</t>
    </r>
  </si>
  <si>
    <t xml:space="preserve">W, power gain/ expenditure (uW/ Speciemn) </t>
  </si>
  <si>
    <t>e2</t>
  </si>
  <si>
    <t>f1</t>
  </si>
  <si>
    <t>f2</t>
  </si>
  <si>
    <t>v1</t>
  </si>
  <si>
    <t>u1</t>
  </si>
  <si>
    <r>
      <t>e</t>
    </r>
    <r>
      <rPr>
        <vertAlign val="subscript"/>
        <sz val="10"/>
        <rFont val="Arial"/>
        <family val="2"/>
      </rPr>
      <t>1</t>
    </r>
  </si>
  <si>
    <t>Xs area in 1mm^3</t>
  </si>
  <si>
    <r>
      <t xml:space="preserve"> Bernoulli Effect</t>
    </r>
    <r>
      <rPr>
        <sz val="12"/>
        <rFont val="Symbol"/>
        <family val="1"/>
        <charset val="2"/>
      </rPr>
      <t/>
    </r>
  </si>
  <si>
    <r>
      <t>Power 
[</t>
    </r>
    <r>
      <rPr>
        <sz val="9"/>
        <rFont val="Calibri"/>
        <family val="2"/>
      </rPr>
      <t>µ</t>
    </r>
    <r>
      <rPr>
        <sz val="9"/>
        <rFont val="Times New Roman"/>
        <family val="1"/>
      </rPr>
      <t>W Speciemn</t>
    </r>
    <r>
      <rPr>
        <vertAlign val="superscript"/>
        <sz val="9"/>
        <rFont val="Times New Roman"/>
        <family val="1"/>
      </rPr>
      <t>-1</t>
    </r>
    <r>
      <rPr>
        <sz val="9"/>
        <rFont val="Times New Roman"/>
        <family val="1"/>
      </rPr>
      <t>]</t>
    </r>
  </si>
  <si>
    <r>
      <t>Specific Power
[</t>
    </r>
    <r>
      <rPr>
        <sz val="9"/>
        <rFont val="Calibri"/>
        <family val="2"/>
      </rPr>
      <t>µ</t>
    </r>
    <r>
      <rPr>
        <sz val="9"/>
        <rFont val="Times New Roman"/>
        <family val="1"/>
      </rPr>
      <t>W (mL sponge)</t>
    </r>
    <r>
      <rPr>
        <vertAlign val="superscript"/>
        <sz val="9"/>
        <rFont val="Times New Roman"/>
        <family val="1"/>
      </rPr>
      <t>-1</t>
    </r>
    <r>
      <rPr>
        <sz val="9"/>
        <rFont val="Times New Roman"/>
        <family val="1"/>
      </rPr>
      <t>]</t>
    </r>
  </si>
  <si>
    <r>
      <t>Inner Diameter  
(D</t>
    </r>
    <r>
      <rPr>
        <vertAlign val="subscript"/>
        <sz val="10"/>
        <rFont val="Times New Roman"/>
        <family val="1"/>
      </rPr>
      <t>i</t>
    </r>
    <r>
      <rPr>
        <sz val="10"/>
        <rFont val="Times New Roman"/>
        <family val="1"/>
      </rPr>
      <t xml:space="preserve">, </t>
    </r>
    <r>
      <rPr>
        <sz val="10"/>
        <rFont val="Symbol"/>
        <family val="1"/>
        <charset val="2"/>
      </rPr>
      <t>m</t>
    </r>
    <r>
      <rPr>
        <sz val="10"/>
        <rFont val="Times New Roman"/>
        <family val="1"/>
      </rPr>
      <t>m)</t>
    </r>
  </si>
  <si>
    <r>
      <t>Path Length (L</t>
    </r>
    <r>
      <rPr>
        <vertAlign val="subscript"/>
        <sz val="10"/>
        <rFont val="Times New Roman"/>
        <family val="1"/>
      </rPr>
      <t>i</t>
    </r>
    <r>
      <rPr>
        <sz val="10"/>
        <rFont val="Times New Roman"/>
        <family val="1"/>
      </rPr>
      <t xml:space="preserve">, </t>
    </r>
    <r>
      <rPr>
        <sz val="10"/>
        <rFont val="Symbol"/>
        <family val="1"/>
        <charset val="2"/>
      </rPr>
      <t>m</t>
    </r>
    <r>
      <rPr>
        <sz val="10"/>
        <rFont val="Times New Roman"/>
        <family val="1"/>
      </rPr>
      <t>m)</t>
    </r>
  </si>
  <si>
    <r>
      <t>Dist. from Inhalant surface (</t>
    </r>
    <r>
      <rPr>
        <sz val="10"/>
        <rFont val="Calibri"/>
        <family val="2"/>
      </rPr>
      <t>µ</t>
    </r>
    <r>
      <rPr>
        <sz val="10"/>
        <rFont val="Times New Roman"/>
        <family val="1"/>
      </rPr>
      <t>m)</t>
    </r>
  </si>
  <si>
    <r>
      <t>Cross section Area (mm</t>
    </r>
    <r>
      <rPr>
        <vertAlign val="superscript"/>
        <sz val="10"/>
        <rFont val="Times New Roman"/>
        <family val="1"/>
      </rPr>
      <t>2</t>
    </r>
    <r>
      <rPr>
        <sz val="10"/>
        <rFont val="Times New Roman"/>
        <family val="1"/>
      </rPr>
      <t>)</t>
    </r>
  </si>
  <si>
    <r>
      <t>Water velocity 
(</t>
    </r>
    <r>
      <rPr>
        <sz val="10"/>
        <rFont val="Symbol"/>
        <family val="1"/>
        <charset val="2"/>
      </rPr>
      <t>m</t>
    </r>
    <r>
      <rPr>
        <sz val="10"/>
        <rFont val="Times New Roman"/>
        <family val="1"/>
      </rPr>
      <t>m s</t>
    </r>
    <r>
      <rPr>
        <vertAlign val="superscript"/>
        <sz val="10"/>
        <rFont val="Times New Roman"/>
        <family val="1"/>
      </rPr>
      <t>-1</t>
    </r>
    <r>
      <rPr>
        <sz val="10"/>
        <rFont val="Times New Roman"/>
        <family val="1"/>
      </rPr>
      <t>)</t>
    </r>
  </si>
  <si>
    <r>
      <t>Relative head (</t>
    </r>
    <r>
      <rPr>
        <sz val="10"/>
        <rFont val="Calibri"/>
        <family val="2"/>
      </rPr>
      <t>µ</t>
    </r>
    <r>
      <rPr>
        <sz val="10"/>
        <rFont val="Times New Roman"/>
        <family val="1"/>
      </rPr>
      <t>m)</t>
    </r>
  </si>
  <si>
    <r>
      <t>Std. Spong</t>
    </r>
    <r>
      <rPr>
        <i/>
        <sz val="10"/>
        <color indexed="39"/>
        <rFont val="Times New Roman"/>
        <family val="1"/>
      </rPr>
      <t>e</t>
    </r>
  </si>
  <si>
    <t>at excurrent rate of 1 cm/s</t>
  </si>
  <si>
    <t>1mL O2 = 19.2 Joule</t>
  </si>
  <si>
    <t>osculum diameter</t>
  </si>
  <si>
    <t>Total DP at EV=1 cm/s</t>
  </si>
  <si>
    <t>L pumped / ml O2</t>
  </si>
  <si>
    <r>
      <t>Oxygen [</t>
    </r>
    <r>
      <rPr>
        <sz val="9"/>
        <rFont val="Calibri"/>
        <family val="2"/>
      </rPr>
      <t>µ</t>
    </r>
    <r>
      <rPr>
        <sz val="9"/>
        <rFont val="Times New Roman"/>
        <family val="1"/>
      </rPr>
      <t>mol O</t>
    </r>
    <r>
      <rPr>
        <vertAlign val="subscript"/>
        <sz val="9"/>
        <rFont val="Times New Roman"/>
        <family val="1"/>
      </rPr>
      <t>2</t>
    </r>
    <r>
      <rPr>
        <sz val="9"/>
        <rFont val="Times New Roman"/>
        <family val="1"/>
      </rPr>
      <t xml:space="preserve"> 
(L pumped</t>
    </r>
    <r>
      <rPr>
        <vertAlign val="superscript"/>
        <sz val="9"/>
        <rFont val="Times New Roman"/>
        <family val="1"/>
      </rPr>
      <t>-1</t>
    </r>
    <r>
      <rPr>
        <sz val="9"/>
        <rFont val="Times New Roman"/>
        <family val="1"/>
      </rPr>
      <t>)]</t>
    </r>
  </si>
  <si>
    <t>Predicted current induced flow</t>
  </si>
  <si>
    <r>
      <t>Ambient velocity (cm s</t>
    </r>
    <r>
      <rPr>
        <vertAlign val="superscript"/>
        <sz val="11"/>
        <rFont val="Times New Roman"/>
        <family val="1"/>
      </rPr>
      <t>-1</t>
    </r>
    <r>
      <rPr>
        <sz val="11"/>
        <rFont val="Times New Roman"/>
        <family val="1"/>
      </rPr>
      <t>)</t>
    </r>
  </si>
  <si>
    <r>
      <t>Excurrent speed 
(cm s</t>
    </r>
    <r>
      <rPr>
        <vertAlign val="superscript"/>
        <sz val="11"/>
        <rFont val="Times New Roman"/>
        <family val="1"/>
      </rPr>
      <t>-1</t>
    </r>
    <r>
      <rPr>
        <sz val="11"/>
        <rFont val="Times New Roman"/>
        <family val="1"/>
      </rPr>
      <t>)</t>
    </r>
  </si>
  <si>
    <r>
      <t xml:space="preserve"> Excurrent flow rate 
(L</t>
    </r>
    <r>
      <rPr>
        <sz val="11"/>
        <rFont val="Times New Roman"/>
        <family val="1"/>
      </rPr>
      <t xml:space="preserve"> hr</t>
    </r>
    <r>
      <rPr>
        <vertAlign val="superscript"/>
        <sz val="11"/>
        <rFont val="Times New Roman"/>
        <family val="1"/>
      </rPr>
      <t xml:space="preserve">-1 </t>
    </r>
    <r>
      <rPr>
        <sz val="11"/>
        <rFont val="Times New Roman"/>
        <family val="1"/>
      </rPr>
      <t>Speciemn</t>
    </r>
    <r>
      <rPr>
        <vertAlign val="superscript"/>
        <sz val="11"/>
        <rFont val="Times New Roman"/>
        <family val="1"/>
      </rPr>
      <t>-1</t>
    </r>
    <r>
      <rPr>
        <sz val="11"/>
        <rFont val="Times New Roman"/>
        <family val="1"/>
      </rPr>
      <t>)</t>
    </r>
  </si>
  <si>
    <r>
      <t>Specific pumping rate 
[mL pumped 
(mL sponge)</t>
    </r>
    <r>
      <rPr>
        <vertAlign val="superscript"/>
        <sz val="11"/>
        <rFont val="Times New Roman"/>
        <family val="1"/>
      </rPr>
      <t>-1</t>
    </r>
    <r>
      <rPr>
        <sz val="11"/>
        <rFont val="Times New Roman"/>
        <family val="1"/>
      </rPr>
      <t xml:space="preserve"> min</t>
    </r>
    <r>
      <rPr>
        <vertAlign val="superscript"/>
        <sz val="11"/>
        <rFont val="Times New Roman"/>
        <family val="1"/>
      </rPr>
      <t>-1</t>
    </r>
    <r>
      <rPr>
        <sz val="11"/>
        <rFont val="Times New Roman"/>
        <family val="1"/>
      </rPr>
      <t>]</t>
    </r>
  </si>
  <si>
    <t>Predicted power expenditure under the variable speed pump scenario</t>
  </si>
  <si>
    <t>Predicted power expenditure under the fixed speed pump scenario</t>
  </si>
  <si>
    <r>
      <t>Specific Energy expenditure
[m</t>
    </r>
    <r>
      <rPr>
        <sz val="9"/>
        <rFont val="Times New Roman"/>
        <family val="1"/>
      </rPr>
      <t>J (L pumped)</t>
    </r>
    <r>
      <rPr>
        <vertAlign val="superscript"/>
        <sz val="9"/>
        <rFont val="Times New Roman"/>
        <family val="1"/>
      </rPr>
      <t>-1</t>
    </r>
    <r>
      <rPr>
        <sz val="9"/>
        <rFont val="Times New Roman"/>
        <family val="1"/>
      </rPr>
      <t>]</t>
    </r>
  </si>
  <si>
    <t>Dh (m)</t>
  </si>
  <si>
    <t>DP (Pa)</t>
  </si>
  <si>
    <r>
      <t>Head loss  
(</t>
    </r>
    <r>
      <rPr>
        <sz val="10"/>
        <rFont val="Symbol"/>
        <family val="1"/>
        <charset val="2"/>
      </rPr>
      <t>D</t>
    </r>
    <r>
      <rPr>
        <sz val="10"/>
        <rFont val="Times New Roman"/>
        <family val="1"/>
      </rPr>
      <t>H, µm)</t>
    </r>
  </si>
  <si>
    <t xml:space="preserve">W, power gain/ expenditure (uJ/ Liter pumped) </t>
  </si>
  <si>
    <r>
      <t>Parameters of individual sponges used in tank experiments. The estimated volume of water processed by the whole sponge is also
shown for an excurrent velocity (EV) from the osculum of 1 and 2 cm s</t>
    </r>
    <r>
      <rPr>
        <vertAlign val="superscript"/>
        <sz val="10"/>
        <color theme="4"/>
        <rFont val="Arial"/>
        <family val="2"/>
      </rPr>
      <t>-1</t>
    </r>
    <r>
      <rPr>
        <sz val="10"/>
        <color theme="4"/>
        <rFont val="Arial"/>
        <family val="2"/>
      </rPr>
      <t>. Note the oscula areas are ~45% smaller than a circle
calculated from the "near osculum circumference" due to tapering at the oscula rim and the irregular shape of the oscula.</t>
    </r>
  </si>
  <si>
    <t>Q, Excurrent flow rate (L/hr)</t>
  </si>
  <si>
    <t>28 nmol o2 /10 mL pumped</t>
  </si>
  <si>
    <t>umol O2 / mL pumped</t>
  </si>
  <si>
    <t>Negombata (From Hadas et al 2008)</t>
  </si>
  <si>
    <t>umol O2 / L pumped</t>
  </si>
  <si>
    <t>J /L pumped</t>
  </si>
  <si>
    <t>Reiswig 1974</t>
  </si>
  <si>
    <t>19-23 L /mL O2</t>
  </si>
  <si>
    <t>umol O2/L</t>
  </si>
  <si>
    <t>0.53 umol O2 / L pumped</t>
  </si>
  <si>
    <t>Alfa (Vex/U)</t>
  </si>
  <si>
    <r>
      <t xml:space="preserve"> Induced flow Effect</t>
    </r>
    <r>
      <rPr>
        <sz val="12"/>
        <rFont val="Symbol"/>
        <family val="1"/>
        <charset val="2"/>
      </rPr>
      <t/>
    </r>
  </si>
  <si>
    <t>Predicted ex-current induced by the flow</t>
  </si>
  <si>
    <t>Updated by GY at 2011-09-19</t>
  </si>
  <si>
    <t>Updated by GY 2011-09-19</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</si>
</sst>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 #,##0.00_-;_-* &quot;-&quot;??_-;_-@_-"/>
    <numFmt numFmtId="164" formatCode="_(* #,##0.00_);_(* \(#,##0.00\);_(* &quot;-&quot;??_);_(@_)"/>
    <numFmt numFmtId="165" formatCode="0.0000000"/>
    <numFmt numFmtId="166" formatCode="0.00000"/>
    <numFmt numFmtId="167" formatCode="0.0000"/>
    <numFmt numFmtId="168" formatCode="0.000"/>
    <numFmt numFmtId="169" formatCode="0.0"/>
    <numFmt numFmtId="170" formatCode="0.000000000"/>
    <numFmt numFmtId="171" formatCode="#,##0.0"/>
    <numFmt numFmtId="172" formatCode="0.0000000000"/>
    <numFmt numFmtId="173" formatCode="0.0%"/>
    <numFmt numFmtId="174" formatCode="_(* #,##0.0_);_(* \(#,##0.0\);_(* &quot;-&quot;??_);_(@_)"/>
    <numFmt numFmtId="175" formatCode="_(* #,##0_);_(* \(#,##0\);_(* &quot;-&quot;??_);_(@_)"/>
    <numFmt numFmtId="176" formatCode="_(* #,##0.000_);_(* \(#,##0.000\);_(* &quot;-&quot;??_);_(@_)"/>
    <numFmt numFmtId="177" formatCode="_-* #,##0.0_-;\-* #,##0.0_-;_-* &quot;-&quot;??_-;_-@_-"/>
  </numFmts>
  <fonts count="78">
    <font>
      <sz val="10"/>
      <name val="Arial"/>
    </font>
    <font>
      <sz val="10"/>
      <name val="Arial"/>
      <family val="2"/>
    </font>
    <font>
      <b/>
      <sz val="10"/>
      <name val="Arial"/>
      <family val="2"/>
    </font>
    <font>
      <sz val="8"/>
      <name val="Arial"/>
      <family val="2"/>
    </font>
    <font>
      <sz val="9"/>
      <color indexed="81"/>
      <name val="Tahoma"/>
      <family val="2"/>
    </font>
    <font>
      <b/>
      <sz val="9"/>
      <color indexed="81"/>
      <name val="Tahoma"/>
      <family val="2"/>
    </font>
    <font>
      <b/>
      <u/>
      <sz val="10"/>
      <name val="Arial"/>
      <family val="2"/>
    </font>
    <font>
      <sz val="10"/>
      <name val="Symbol"/>
      <family val="1"/>
    </font>
    <font>
      <sz val="10"/>
      <color indexed="10"/>
      <name val="Arial"/>
      <family val="2"/>
    </font>
    <font>
      <sz val="10"/>
      <name val="Arial"/>
      <family val="2"/>
    </font>
    <font>
      <b/>
      <sz val="10"/>
      <color indexed="10"/>
      <name val="Arial"/>
      <family val="2"/>
    </font>
    <font>
      <u/>
      <sz val="10"/>
      <name val="Arial"/>
      <family val="2"/>
    </font>
    <font>
      <sz val="10"/>
      <name val="Arial"/>
      <family val="2"/>
    </font>
    <font>
      <sz val="10"/>
      <name val="Arial"/>
      <family val="2"/>
    </font>
    <font>
      <b/>
      <sz val="10"/>
      <name val="Arial"/>
      <family val="2"/>
    </font>
    <font>
      <sz val="10"/>
      <name val="Arial"/>
      <family val="2"/>
    </font>
    <font>
      <sz val="10"/>
      <name val="Symbol"/>
      <family val="1"/>
      <charset val="2"/>
    </font>
    <font>
      <sz val="10"/>
      <name val="Times New Roman"/>
      <family val="1"/>
    </font>
    <font>
      <sz val="11"/>
      <name val="Times New Roman"/>
      <family val="1"/>
    </font>
    <font>
      <sz val="12"/>
      <name val="Times New Roman"/>
      <family val="1"/>
    </font>
    <font>
      <sz val="12"/>
      <name val="Symbol"/>
      <family val="1"/>
      <charset val="2"/>
    </font>
    <font>
      <vertAlign val="superscript"/>
      <sz val="12"/>
      <name val="Times New Roman"/>
      <family val="1"/>
    </font>
    <font>
      <vertAlign val="subscript"/>
      <sz val="10"/>
      <name val="Arial"/>
      <family val="2"/>
    </font>
    <font>
      <b/>
      <sz val="10"/>
      <name val="Symbol"/>
      <family val="1"/>
      <charset val="2"/>
    </font>
    <font>
      <i/>
      <sz val="10"/>
      <name val="Times New Roman"/>
      <family val="1"/>
    </font>
    <font>
      <sz val="8"/>
      <color indexed="81"/>
      <name val="Tahoma"/>
      <family val="2"/>
    </font>
    <font>
      <b/>
      <sz val="8"/>
      <color indexed="81"/>
      <name val="Tahoma"/>
      <family val="2"/>
    </font>
    <font>
      <sz val="11"/>
      <name val="Arial"/>
      <family val="2"/>
    </font>
    <font>
      <b/>
      <sz val="9"/>
      <name val="Arial"/>
      <family val="2"/>
    </font>
    <font>
      <vertAlign val="superscript"/>
      <sz val="11"/>
      <name val="Times New Roman"/>
      <family val="1"/>
    </font>
    <font>
      <i/>
      <sz val="10"/>
      <name val="Calibri"/>
      <family val="2"/>
    </font>
    <font>
      <sz val="10"/>
      <name val="Calibri"/>
      <family val="2"/>
    </font>
    <font>
      <vertAlign val="subscript"/>
      <sz val="10"/>
      <name val="Calibri"/>
      <family val="2"/>
    </font>
    <font>
      <vertAlign val="superscript"/>
      <sz val="10"/>
      <name val="Calibri"/>
      <family val="2"/>
    </font>
    <font>
      <i/>
      <sz val="10"/>
      <color indexed="30"/>
      <name val="Arial"/>
      <family val="2"/>
    </font>
    <font>
      <sz val="10"/>
      <color indexed="30"/>
      <name val="Calibri"/>
      <family val="2"/>
    </font>
    <font>
      <i/>
      <sz val="10"/>
      <color indexed="30"/>
      <name val="Calibri"/>
      <family val="2"/>
    </font>
    <font>
      <b/>
      <sz val="12"/>
      <name val="Times New Roman"/>
      <family val="1"/>
    </font>
    <font>
      <i/>
      <sz val="10"/>
      <color indexed="39"/>
      <name val="Times New Roman"/>
      <family val="1"/>
    </font>
    <font>
      <b/>
      <sz val="10"/>
      <color indexed="17"/>
      <name val="Calibri"/>
      <family val="2"/>
    </font>
    <font>
      <b/>
      <sz val="10"/>
      <color indexed="17"/>
      <name val="Arial"/>
      <family val="2"/>
    </font>
    <font>
      <b/>
      <sz val="10"/>
      <color indexed="17"/>
      <name val="Symbol"/>
      <family val="1"/>
      <charset val="2"/>
    </font>
    <font>
      <b/>
      <sz val="11"/>
      <color indexed="17"/>
      <name val="Symbol"/>
      <family val="1"/>
      <charset val="2"/>
    </font>
    <font>
      <b/>
      <sz val="10"/>
      <color indexed="39"/>
      <name val="Arial"/>
      <family val="2"/>
    </font>
    <font>
      <b/>
      <sz val="10"/>
      <color indexed="39"/>
      <name val="Symbol"/>
      <family val="1"/>
      <charset val="2"/>
    </font>
    <font>
      <b/>
      <vertAlign val="subscript"/>
      <sz val="10"/>
      <color indexed="39"/>
      <name val="Arial"/>
      <family val="2"/>
    </font>
    <font>
      <sz val="9"/>
      <name val="Times New Roman"/>
      <family val="1"/>
    </font>
    <font>
      <vertAlign val="superscript"/>
      <sz val="9"/>
      <name val="Times New Roman"/>
      <family val="1"/>
    </font>
    <font>
      <sz val="9"/>
      <name val="Calibri"/>
      <family val="2"/>
    </font>
    <font>
      <vertAlign val="subscript"/>
      <sz val="9"/>
      <name val="Times New Roman"/>
      <family val="1"/>
    </font>
    <font>
      <vertAlign val="subscript"/>
      <sz val="10"/>
      <name val="Times New Roman"/>
      <family val="1"/>
    </font>
    <font>
      <vertAlign val="superscript"/>
      <sz val="10"/>
      <name val="Times New Roman"/>
      <family val="1"/>
    </font>
    <font>
      <b/>
      <sz val="11"/>
      <color rgb="FFFA7D00"/>
      <name val="Calibri"/>
      <family val="2"/>
    </font>
    <font>
      <sz val="11"/>
      <color rgb="FF006100"/>
      <name val="Calibri"/>
      <family val="2"/>
    </font>
    <font>
      <sz val="11"/>
      <color rgb="FF006100"/>
      <name val="Calibri"/>
      <family val="2"/>
      <charset val="177"/>
      <scheme val="minor"/>
    </font>
    <font>
      <sz val="11"/>
      <color rgb="FF9C6500"/>
      <name val="Calibri"/>
      <family val="2"/>
      <charset val="177"/>
      <scheme val="minor"/>
    </font>
    <font>
      <sz val="12"/>
      <name val="Cambria"/>
      <family val="1"/>
      <scheme val="major"/>
    </font>
    <font>
      <sz val="11"/>
      <color rgb="FFFF0000"/>
      <name val="Calibri"/>
      <family val="2"/>
      <charset val="177"/>
      <scheme val="minor"/>
    </font>
    <font>
      <sz val="10"/>
      <name val="Calibri"/>
      <family val="2"/>
      <scheme val="minor"/>
    </font>
    <font>
      <sz val="11"/>
      <color rgb="FF006100"/>
      <name val="Arial"/>
      <family val="2"/>
    </font>
    <font>
      <sz val="11"/>
      <name val="Cambria"/>
      <family val="1"/>
      <scheme val="major"/>
    </font>
    <font>
      <sz val="10"/>
      <color rgb="FFFF0000"/>
      <name val="Arial"/>
      <family val="2"/>
    </font>
    <font>
      <sz val="10"/>
      <color rgb="FF0070C0"/>
      <name val="Calibri"/>
      <family val="2"/>
      <scheme val="minor"/>
    </font>
    <font>
      <i/>
      <sz val="10"/>
      <name val="Calibri"/>
      <family val="2"/>
      <scheme val="minor"/>
    </font>
    <font>
      <i/>
      <sz val="10"/>
      <color rgb="FF0070C0"/>
      <name val="Calibri"/>
      <family val="2"/>
      <scheme val="minor"/>
    </font>
    <font>
      <b/>
      <sz val="10"/>
      <name val="Calibri"/>
      <family val="2"/>
      <scheme val="minor"/>
    </font>
    <font>
      <b/>
      <sz val="11"/>
      <color rgb="FF006100"/>
      <name val="Calibri"/>
      <family val="2"/>
    </font>
    <font>
      <i/>
      <sz val="10"/>
      <color rgb="FF0000FF"/>
      <name val="Times New Roman"/>
      <family val="1"/>
    </font>
    <font>
      <sz val="10"/>
      <color rgb="FF0000FF"/>
      <name val="Times New Roman"/>
      <family val="1"/>
    </font>
    <font>
      <sz val="10"/>
      <name val="Cambria"/>
      <family val="1"/>
      <scheme val="major"/>
    </font>
    <font>
      <b/>
      <sz val="10"/>
      <color rgb="FF0000FF"/>
      <name val="Arial"/>
      <family val="2"/>
    </font>
    <font>
      <sz val="9"/>
      <name val="Cambria"/>
      <family val="1"/>
      <scheme val="major"/>
    </font>
    <font>
      <u/>
      <sz val="11"/>
      <name val="Cambria"/>
      <family val="1"/>
      <scheme val="major"/>
    </font>
    <font>
      <u/>
      <sz val="10"/>
      <name val="Cambria"/>
      <family val="1"/>
      <scheme val="major"/>
    </font>
    <font>
      <sz val="10"/>
      <color theme="4"/>
      <name val="Arial"/>
      <family val="2"/>
    </font>
    <font>
      <vertAlign val="superscript"/>
      <sz val="10"/>
      <color theme="4"/>
      <name val="Arial"/>
      <family val="2"/>
    </font>
    <font>
      <b/>
      <sz val="12"/>
      <color theme="4"/>
      <name val="Arial"/>
      <family val="2"/>
    </font>
    <font>
      <sz val="14"/>
      <color theme="4"/>
      <name val="Arial"/>
      <family val="2"/>
    </font>
  </fonts>
  <fills count="15">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indexed="50"/>
        <bgColor indexed="64"/>
      </patternFill>
    </fill>
    <fill>
      <patternFill patternType="solid">
        <fgColor indexed="52"/>
        <bgColor indexed="64"/>
      </patternFill>
    </fill>
    <fill>
      <patternFill patternType="solid">
        <fgColor rgb="FFF2F2F2"/>
      </patternFill>
    </fill>
    <fill>
      <patternFill patternType="solid">
        <fgColor rgb="FFC6EFCE"/>
      </patternFill>
    </fill>
    <fill>
      <patternFill patternType="solid">
        <fgColor rgb="FFFFEB9C"/>
      </patternFill>
    </fill>
    <fill>
      <patternFill patternType="solid">
        <fgColor theme="3" tint="0.79998168889431442"/>
        <bgColor indexed="64"/>
      </patternFill>
    </fill>
    <fill>
      <patternFill patternType="solid">
        <fgColor rgb="FFFFFF00"/>
        <bgColor indexed="64"/>
      </patternFill>
    </fill>
  </fills>
  <borders count="48">
    <border>
      <left/>
      <right/>
      <top/>
      <bottom/>
      <diagonal/>
    </border>
    <border>
      <left/>
      <right/>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top/>
      <bottom/>
      <diagonal/>
    </border>
    <border>
      <left style="hair">
        <color indexed="64"/>
      </left>
      <right style="thin">
        <color indexed="64"/>
      </right>
      <top style="hair">
        <color indexed="64"/>
      </top>
      <bottom/>
      <diagonal/>
    </border>
    <border>
      <left/>
      <right/>
      <top style="hair">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right/>
      <top style="thin">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64"/>
      </left>
      <right/>
      <top style="hair">
        <color indexed="64"/>
      </top>
      <bottom/>
      <diagonal/>
    </border>
    <border>
      <left/>
      <right/>
      <top style="medium">
        <color indexed="64"/>
      </top>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s>
  <cellStyleXfs count="9">
    <xf numFmtId="0" fontId="0" fillId="0" borderId="0"/>
    <xf numFmtId="0" fontId="52" fillId="10" borderId="47" applyNumberFormat="0" applyAlignment="0" applyProtection="0"/>
    <xf numFmtId="164" fontId="1" fillId="0" borderId="0" applyFont="0" applyFill="0" applyBorder="0" applyAlignment="0" applyProtection="0"/>
    <xf numFmtId="164" fontId="9" fillId="0" borderId="0" applyFont="0" applyFill="0" applyBorder="0" applyAlignment="0" applyProtection="0"/>
    <xf numFmtId="0" fontId="53" fillId="11" borderId="0" applyNumberFormat="0" applyBorder="0" applyAlignment="0" applyProtection="0"/>
    <xf numFmtId="0" fontId="54" fillId="11" borderId="0" applyNumberFormat="0" applyBorder="0" applyAlignment="0" applyProtection="0"/>
    <xf numFmtId="0" fontId="55" fillId="12" borderId="0" applyNumberFormat="0" applyBorder="0" applyAlignment="0" applyProtection="0"/>
    <xf numFmtId="0" fontId="9" fillId="0" borderId="0"/>
    <xf numFmtId="9" fontId="1" fillId="0" borderId="0" applyFont="0" applyFill="0" applyBorder="0" applyAlignment="0" applyProtection="0"/>
  </cellStyleXfs>
  <cellXfs count="549">
    <xf numFmtId="0" fontId="0" fillId="0" borderId="0" xfId="0"/>
    <xf numFmtId="0" fontId="2" fillId="0" borderId="0" xfId="0" applyFont="1"/>
    <xf numFmtId="0" fontId="6" fillId="0" borderId="0" xfId="0" applyFont="1"/>
    <xf numFmtId="2" fontId="2" fillId="0" borderId="0" xfId="0" applyNumberFormat="1" applyFont="1"/>
    <xf numFmtId="0" fontId="0" fillId="0" borderId="1" xfId="0" applyBorder="1"/>
    <xf numFmtId="0" fontId="0" fillId="0" borderId="0" xfId="0" applyBorder="1"/>
    <xf numFmtId="0" fontId="2" fillId="0" borderId="0" xfId="0" applyFont="1" applyBorder="1"/>
    <xf numFmtId="2" fontId="0" fillId="0" borderId="0" xfId="0" applyNumberFormat="1"/>
    <xf numFmtId="0" fontId="8" fillId="0" borderId="0" xfId="0" applyFont="1"/>
    <xf numFmtId="3" fontId="0" fillId="0" borderId="0" xfId="0" applyNumberFormat="1"/>
    <xf numFmtId="0" fontId="0" fillId="2" borderId="0" xfId="0" applyFill="1"/>
    <xf numFmtId="2" fontId="2" fillId="2" borderId="0" xfId="0" applyNumberFormat="1" applyFont="1" applyFill="1"/>
    <xf numFmtId="0" fontId="0" fillId="0" borderId="0" xfId="0" applyFill="1"/>
    <xf numFmtId="0" fontId="2" fillId="0" borderId="0" xfId="0" applyFont="1" applyAlignment="1">
      <alignment wrapText="1"/>
    </xf>
    <xf numFmtId="0" fontId="0" fillId="0" borderId="0" xfId="0" applyAlignment="1">
      <alignment wrapText="1"/>
    </xf>
    <xf numFmtId="0" fontId="2" fillId="3" borderId="0" xfId="0" applyFont="1" applyFill="1"/>
    <xf numFmtId="0" fontId="0" fillId="3" borderId="0" xfId="0" applyFill="1"/>
    <xf numFmtId="0" fontId="0" fillId="0" borderId="0" xfId="0" applyFill="1" applyBorder="1"/>
    <xf numFmtId="0" fontId="0" fillId="0" borderId="2" xfId="0" applyBorder="1"/>
    <xf numFmtId="2" fontId="2" fillId="0" borderId="2" xfId="0" applyNumberFormat="1" applyFont="1" applyBorder="1"/>
    <xf numFmtId="0" fontId="2" fillId="0" borderId="2" xfId="0" applyFont="1" applyBorder="1"/>
    <xf numFmtId="2" fontId="0" fillId="0" borderId="0" xfId="0" applyNumberFormat="1" applyFill="1" applyBorder="1"/>
    <xf numFmtId="2" fontId="0" fillId="0" borderId="0" xfId="0" applyNumberFormat="1" applyAlignment="1">
      <alignment wrapText="1"/>
    </xf>
    <xf numFmtId="2" fontId="2" fillId="3" borderId="0" xfId="0" applyNumberFormat="1"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2" fillId="0" borderId="0" xfId="0" applyFont="1" applyFill="1" applyBorder="1"/>
    <xf numFmtId="0" fontId="0" fillId="4" borderId="0" xfId="0" applyFill="1"/>
    <xf numFmtId="2" fontId="2" fillId="0" borderId="0" xfId="0" applyNumberFormat="1" applyFont="1" applyBorder="1"/>
    <xf numFmtId="169" fontId="2" fillId="0" borderId="0" xfId="0" applyNumberFormat="1" applyFont="1" applyBorder="1"/>
    <xf numFmtId="0" fontId="8" fillId="0" borderId="0" xfId="0" applyFont="1" applyFill="1"/>
    <xf numFmtId="0" fontId="0" fillId="0" borderId="1" xfId="0" applyBorder="1" applyAlignment="1">
      <alignment wrapText="1"/>
    </xf>
    <xf numFmtId="0" fontId="7" fillId="0" borderId="1" xfId="0" applyFont="1" applyBorder="1" applyAlignment="1">
      <alignment wrapText="1"/>
    </xf>
    <xf numFmtId="0" fontId="0" fillId="5" borderId="3" xfId="0" applyFill="1" applyBorder="1"/>
    <xf numFmtId="0" fontId="0" fillId="5" borderId="3" xfId="0" applyFill="1" applyBorder="1" applyAlignment="1">
      <alignment wrapText="1"/>
    </xf>
    <xf numFmtId="3" fontId="0" fillId="5" borderId="3" xfId="0" applyNumberFormat="1" applyFill="1" applyBorder="1"/>
    <xf numFmtId="0" fontId="0" fillId="6" borderId="3" xfId="0" applyFill="1" applyBorder="1"/>
    <xf numFmtId="0" fontId="0" fillId="6" borderId="4" xfId="0" applyFill="1" applyBorder="1"/>
    <xf numFmtId="0" fontId="0" fillId="5" borderId="5" xfId="0" applyFill="1" applyBorder="1"/>
    <xf numFmtId="0" fontId="0" fillId="5" borderId="6" xfId="0" applyFill="1" applyBorder="1"/>
    <xf numFmtId="0" fontId="0" fillId="6" borderId="5" xfId="0" applyFill="1" applyBorder="1"/>
    <xf numFmtId="0" fontId="0" fillId="6" borderId="6" xfId="0" applyFill="1" applyBorder="1"/>
    <xf numFmtId="0" fontId="0" fillId="6" borderId="7" xfId="0" applyFill="1" applyBorder="1"/>
    <xf numFmtId="0" fontId="0" fillId="5" borderId="6" xfId="0" applyFill="1" applyBorder="1" applyAlignment="1">
      <alignment wrapText="1"/>
    </xf>
    <xf numFmtId="0" fontId="0" fillId="6" borderId="8" xfId="0" applyFill="1" applyBorder="1"/>
    <xf numFmtId="0" fontId="0" fillId="6" borderId="6" xfId="0" applyFill="1" applyBorder="1" applyAlignment="1">
      <alignment wrapText="1"/>
    </xf>
    <xf numFmtId="0" fontId="0" fillId="6" borderId="7" xfId="0" applyFill="1" applyBorder="1" applyAlignment="1">
      <alignment wrapText="1"/>
    </xf>
    <xf numFmtId="0" fontId="0" fillId="6" borderId="9" xfId="0" applyFill="1" applyBorder="1"/>
    <xf numFmtId="0" fontId="0" fillId="6" borderId="10" xfId="0" applyFill="1" applyBorder="1"/>
    <xf numFmtId="0" fontId="0" fillId="6" borderId="9" xfId="0" applyFill="1" applyBorder="1" applyAlignment="1">
      <alignment wrapText="1"/>
    </xf>
    <xf numFmtId="0" fontId="0" fillId="6" borderId="11" xfId="0" applyFill="1" applyBorder="1"/>
    <xf numFmtId="0" fontId="0" fillId="5" borderId="12" xfId="0" applyFill="1" applyBorder="1"/>
    <xf numFmtId="0" fontId="0" fillId="5" borderId="12" xfId="0" applyFill="1" applyBorder="1" applyAlignment="1">
      <alignment wrapText="1"/>
    </xf>
    <xf numFmtId="0" fontId="0" fillId="5" borderId="13" xfId="0" applyFill="1" applyBorder="1"/>
    <xf numFmtId="0" fontId="0" fillId="5" borderId="14" xfId="0" applyFill="1" applyBorder="1"/>
    <xf numFmtId="0" fontId="0" fillId="5" borderId="15" xfId="0" applyFill="1" applyBorder="1"/>
    <xf numFmtId="0" fontId="0" fillId="5" borderId="0" xfId="0" applyFill="1"/>
    <xf numFmtId="0" fontId="0" fillId="5" borderId="16" xfId="0" applyFill="1" applyBorder="1"/>
    <xf numFmtId="0" fontId="0" fillId="5" borderId="3" xfId="0" applyFill="1" applyBorder="1" applyAlignment="1">
      <alignment horizontal="right"/>
    </xf>
    <xf numFmtId="2" fontId="0" fillId="5" borderId="3" xfId="0" applyNumberFormat="1" applyFill="1" applyBorder="1" applyAlignment="1">
      <alignment horizontal="right"/>
    </xf>
    <xf numFmtId="0" fontId="0" fillId="5" borderId="11" xfId="0" applyFill="1" applyBorder="1"/>
    <xf numFmtId="0" fontId="0" fillId="2" borderId="6" xfId="0" applyFill="1" applyBorder="1" applyAlignment="1">
      <alignment wrapText="1"/>
    </xf>
    <xf numFmtId="0" fontId="0" fillId="2" borderId="5" xfId="0" applyFill="1" applyBorder="1"/>
    <xf numFmtId="0" fontId="0" fillId="2" borderId="3" xfId="0" applyFill="1" applyBorder="1"/>
    <xf numFmtId="0" fontId="0" fillId="2" borderId="6" xfId="0" applyFill="1" applyBorder="1"/>
    <xf numFmtId="0" fontId="0" fillId="2" borderId="16" xfId="0" applyFill="1" applyBorder="1"/>
    <xf numFmtId="0" fontId="11" fillId="0" borderId="0" xfId="0" applyFont="1"/>
    <xf numFmtId="0" fontId="0" fillId="6" borderId="17" xfId="0" applyFill="1" applyBorder="1"/>
    <xf numFmtId="168" fontId="0" fillId="5" borderId="14" xfId="0" applyNumberFormat="1" applyFill="1" applyBorder="1"/>
    <xf numFmtId="168" fontId="0" fillId="5" borderId="18" xfId="0" applyNumberFormat="1" applyFill="1" applyBorder="1"/>
    <xf numFmtId="168" fontId="0" fillId="5" borderId="12" xfId="0" applyNumberFormat="1" applyFill="1" applyBorder="1"/>
    <xf numFmtId="167" fontId="0" fillId="5" borderId="14" xfId="0" applyNumberFormat="1" applyFill="1" applyBorder="1"/>
    <xf numFmtId="0" fontId="0" fillId="5" borderId="19" xfId="0" applyFill="1" applyBorder="1"/>
    <xf numFmtId="0" fontId="0" fillId="5" borderId="20" xfId="0" applyFill="1" applyBorder="1" applyAlignment="1"/>
    <xf numFmtId="0" fontId="0" fillId="5" borderId="20" xfId="0" applyFill="1" applyBorder="1"/>
    <xf numFmtId="0" fontId="0" fillId="5" borderId="21" xfId="0" applyFill="1" applyBorder="1"/>
    <xf numFmtId="0" fontId="0" fillId="5" borderId="0" xfId="0" applyFill="1" applyBorder="1"/>
    <xf numFmtId="2" fontId="0" fillId="5" borderId="19" xfId="0" applyNumberFormat="1" applyFill="1" applyBorder="1"/>
    <xf numFmtId="168" fontId="0" fillId="5" borderId="22" xfId="0" applyNumberFormat="1" applyFill="1" applyBorder="1"/>
    <xf numFmtId="2" fontId="0" fillId="5" borderId="23" xfId="0" applyNumberFormat="1" applyFill="1" applyBorder="1"/>
    <xf numFmtId="168" fontId="0" fillId="5" borderId="24" xfId="0" applyNumberFormat="1" applyFill="1" applyBorder="1"/>
    <xf numFmtId="0" fontId="0" fillId="7" borderId="0" xfId="0" applyFill="1"/>
    <xf numFmtId="0" fontId="0" fillId="5" borderId="19" xfId="0" applyFill="1" applyBorder="1" applyAlignment="1">
      <alignment wrapText="1"/>
    </xf>
    <xf numFmtId="168" fontId="0" fillId="5" borderId="21" xfId="0" applyNumberFormat="1" applyFill="1" applyBorder="1"/>
    <xf numFmtId="0" fontId="0" fillId="8" borderId="0" xfId="0" applyFill="1"/>
    <xf numFmtId="2" fontId="2" fillId="8" borderId="25" xfId="0" applyNumberFormat="1" applyFont="1" applyFill="1" applyBorder="1"/>
    <xf numFmtId="2" fontId="0" fillId="8" borderId="25" xfId="0" applyNumberFormat="1" applyFill="1" applyBorder="1"/>
    <xf numFmtId="0" fontId="0" fillId="4" borderId="3" xfId="0" applyFill="1" applyBorder="1"/>
    <xf numFmtId="0" fontId="0" fillId="4" borderId="3" xfId="0" applyFill="1" applyBorder="1" applyAlignment="1">
      <alignment wrapText="1"/>
    </xf>
    <xf numFmtId="0" fontId="0" fillId="8" borderId="3" xfId="0" applyFill="1" applyBorder="1" applyAlignment="1">
      <alignment wrapText="1"/>
    </xf>
    <xf numFmtId="2" fontId="0" fillId="4" borderId="3" xfId="0" applyNumberFormat="1" applyFill="1" applyBorder="1"/>
    <xf numFmtId="169" fontId="0" fillId="4" borderId="3" xfId="0" applyNumberFormat="1" applyFill="1" applyBorder="1"/>
    <xf numFmtId="2" fontId="2" fillId="8" borderId="3" xfId="0" applyNumberFormat="1" applyFont="1" applyFill="1" applyBorder="1"/>
    <xf numFmtId="2" fontId="2" fillId="4" borderId="3" xfId="0" applyNumberFormat="1" applyFont="1" applyFill="1" applyBorder="1"/>
    <xf numFmtId="1" fontId="0" fillId="4" borderId="3" xfId="0" applyNumberFormat="1" applyFill="1" applyBorder="1"/>
    <xf numFmtId="167" fontId="2" fillId="8" borderId="3" xfId="0" applyNumberFormat="1" applyFont="1" applyFill="1" applyBorder="1"/>
    <xf numFmtId="0" fontId="2" fillId="8" borderId="3" xfId="0" applyFont="1" applyFill="1" applyBorder="1"/>
    <xf numFmtId="1" fontId="9" fillId="4" borderId="3" xfId="0" applyNumberFormat="1" applyFont="1" applyFill="1" applyBorder="1"/>
    <xf numFmtId="168" fontId="0" fillId="4" borderId="3" xfId="0" applyNumberFormat="1" applyFill="1" applyBorder="1"/>
    <xf numFmtId="0" fontId="2" fillId="4" borderId="3" xfId="0" applyFont="1" applyFill="1" applyBorder="1"/>
    <xf numFmtId="2" fontId="2" fillId="4" borderId="3" xfId="0" applyNumberFormat="1" applyFont="1" applyFill="1" applyBorder="1" applyAlignment="1">
      <alignment wrapText="1"/>
    </xf>
    <xf numFmtId="2" fontId="0" fillId="4" borderId="3" xfId="0" applyNumberFormat="1" applyFill="1" applyBorder="1" applyAlignment="1">
      <alignment wrapText="1"/>
    </xf>
    <xf numFmtId="0" fontId="2" fillId="4" borderId="3" xfId="0" applyFont="1" applyFill="1" applyBorder="1" applyAlignment="1">
      <alignment wrapText="1"/>
    </xf>
    <xf numFmtId="0" fontId="9" fillId="4" borderId="3" xfId="0" applyFont="1" applyFill="1" applyBorder="1"/>
    <xf numFmtId="167" fontId="0" fillId="8" borderId="3" xfId="0" applyNumberFormat="1" applyFill="1" applyBorder="1"/>
    <xf numFmtId="2" fontId="9" fillId="4" borderId="3" xfId="0" applyNumberFormat="1" applyFont="1" applyFill="1" applyBorder="1"/>
    <xf numFmtId="2" fontId="9" fillId="4" borderId="3" xfId="0" applyNumberFormat="1" applyFont="1" applyFill="1" applyBorder="1" applyAlignment="1">
      <alignment wrapText="1"/>
    </xf>
    <xf numFmtId="0" fontId="2" fillId="5" borderId="3" xfId="0" applyFont="1" applyFill="1" applyBorder="1" applyAlignment="1">
      <alignment wrapText="1"/>
    </xf>
    <xf numFmtId="0" fontId="0" fillId="8" borderId="3" xfId="0" applyFill="1" applyBorder="1"/>
    <xf numFmtId="0" fontId="0" fillId="5" borderId="4" xfId="0" applyFill="1" applyBorder="1"/>
    <xf numFmtId="0" fontId="0" fillId="4" borderId="11" xfId="0" applyFill="1" applyBorder="1"/>
    <xf numFmtId="0" fontId="2" fillId="5" borderId="16" xfId="0" applyFont="1" applyFill="1" applyBorder="1" applyAlignment="1">
      <alignment wrapText="1"/>
    </xf>
    <xf numFmtId="0" fontId="0" fillId="4" borderId="5" xfId="0" applyFill="1" applyBorder="1"/>
    <xf numFmtId="0" fontId="0" fillId="4" borderId="16" xfId="0" applyFill="1" applyBorder="1"/>
    <xf numFmtId="0" fontId="2" fillId="4" borderId="26" xfId="0" applyFont="1" applyFill="1" applyBorder="1"/>
    <xf numFmtId="0" fontId="2" fillId="8" borderId="26" xfId="0" applyFont="1" applyFill="1" applyBorder="1"/>
    <xf numFmtId="0" fontId="2" fillId="0" borderId="3" xfId="0" applyFont="1" applyFill="1" applyBorder="1"/>
    <xf numFmtId="0" fontId="0" fillId="0" borderId="3" xfId="0" applyFill="1" applyBorder="1"/>
    <xf numFmtId="2" fontId="2" fillId="8" borderId="26" xfId="0" applyNumberFormat="1" applyFont="1" applyFill="1" applyBorder="1"/>
    <xf numFmtId="169" fontId="2" fillId="8" borderId="26" xfId="0" applyNumberFormat="1" applyFont="1" applyFill="1" applyBorder="1"/>
    <xf numFmtId="2" fontId="2" fillId="0" borderId="0" xfId="0" applyNumberFormat="1" applyFont="1" applyFill="1" applyBorder="1"/>
    <xf numFmtId="2" fontId="8" fillId="0" borderId="0" xfId="0" applyNumberFormat="1" applyFont="1" applyFill="1" applyBorder="1"/>
    <xf numFmtId="1" fontId="2" fillId="0" borderId="0" xfId="0" applyNumberFormat="1" applyFont="1" applyFill="1" applyBorder="1"/>
    <xf numFmtId="0" fontId="2" fillId="8" borderId="25" xfId="0" applyFont="1" applyFill="1" applyBorder="1"/>
    <xf numFmtId="169" fontId="2" fillId="0" borderId="0" xfId="0" applyNumberFormat="1" applyFont="1" applyFill="1" applyBorder="1"/>
    <xf numFmtId="2" fontId="10" fillId="0" borderId="0" xfId="0" applyNumberFormat="1" applyFont="1" applyFill="1" applyBorder="1"/>
    <xf numFmtId="0" fontId="0" fillId="4" borderId="27" xfId="0" applyFill="1" applyBorder="1"/>
    <xf numFmtId="0" fontId="0" fillId="8" borderId="28" xfId="0" applyFill="1" applyBorder="1"/>
    <xf numFmtId="0" fontId="9" fillId="0" borderId="1" xfId="0" applyFont="1" applyBorder="1" applyAlignment="1">
      <alignment wrapText="1"/>
    </xf>
    <xf numFmtId="0" fontId="0" fillId="4" borderId="4" xfId="0" applyFill="1" applyBorder="1"/>
    <xf numFmtId="2" fontId="0" fillId="4" borderId="16" xfId="0" applyNumberFormat="1" applyFill="1" applyBorder="1"/>
    <xf numFmtId="2" fontId="2" fillId="8" borderId="2" xfId="0" applyNumberFormat="1" applyFont="1" applyFill="1" applyBorder="1"/>
    <xf numFmtId="0" fontId="0" fillId="8" borderId="2" xfId="0" applyFill="1" applyBorder="1"/>
    <xf numFmtId="1" fontId="0" fillId="8" borderId="0" xfId="0" applyNumberFormat="1" applyFill="1"/>
    <xf numFmtId="169" fontId="0" fillId="8" borderId="0" xfId="0" applyNumberFormat="1" applyFill="1"/>
    <xf numFmtId="2" fontId="0" fillId="8" borderId="3" xfId="0" applyNumberFormat="1" applyFill="1" applyBorder="1"/>
    <xf numFmtId="0" fontId="2" fillId="0" borderId="1" xfId="0" applyFont="1" applyBorder="1"/>
    <xf numFmtId="0" fontId="0" fillId="0" borderId="0" xfId="0" applyAlignment="1"/>
    <xf numFmtId="0" fontId="0" fillId="8" borderId="0" xfId="0" applyFill="1" applyAlignment="1"/>
    <xf numFmtId="0" fontId="0" fillId="2" borderId="0" xfId="0" applyFill="1" applyBorder="1"/>
    <xf numFmtId="0" fontId="0" fillId="0" borderId="29" xfId="0" applyBorder="1" applyAlignment="1">
      <alignment wrapText="1"/>
    </xf>
    <xf numFmtId="0" fontId="0" fillId="6" borderId="0" xfId="0" applyNumberFormat="1" applyFill="1"/>
    <xf numFmtId="0" fontId="1" fillId="6" borderId="0" xfId="0" applyNumberFormat="1" applyFont="1" applyFill="1"/>
    <xf numFmtId="0" fontId="8" fillId="6" borderId="0" xfId="0" applyNumberFormat="1" applyFont="1" applyFill="1" applyAlignment="1">
      <alignment horizontal="right"/>
    </xf>
    <xf numFmtId="0" fontId="1" fillId="6" borderId="0" xfId="0" applyNumberFormat="1" applyFont="1" applyFill="1" applyBorder="1"/>
    <xf numFmtId="11" fontId="0" fillId="6" borderId="1" xfId="0" applyNumberFormat="1" applyFill="1" applyBorder="1"/>
    <xf numFmtId="0" fontId="0" fillId="6" borderId="1" xfId="0" applyNumberFormat="1" applyFill="1" applyBorder="1"/>
    <xf numFmtId="0" fontId="8" fillId="9" borderId="0" xfId="0" applyNumberFormat="1" applyFont="1" applyFill="1" applyAlignment="1">
      <alignment horizontal="right"/>
    </xf>
    <xf numFmtId="0" fontId="2" fillId="0" borderId="1" xfId="0" applyFont="1" applyBorder="1" applyAlignment="1">
      <alignment horizontal="left"/>
    </xf>
    <xf numFmtId="0" fontId="8" fillId="9" borderId="0" xfId="0" applyFont="1" applyFill="1" applyAlignment="1">
      <alignment horizontal="center"/>
    </xf>
    <xf numFmtId="0" fontId="8" fillId="9" borderId="0" xfId="0" applyNumberFormat="1" applyFont="1" applyFill="1" applyAlignment="1">
      <alignment horizontal="center"/>
    </xf>
    <xf numFmtId="168" fontId="0" fillId="0" borderId="0" xfId="0" applyNumberFormat="1"/>
    <xf numFmtId="0" fontId="0" fillId="6" borderId="15" xfId="0" applyFill="1" applyBorder="1"/>
    <xf numFmtId="168" fontId="0" fillId="5" borderId="3" xfId="0" applyNumberFormat="1" applyFill="1" applyBorder="1" applyAlignment="1">
      <alignment horizontal="right"/>
    </xf>
    <xf numFmtId="166" fontId="0" fillId="6" borderId="3" xfId="0" applyNumberFormat="1" applyFill="1" applyBorder="1"/>
    <xf numFmtId="166" fontId="0" fillId="6" borderId="30" xfId="0" applyNumberFormat="1" applyFill="1" applyBorder="1"/>
    <xf numFmtId="2" fontId="2" fillId="8" borderId="0" xfId="0" applyNumberFormat="1" applyFont="1" applyFill="1"/>
    <xf numFmtId="2" fontId="0" fillId="4" borderId="4" xfId="0" applyNumberFormat="1" applyFill="1" applyBorder="1"/>
    <xf numFmtId="2" fontId="2" fillId="8" borderId="4" xfId="0" applyNumberFormat="1" applyFont="1" applyFill="1" applyBorder="1"/>
    <xf numFmtId="2" fontId="13" fillId="4" borderId="3" xfId="0" applyNumberFormat="1" applyFont="1" applyFill="1" applyBorder="1"/>
    <xf numFmtId="0" fontId="13" fillId="0" borderId="0" xfId="0" applyFont="1"/>
    <xf numFmtId="0" fontId="6" fillId="4" borderId="0" xfId="0" applyFont="1" applyFill="1"/>
    <xf numFmtId="0" fontId="2" fillId="4" borderId="0" xfId="0" applyFont="1" applyFill="1"/>
    <xf numFmtId="0" fontId="0" fillId="4" borderId="15" xfId="0" applyFill="1" applyBorder="1" applyAlignment="1">
      <alignment wrapText="1"/>
    </xf>
    <xf numFmtId="0" fontId="0" fillId="0" borderId="16" xfId="0" applyFill="1" applyBorder="1"/>
    <xf numFmtId="0" fontId="0" fillId="0" borderId="0" xfId="0" applyFill="1" applyBorder="1" applyAlignment="1">
      <alignment horizontal="right"/>
    </xf>
    <xf numFmtId="0" fontId="0" fillId="7" borderId="0" xfId="0" applyFill="1" applyBorder="1"/>
    <xf numFmtId="10" fontId="0" fillId="7" borderId="0" xfId="0" applyNumberFormat="1" applyFill="1"/>
    <xf numFmtId="0" fontId="2" fillId="7" borderId="3" xfId="0" applyFont="1" applyFill="1" applyBorder="1"/>
    <xf numFmtId="0" fontId="0" fillId="7" borderId="3" xfId="0" applyFill="1" applyBorder="1"/>
    <xf numFmtId="2" fontId="9" fillId="4" borderId="5" xfId="0" applyNumberFormat="1" applyFont="1" applyFill="1" applyBorder="1"/>
    <xf numFmtId="0" fontId="13" fillId="8" borderId="0" xfId="0" applyFont="1" applyFill="1"/>
    <xf numFmtId="10" fontId="0" fillId="8" borderId="0" xfId="0" applyNumberFormat="1" applyFill="1"/>
    <xf numFmtId="2" fontId="0" fillId="0" borderId="15" xfId="0" applyNumberFormat="1" applyFill="1" applyBorder="1"/>
    <xf numFmtId="1" fontId="2" fillId="8" borderId="2" xfId="0" applyNumberFormat="1" applyFont="1" applyFill="1" applyBorder="1"/>
    <xf numFmtId="0" fontId="2" fillId="0" borderId="0" xfId="0" applyFont="1" applyAlignment="1"/>
    <xf numFmtId="0" fontId="9" fillId="3" borderId="0" xfId="0" applyFont="1" applyFill="1"/>
    <xf numFmtId="0" fontId="14" fillId="0" borderId="0" xfId="0" applyFont="1"/>
    <xf numFmtId="2" fontId="14" fillId="0" borderId="0" xfId="0" applyNumberFormat="1" applyFont="1"/>
    <xf numFmtId="2" fontId="15" fillId="0" borderId="0" xfId="0" applyNumberFormat="1" applyFont="1" applyAlignment="1"/>
    <xf numFmtId="2" fontId="0" fillId="0" borderId="0" xfId="0" applyNumberFormat="1" applyAlignment="1"/>
    <xf numFmtId="167" fontId="0" fillId="0" borderId="0" xfId="0" applyNumberFormat="1" applyAlignment="1">
      <alignment wrapText="1"/>
    </xf>
    <xf numFmtId="0" fontId="15" fillId="0" borderId="0" xfId="0" applyFont="1" applyAlignment="1">
      <alignment wrapText="1"/>
    </xf>
    <xf numFmtId="2" fontId="2" fillId="0" borderId="0" xfId="0" applyNumberFormat="1" applyFont="1" applyAlignment="1"/>
    <xf numFmtId="2" fontId="2" fillId="0" borderId="2" xfId="0" applyNumberFormat="1" applyFont="1" applyFill="1" applyBorder="1"/>
    <xf numFmtId="1" fontId="2" fillId="0" borderId="2" xfId="0" applyNumberFormat="1" applyFont="1" applyFill="1" applyBorder="1"/>
    <xf numFmtId="169" fontId="2" fillId="0" borderId="2" xfId="0" applyNumberFormat="1" applyFont="1" applyFill="1" applyBorder="1"/>
    <xf numFmtId="0" fontId="14" fillId="0" borderId="0" xfId="0" applyFont="1" applyAlignment="1">
      <alignment wrapText="1"/>
    </xf>
    <xf numFmtId="0" fontId="14" fillId="0" borderId="1" xfId="0" applyFont="1" applyBorder="1"/>
    <xf numFmtId="0" fontId="15" fillId="0" borderId="1" xfId="0" applyFont="1" applyBorder="1"/>
    <xf numFmtId="2" fontId="0" fillId="0" borderId="1" xfId="0" applyNumberFormat="1" applyBorder="1" applyAlignment="1">
      <alignment wrapText="1"/>
    </xf>
    <xf numFmtId="172" fontId="0" fillId="0" borderId="0" xfId="0" applyNumberFormat="1" applyAlignment="1"/>
    <xf numFmtId="2" fontId="0" fillId="5" borderId="3" xfId="0" applyNumberFormat="1" applyFill="1" applyBorder="1"/>
    <xf numFmtId="0" fontId="2" fillId="0" borderId="0" xfId="0" applyFont="1" applyFill="1" applyBorder="1" applyAlignment="1"/>
    <xf numFmtId="169" fontId="12" fillId="0" borderId="0" xfId="0" applyNumberFormat="1" applyFont="1" applyFill="1" applyBorder="1" applyAlignment="1">
      <alignment wrapText="1"/>
    </xf>
    <xf numFmtId="0" fontId="12" fillId="0" borderId="0" xfId="0" applyFont="1" applyFill="1" applyBorder="1" applyAlignment="1">
      <alignment wrapText="1"/>
    </xf>
    <xf numFmtId="2" fontId="12" fillId="0" borderId="0" xfId="0" applyNumberFormat="1" applyFont="1" applyFill="1" applyBorder="1" applyAlignment="1">
      <alignment wrapText="1"/>
    </xf>
    <xf numFmtId="2" fontId="0" fillId="0" borderId="0" xfId="0" applyNumberFormat="1" applyFill="1" applyBorder="1" applyAlignment="1">
      <alignment wrapText="1"/>
    </xf>
    <xf numFmtId="2" fontId="10" fillId="0" borderId="0" xfId="0" applyNumberFormat="1" applyFont="1" applyFill="1" applyBorder="1" applyAlignment="1">
      <alignment wrapText="1"/>
    </xf>
    <xf numFmtId="2" fontId="2" fillId="0" borderId="0" xfId="0" applyNumberFormat="1" applyFont="1" applyFill="1" applyBorder="1" applyAlignment="1"/>
    <xf numFmtId="169" fontId="2" fillId="0" borderId="0" xfId="0" applyNumberFormat="1" applyFont="1" applyFill="1" applyBorder="1" applyAlignment="1"/>
    <xf numFmtId="0" fontId="0" fillId="0" borderId="0" xfId="0" applyFill="1" applyBorder="1" applyAlignment="1"/>
    <xf numFmtId="2" fontId="2" fillId="4" borderId="26" xfId="0" applyNumberFormat="1" applyFont="1" applyFill="1" applyBorder="1"/>
    <xf numFmtId="2" fontId="2" fillId="8" borderId="31" xfId="0" applyNumberFormat="1" applyFont="1" applyFill="1" applyBorder="1"/>
    <xf numFmtId="2" fontId="14" fillId="4" borderId="3" xfId="0" applyNumberFormat="1" applyFont="1" applyFill="1" applyBorder="1"/>
    <xf numFmtId="0" fontId="9" fillId="4" borderId="3" xfId="0" applyFont="1" applyFill="1" applyBorder="1" applyAlignment="1">
      <alignment wrapText="1"/>
    </xf>
    <xf numFmtId="0" fontId="0" fillId="0" borderId="32" xfId="0" applyBorder="1" applyAlignment="1">
      <alignment wrapText="1"/>
    </xf>
    <xf numFmtId="0" fontId="15" fillId="4" borderId="3" xfId="0" applyFont="1" applyFill="1" applyBorder="1" applyAlignment="1">
      <alignment wrapText="1"/>
    </xf>
    <xf numFmtId="2" fontId="0" fillId="8" borderId="31" xfId="0" applyNumberFormat="1" applyFill="1" applyBorder="1"/>
    <xf numFmtId="2" fontId="0" fillId="8" borderId="2" xfId="0" applyNumberFormat="1" applyFill="1" applyBorder="1"/>
    <xf numFmtId="0" fontId="14" fillId="8" borderId="27" xfId="0" applyFont="1" applyFill="1" applyBorder="1"/>
    <xf numFmtId="2" fontId="14" fillId="8" borderId="2" xfId="0" applyNumberFormat="1" applyFont="1" applyFill="1" applyBorder="1"/>
    <xf numFmtId="169" fontId="2" fillId="8" borderId="25" xfId="0" applyNumberFormat="1" applyFont="1" applyFill="1" applyBorder="1"/>
    <xf numFmtId="0" fontId="0" fillId="0" borderId="33" xfId="0" applyFill="1" applyBorder="1"/>
    <xf numFmtId="168" fontId="0" fillId="8" borderId="2" xfId="0" applyNumberFormat="1" applyFill="1" applyBorder="1"/>
    <xf numFmtId="0" fontId="0" fillId="8" borderId="34" xfId="0" applyFill="1" applyBorder="1"/>
    <xf numFmtId="0" fontId="15" fillId="0" borderId="0" xfId="0" applyFont="1" applyFill="1" applyBorder="1" applyAlignment="1">
      <alignment wrapText="1"/>
    </xf>
    <xf numFmtId="0" fontId="2" fillId="8" borderId="2" xfId="0" applyFont="1" applyFill="1" applyBorder="1"/>
    <xf numFmtId="0" fontId="9" fillId="0" borderId="0" xfId="0" applyFont="1" applyFill="1"/>
    <xf numFmtId="0" fontId="14" fillId="8" borderId="2" xfId="0" applyFont="1" applyFill="1" applyBorder="1"/>
    <xf numFmtId="0" fontId="15" fillId="4" borderId="0" xfId="0" applyFont="1" applyFill="1" applyAlignment="1">
      <alignment wrapText="1"/>
    </xf>
    <xf numFmtId="2" fontId="15" fillId="4" borderId="0" xfId="0" applyNumberFormat="1" applyFont="1" applyFill="1" applyAlignment="1"/>
    <xf numFmtId="2" fontId="2" fillId="4" borderId="2" xfId="0" applyNumberFormat="1" applyFont="1" applyFill="1" applyBorder="1"/>
    <xf numFmtId="2" fontId="14" fillId="0" borderId="0" xfId="0" applyNumberFormat="1" applyFont="1" applyFill="1" applyBorder="1"/>
    <xf numFmtId="165" fontId="0" fillId="6" borderId="3" xfId="0" applyNumberFormat="1" applyFill="1" applyBorder="1"/>
    <xf numFmtId="0" fontId="0" fillId="0" borderId="17" xfId="0" applyFill="1" applyBorder="1"/>
    <xf numFmtId="167" fontId="0" fillId="0" borderId="3" xfId="0" applyNumberFormat="1" applyFill="1" applyBorder="1"/>
    <xf numFmtId="167" fontId="0" fillId="0" borderId="16" xfId="0" applyNumberFormat="1" applyFill="1" applyBorder="1"/>
    <xf numFmtId="2" fontId="0" fillId="7" borderId="3" xfId="0" applyNumberFormat="1" applyFill="1" applyBorder="1"/>
    <xf numFmtId="3" fontId="0" fillId="7" borderId="0" xfId="0" applyNumberFormat="1" applyFill="1"/>
    <xf numFmtId="2" fontId="8" fillId="9" borderId="0" xfId="0" applyNumberFormat="1" applyFont="1" applyFill="1"/>
    <xf numFmtId="2" fontId="0" fillId="6" borderId="0" xfId="0" applyNumberFormat="1" applyFill="1"/>
    <xf numFmtId="2" fontId="1" fillId="6" borderId="0" xfId="0" applyNumberFormat="1" applyFont="1" applyFill="1" applyAlignment="1">
      <alignment horizontal="right"/>
    </xf>
    <xf numFmtId="2" fontId="8" fillId="6" borderId="0" xfId="0" applyNumberFormat="1" applyFont="1" applyFill="1"/>
    <xf numFmtId="2" fontId="1" fillId="6" borderId="0" xfId="0" applyNumberFormat="1" applyFont="1" applyFill="1" applyBorder="1" applyAlignment="1">
      <alignment horizontal="right"/>
    </xf>
    <xf numFmtId="170" fontId="0" fillId="6" borderId="3" xfId="0" applyNumberFormat="1" applyFill="1" applyBorder="1"/>
    <xf numFmtId="168" fontId="0" fillId="5" borderId="35" xfId="0" applyNumberFormat="1" applyFill="1" applyBorder="1"/>
    <xf numFmtId="167" fontId="0" fillId="0" borderId="0" xfId="0" applyNumberFormat="1" applyFill="1" applyBorder="1"/>
    <xf numFmtId="0" fontId="9" fillId="0" borderId="0" xfId="0" applyFont="1" applyFill="1" applyBorder="1" applyAlignment="1">
      <alignment wrapText="1"/>
    </xf>
    <xf numFmtId="0" fontId="9" fillId="0" borderId="0" xfId="7"/>
    <xf numFmtId="0" fontId="56" fillId="0" borderId="36" xfId="7" applyFont="1" applyBorder="1" applyAlignment="1">
      <alignment horizontal="center" wrapText="1"/>
    </xf>
    <xf numFmtId="0" fontId="9" fillId="0" borderId="37" xfId="7" applyBorder="1"/>
    <xf numFmtId="0" fontId="53" fillId="0" borderId="0" xfId="5" applyFont="1" applyFill="1"/>
    <xf numFmtId="0" fontId="57" fillId="12" borderId="38" xfId="6" applyFont="1" applyBorder="1"/>
    <xf numFmtId="174" fontId="57" fillId="12" borderId="39" xfId="3" applyNumberFormat="1" applyFont="1" applyFill="1" applyBorder="1"/>
    <xf numFmtId="0" fontId="24" fillId="0" borderId="37" xfId="0" applyFont="1" applyBorder="1" applyAlignment="1">
      <alignment horizontal="center" wrapText="1"/>
    </xf>
    <xf numFmtId="0" fontId="9" fillId="0" borderId="0" xfId="0" applyFont="1"/>
    <xf numFmtId="0" fontId="9" fillId="0" borderId="0" xfId="0" applyFont="1" applyAlignment="1">
      <alignment vertical="top" wrapText="1"/>
    </xf>
    <xf numFmtId="0" fontId="9" fillId="0" borderId="0" xfId="0" applyFont="1" applyFill="1" applyBorder="1"/>
    <xf numFmtId="0" fontId="9" fillId="0" borderId="1" xfId="0" applyFont="1" applyBorder="1"/>
    <xf numFmtId="0" fontId="9" fillId="0" borderId="0" xfId="0" applyFont="1" applyBorder="1" applyAlignment="1">
      <alignment horizontal="center"/>
    </xf>
    <xf numFmtId="0" fontId="9" fillId="0" borderId="0" xfId="0" applyFont="1" applyAlignment="1">
      <alignment horizontal="center"/>
    </xf>
    <xf numFmtId="0" fontId="9" fillId="8" borderId="0" xfId="0" applyFont="1" applyFill="1" applyAlignment="1">
      <alignment horizontal="left"/>
    </xf>
    <xf numFmtId="0" fontId="9" fillId="8" borderId="0" xfId="0" applyFont="1" applyFill="1"/>
    <xf numFmtId="0" fontId="9" fillId="8" borderId="0" xfId="0" applyNumberFormat="1" applyFont="1" applyFill="1"/>
    <xf numFmtId="0" fontId="9" fillId="8" borderId="0" xfId="0" applyNumberFormat="1" applyFont="1" applyFill="1" applyAlignment="1">
      <alignment horizontal="center"/>
    </xf>
    <xf numFmtId="0" fontId="9" fillId="8" borderId="0" xfId="0" applyFont="1" applyFill="1" applyAlignment="1">
      <alignment horizontal="center"/>
    </xf>
    <xf numFmtId="0" fontId="9" fillId="0" borderId="0" xfId="0" applyNumberFormat="1" applyFont="1"/>
    <xf numFmtId="0" fontId="9" fillId="0" borderId="0" xfId="0" applyNumberFormat="1" applyFont="1" applyAlignment="1">
      <alignment horizontal="center"/>
    </xf>
    <xf numFmtId="0" fontId="9" fillId="0" borderId="1" xfId="0" applyFont="1" applyBorder="1" applyAlignment="1">
      <alignment horizontal="center" wrapText="1"/>
    </xf>
    <xf numFmtId="0" fontId="9" fillId="0" borderId="1" xfId="0" applyFont="1" applyFill="1" applyBorder="1" applyAlignment="1">
      <alignment wrapText="1"/>
    </xf>
    <xf numFmtId="0" fontId="9" fillId="0" borderId="1" xfId="0" applyFont="1" applyFill="1" applyBorder="1" applyAlignment="1">
      <alignment horizontal="center" wrapText="1"/>
    </xf>
    <xf numFmtId="0" fontId="9" fillId="0" borderId="0" xfId="0" applyFont="1" applyFill="1" applyAlignment="1">
      <alignment wrapText="1"/>
    </xf>
    <xf numFmtId="11" fontId="27" fillId="0" borderId="0" xfId="0" applyNumberFormat="1" applyFont="1"/>
    <xf numFmtId="2" fontId="9" fillId="0" borderId="0" xfId="0" applyNumberFormat="1" applyFont="1" applyFill="1"/>
    <xf numFmtId="0" fontId="9" fillId="0" borderId="0" xfId="0" applyFont="1" applyFill="1" applyAlignment="1">
      <alignment horizontal="center"/>
    </xf>
    <xf numFmtId="2" fontId="9" fillId="0" borderId="0" xfId="0" applyNumberFormat="1" applyFont="1"/>
    <xf numFmtId="166" fontId="9" fillId="0" borderId="0" xfId="0" applyNumberFormat="1" applyFont="1"/>
    <xf numFmtId="11" fontId="9" fillId="0" borderId="0" xfId="0" applyNumberFormat="1" applyFont="1"/>
    <xf numFmtId="168" fontId="9" fillId="8" borderId="4" xfId="0" applyNumberFormat="1" applyFont="1" applyFill="1" applyBorder="1"/>
    <xf numFmtId="2" fontId="9" fillId="8" borderId="3" xfId="0" applyNumberFormat="1" applyFont="1" applyFill="1" applyBorder="1" applyAlignment="1">
      <alignment wrapText="1"/>
    </xf>
    <xf numFmtId="175" fontId="27" fillId="0" borderId="0" xfId="2" applyNumberFormat="1" applyFont="1"/>
    <xf numFmtId="174" fontId="28" fillId="0" borderId="0" xfId="2" applyNumberFormat="1" applyFont="1"/>
    <xf numFmtId="1" fontId="28" fillId="0" borderId="0" xfId="0" applyNumberFormat="1" applyFont="1"/>
    <xf numFmtId="173" fontId="28" fillId="0" borderId="0" xfId="8" applyNumberFormat="1" applyFont="1"/>
    <xf numFmtId="175" fontId="28" fillId="0" borderId="0" xfId="2" applyNumberFormat="1" applyFont="1"/>
    <xf numFmtId="0" fontId="9" fillId="0" borderId="0" xfId="0" applyNumberFormat="1" applyFont="1" applyFill="1"/>
    <xf numFmtId="0" fontId="9" fillId="0" borderId="0" xfId="0" applyNumberFormat="1" applyFont="1" applyFill="1" applyAlignment="1">
      <alignment horizontal="center"/>
    </xf>
    <xf numFmtId="2" fontId="9" fillId="9" borderId="0" xfId="0" applyNumberFormat="1" applyFont="1" applyFill="1"/>
    <xf numFmtId="0" fontId="9" fillId="9" borderId="0" xfId="0" applyFont="1" applyFill="1" applyAlignment="1">
      <alignment horizontal="center"/>
    </xf>
    <xf numFmtId="0" fontId="9" fillId="9" borderId="0" xfId="0" applyNumberFormat="1" applyFont="1" applyFill="1"/>
    <xf numFmtId="0" fontId="9" fillId="9" borderId="0" xfId="0" applyNumberFormat="1" applyFont="1" applyFill="1" applyAlignment="1">
      <alignment horizontal="center"/>
    </xf>
    <xf numFmtId="2" fontId="9" fillId="9" borderId="0" xfId="0" applyNumberFormat="1" applyFont="1" applyFill="1" applyAlignment="1">
      <alignment horizontal="right"/>
    </xf>
    <xf numFmtId="168" fontId="9" fillId="8" borderId="40" xfId="0" applyNumberFormat="1" applyFont="1" applyFill="1" applyBorder="1"/>
    <xf numFmtId="174" fontId="2" fillId="0" borderId="0" xfId="2" applyNumberFormat="1" applyFont="1"/>
    <xf numFmtId="2" fontId="9" fillId="9" borderId="0" xfId="0" applyNumberFormat="1" applyFont="1" applyFill="1" applyBorder="1" applyAlignment="1">
      <alignment horizontal="right"/>
    </xf>
    <xf numFmtId="0" fontId="9" fillId="9" borderId="0" xfId="0" applyFont="1" applyFill="1" applyBorder="1" applyAlignment="1">
      <alignment horizontal="center"/>
    </xf>
    <xf numFmtId="0" fontId="9" fillId="9" borderId="0" xfId="0" applyNumberFormat="1" applyFont="1" applyFill="1" applyBorder="1"/>
    <xf numFmtId="0" fontId="9" fillId="9" borderId="0" xfId="0" applyNumberFormat="1" applyFont="1" applyFill="1" applyBorder="1" applyAlignment="1">
      <alignment horizontal="center"/>
    </xf>
    <xf numFmtId="168" fontId="9" fillId="8" borderId="0" xfId="0" applyNumberFormat="1" applyFont="1" applyFill="1" applyBorder="1"/>
    <xf numFmtId="168" fontId="9" fillId="8" borderId="8" xfId="0" applyNumberFormat="1" applyFont="1" applyFill="1" applyBorder="1"/>
    <xf numFmtId="11" fontId="9" fillId="0" borderId="0" xfId="0" applyNumberFormat="1" applyFont="1" applyAlignment="1">
      <alignment horizontal="center"/>
    </xf>
    <xf numFmtId="168" fontId="9" fillId="0" borderId="0" xfId="0" applyNumberFormat="1" applyFont="1" applyFill="1"/>
    <xf numFmtId="0" fontId="9" fillId="0" borderId="3" xfId="0" applyFont="1" applyFill="1" applyBorder="1"/>
    <xf numFmtId="175" fontId="9" fillId="0" borderId="0" xfId="2" applyNumberFormat="1" applyFont="1"/>
    <xf numFmtId="1" fontId="9" fillId="0" borderId="0" xfId="0" applyNumberFormat="1" applyFont="1"/>
    <xf numFmtId="1" fontId="9" fillId="0" borderId="0" xfId="0" applyNumberFormat="1" applyFont="1" applyFill="1"/>
    <xf numFmtId="2" fontId="9" fillId="8" borderId="0" xfId="0" applyNumberFormat="1" applyFont="1" applyFill="1"/>
    <xf numFmtId="169" fontId="9" fillId="8" borderId="0" xfId="0" applyNumberFormat="1" applyFont="1" applyFill="1"/>
    <xf numFmtId="0" fontId="58" fillId="0" borderId="0" xfId="0" applyFont="1" applyBorder="1"/>
    <xf numFmtId="0" fontId="59" fillId="0" borderId="0" xfId="4" applyFont="1" applyFill="1" applyBorder="1" applyAlignment="1">
      <alignment horizontal="right"/>
    </xf>
    <xf numFmtId="164" fontId="59" fillId="0" borderId="0" xfId="2" applyFont="1" applyFill="1" applyBorder="1"/>
    <xf numFmtId="2" fontId="9" fillId="8" borderId="11" xfId="8" applyNumberFormat="1" applyFont="1" applyFill="1" applyBorder="1"/>
    <xf numFmtId="11" fontId="60" fillId="0" borderId="0" xfId="0" applyNumberFormat="1" applyFont="1"/>
    <xf numFmtId="0" fontId="9" fillId="0" borderId="36" xfId="0" applyFont="1" applyBorder="1"/>
    <xf numFmtId="11" fontId="0" fillId="0" borderId="0" xfId="0" applyNumberFormat="1"/>
    <xf numFmtId="0" fontId="31" fillId="0" borderId="0" xfId="0" applyFont="1"/>
    <xf numFmtId="164" fontId="0" fillId="0" borderId="0" xfId="2" applyFont="1"/>
    <xf numFmtId="0" fontId="9" fillId="0" borderId="0" xfId="0" applyFont="1" applyBorder="1"/>
    <xf numFmtId="0" fontId="16" fillId="0" borderId="37" xfId="0" applyFont="1" applyBorder="1"/>
    <xf numFmtId="0" fontId="9" fillId="0" borderId="37" xfId="0" applyFont="1" applyBorder="1"/>
    <xf numFmtId="0" fontId="0" fillId="0" borderId="37" xfId="0" applyBorder="1"/>
    <xf numFmtId="175" fontId="2" fillId="0" borderId="0" xfId="2" applyNumberFormat="1" applyFont="1" applyBorder="1"/>
    <xf numFmtId="11" fontId="0" fillId="0" borderId="0" xfId="0" applyNumberFormat="1" applyBorder="1"/>
    <xf numFmtId="164" fontId="60" fillId="0" borderId="0" xfId="2" applyNumberFormat="1" applyFont="1"/>
    <xf numFmtId="0" fontId="9" fillId="13" borderId="0" xfId="0" applyFont="1" applyFill="1"/>
    <xf numFmtId="11" fontId="0" fillId="13" borderId="0" xfId="0" applyNumberFormat="1" applyFill="1"/>
    <xf numFmtId="0" fontId="0" fillId="13" borderId="0" xfId="0" applyFill="1"/>
    <xf numFmtId="0" fontId="31" fillId="13" borderId="0" xfId="0" applyFont="1" applyFill="1" applyBorder="1"/>
    <xf numFmtId="11" fontId="0" fillId="13" borderId="0" xfId="0" applyNumberFormat="1" applyFill="1" applyBorder="1"/>
    <xf numFmtId="0" fontId="9" fillId="13" borderId="0" xfId="0" applyFont="1" applyFill="1" applyBorder="1"/>
    <xf numFmtId="0" fontId="0" fillId="13" borderId="0" xfId="0" applyFill="1" applyBorder="1"/>
    <xf numFmtId="11" fontId="61" fillId="13" borderId="0" xfId="0" applyNumberFormat="1" applyFont="1" applyFill="1"/>
    <xf numFmtId="9" fontId="61" fillId="0" borderId="0" xfId="8" applyFont="1"/>
    <xf numFmtId="0" fontId="61" fillId="13" borderId="0" xfId="0" applyFont="1" applyFill="1"/>
    <xf numFmtId="175" fontId="2" fillId="0" borderId="0" xfId="0" applyNumberFormat="1" applyFont="1" applyBorder="1"/>
    <xf numFmtId="175" fontId="27" fillId="0" borderId="37" xfId="2" applyNumberFormat="1" applyFont="1" applyBorder="1"/>
    <xf numFmtId="175" fontId="9" fillId="0" borderId="37" xfId="0" applyNumberFormat="1" applyFont="1" applyBorder="1"/>
    <xf numFmtId="0" fontId="9" fillId="0" borderId="0" xfId="0" applyFont="1" applyAlignment="1">
      <alignment horizontal="left"/>
    </xf>
    <xf numFmtId="0" fontId="9" fillId="0" borderId="0" xfId="7" applyBorder="1"/>
    <xf numFmtId="167" fontId="9" fillId="0" borderId="0" xfId="7" applyNumberFormat="1"/>
    <xf numFmtId="2" fontId="9" fillId="0" borderId="0" xfId="7" applyNumberFormat="1"/>
    <xf numFmtId="0" fontId="2" fillId="7" borderId="0" xfId="0" applyFont="1" applyFill="1" applyBorder="1"/>
    <xf numFmtId="0" fontId="2" fillId="0" borderId="0" xfId="0" applyFont="1" applyFill="1"/>
    <xf numFmtId="0" fontId="2" fillId="0" borderId="0" xfId="0" applyFont="1" applyBorder="1" applyAlignment="1">
      <alignment wrapText="1"/>
    </xf>
    <xf numFmtId="2" fontId="0" fillId="0" borderId="0" xfId="0" applyNumberFormat="1" applyFill="1" applyAlignment="1">
      <alignment wrapText="1"/>
    </xf>
    <xf numFmtId="1" fontId="0" fillId="0" borderId="0" xfId="0" applyNumberFormat="1" applyFill="1"/>
    <xf numFmtId="1" fontId="0" fillId="0" borderId="0" xfId="0" applyNumberFormat="1" applyFill="1" applyAlignment="1">
      <alignment wrapText="1"/>
    </xf>
    <xf numFmtId="0" fontId="2" fillId="0" borderId="2" xfId="0" applyFont="1" applyFill="1" applyBorder="1"/>
    <xf numFmtId="0" fontId="0" fillId="0" borderId="2" xfId="0" applyFill="1" applyBorder="1"/>
    <xf numFmtId="2" fontId="0" fillId="0" borderId="2" xfId="0" applyNumberFormat="1" applyFill="1" applyBorder="1"/>
    <xf numFmtId="169" fontId="2" fillId="0" borderId="2" xfId="0" applyNumberFormat="1" applyFont="1" applyBorder="1"/>
    <xf numFmtId="2" fontId="0" fillId="0" borderId="2" xfId="0" applyNumberFormat="1" applyBorder="1"/>
    <xf numFmtId="0" fontId="0" fillId="0" borderId="2" xfId="0" applyBorder="1" applyAlignment="1">
      <alignment wrapText="1"/>
    </xf>
    <xf numFmtId="0" fontId="0" fillId="0" borderId="1" xfId="0" applyFill="1" applyBorder="1" applyAlignment="1">
      <alignment wrapText="1"/>
    </xf>
    <xf numFmtId="0" fontId="9" fillId="0" borderId="2" xfId="0" applyFont="1" applyFill="1" applyBorder="1"/>
    <xf numFmtId="0" fontId="62" fillId="0" borderId="0" xfId="0" applyFont="1" applyBorder="1"/>
    <xf numFmtId="0" fontId="58" fillId="0" borderId="36" xfId="0" applyFont="1" applyBorder="1" applyAlignment="1">
      <alignment vertical="center" wrapText="1"/>
    </xf>
    <xf numFmtId="0" fontId="63" fillId="0" borderId="36" xfId="0" applyFont="1" applyBorder="1" applyAlignment="1">
      <alignment vertical="center" wrapText="1"/>
    </xf>
    <xf numFmtId="0" fontId="64" fillId="0" borderId="36" xfId="0" applyFont="1" applyBorder="1" applyAlignment="1">
      <alignment vertical="center" wrapText="1"/>
    </xf>
    <xf numFmtId="0" fontId="30" fillId="0" borderId="36" xfId="0" applyFont="1" applyBorder="1" applyAlignment="1">
      <alignment vertical="center" wrapText="1"/>
    </xf>
    <xf numFmtId="0" fontId="65" fillId="0" borderId="0" xfId="0" applyFont="1" applyBorder="1" applyAlignment="1">
      <alignment vertical="center" wrapText="1"/>
    </xf>
    <xf numFmtId="164" fontId="58" fillId="0" borderId="0" xfId="2" applyFont="1" applyBorder="1" applyAlignment="1">
      <alignment vertical="center" wrapText="1"/>
    </xf>
    <xf numFmtId="0" fontId="58" fillId="0" borderId="0" xfId="0" applyFont="1" applyBorder="1" applyAlignment="1">
      <alignment vertical="center" wrapText="1"/>
    </xf>
    <xf numFmtId="169" fontId="17" fillId="0" borderId="0" xfId="0" applyNumberFormat="1" applyFont="1" applyAlignment="1">
      <alignment vertical="center" wrapText="1"/>
    </xf>
    <xf numFmtId="169" fontId="58" fillId="0" borderId="0" xfId="0" applyNumberFormat="1" applyFont="1" applyBorder="1" applyAlignment="1">
      <alignment vertical="center" wrapText="1"/>
    </xf>
    <xf numFmtId="1" fontId="58" fillId="0" borderId="0" xfId="0" applyNumberFormat="1" applyFont="1" applyBorder="1" applyAlignment="1">
      <alignment vertical="center" wrapText="1"/>
    </xf>
    <xf numFmtId="0" fontId="62" fillId="0" borderId="0" xfId="0" applyFont="1" applyBorder="1" applyAlignment="1">
      <alignment vertical="center" wrapText="1"/>
    </xf>
    <xf numFmtId="175" fontId="58" fillId="0" borderId="0" xfId="2" applyNumberFormat="1" applyFont="1" applyBorder="1" applyAlignment="1">
      <alignment vertical="center" wrapText="1"/>
    </xf>
    <xf numFmtId="3" fontId="62" fillId="0" borderId="0" xfId="0" applyNumberFormat="1" applyFont="1" applyBorder="1" applyAlignment="1">
      <alignment vertical="center" wrapText="1"/>
    </xf>
    <xf numFmtId="3" fontId="58" fillId="0" borderId="0" xfId="0" applyNumberFormat="1" applyFont="1" applyBorder="1" applyAlignment="1">
      <alignment vertical="center" wrapText="1"/>
    </xf>
    <xf numFmtId="0" fontId="65" fillId="0" borderId="37" xfId="0" applyFont="1" applyBorder="1" applyAlignment="1">
      <alignment vertical="center" wrapText="1"/>
    </xf>
    <xf numFmtId="175" fontId="58" fillId="0" borderId="37" xfId="2" applyNumberFormat="1" applyFont="1" applyBorder="1" applyAlignment="1">
      <alignment vertical="center" wrapText="1"/>
    </xf>
    <xf numFmtId="0" fontId="58" fillId="0" borderId="37" xfId="0" applyFont="1" applyBorder="1" applyAlignment="1">
      <alignment vertical="center" wrapText="1"/>
    </xf>
    <xf numFmtId="169" fontId="17" fillId="0" borderId="37" xfId="0" applyNumberFormat="1" applyFont="1" applyBorder="1" applyAlignment="1">
      <alignment vertical="center" wrapText="1"/>
    </xf>
    <xf numFmtId="169" fontId="58" fillId="0" borderId="37" xfId="0" applyNumberFormat="1" applyFont="1" applyBorder="1" applyAlignment="1">
      <alignment vertical="center" wrapText="1"/>
    </xf>
    <xf numFmtId="1" fontId="58" fillId="0" borderId="37" xfId="0" applyNumberFormat="1" applyFont="1" applyBorder="1" applyAlignment="1">
      <alignment vertical="center" wrapText="1"/>
    </xf>
    <xf numFmtId="0" fontId="62" fillId="0" borderId="37" xfId="0" applyFont="1" applyBorder="1" applyAlignment="1">
      <alignment vertical="center" wrapText="1"/>
    </xf>
    <xf numFmtId="0" fontId="17" fillId="0" borderId="0" xfId="0" applyFont="1" applyAlignment="1">
      <alignment horizontal="right" vertical="center"/>
    </xf>
    <xf numFmtId="3" fontId="17" fillId="0" borderId="0" xfId="0" applyNumberFormat="1" applyFont="1" applyAlignment="1">
      <alignment horizontal="right" vertical="center"/>
    </xf>
    <xf numFmtId="0" fontId="17" fillId="0" borderId="1" xfId="0" applyFont="1" applyBorder="1" applyAlignment="1">
      <alignment horizontal="right" vertical="center"/>
    </xf>
    <xf numFmtId="0" fontId="17" fillId="0" borderId="0" xfId="0" applyFont="1" applyAlignment="1">
      <alignment vertical="center"/>
    </xf>
    <xf numFmtId="0" fontId="9" fillId="0" borderId="0" xfId="0" applyFont="1" applyAlignment="1">
      <alignment vertical="center"/>
    </xf>
    <xf numFmtId="0" fontId="9" fillId="0" borderId="0" xfId="0" applyFont="1" applyFill="1" applyAlignment="1">
      <alignment horizontal="left"/>
    </xf>
    <xf numFmtId="0" fontId="19" fillId="0" borderId="0" xfId="0" applyFont="1"/>
    <xf numFmtId="0" fontId="19" fillId="0" borderId="0" xfId="0" applyFont="1" applyAlignment="1">
      <alignment horizontal="center"/>
    </xf>
    <xf numFmtId="0" fontId="19" fillId="0" borderId="0" xfId="0" applyFont="1" applyAlignment="1">
      <alignment horizontal="right"/>
    </xf>
    <xf numFmtId="11" fontId="19" fillId="0" borderId="0" xfId="0" applyNumberFormat="1" applyFont="1" applyAlignment="1">
      <alignment horizontal="right"/>
    </xf>
    <xf numFmtId="0" fontId="37" fillId="0" borderId="0" xfId="0" applyFont="1"/>
    <xf numFmtId="9" fontId="19" fillId="0" borderId="0" xfId="0" applyNumberFormat="1" applyFont="1" applyAlignment="1">
      <alignment horizontal="right"/>
    </xf>
    <xf numFmtId="0" fontId="19" fillId="0" borderId="36" xfId="0" applyFont="1" applyBorder="1" applyAlignment="1">
      <alignment wrapText="1"/>
    </xf>
    <xf numFmtId="0" fontId="19" fillId="0" borderId="36" xfId="0" applyFont="1" applyBorder="1" applyAlignment="1">
      <alignment horizontal="center" wrapText="1"/>
    </xf>
    <xf numFmtId="169" fontId="19" fillId="0" borderId="0" xfId="0" applyNumberFormat="1" applyFont="1" applyAlignment="1">
      <alignment horizontal="right"/>
    </xf>
    <xf numFmtId="0" fontId="37" fillId="0" borderId="0" xfId="0" applyFont="1" applyBorder="1"/>
    <xf numFmtId="169" fontId="19" fillId="0" borderId="0" xfId="0" applyNumberFormat="1" applyFont="1" applyBorder="1" applyAlignment="1">
      <alignment horizontal="right"/>
    </xf>
    <xf numFmtId="11" fontId="19" fillId="0" borderId="0" xfId="0" applyNumberFormat="1" applyFont="1" applyBorder="1" applyAlignment="1">
      <alignment horizontal="right"/>
    </xf>
    <xf numFmtId="0" fontId="19" fillId="0" borderId="1" xfId="0" applyFont="1" applyBorder="1" applyAlignment="1">
      <alignment horizontal="center"/>
    </xf>
    <xf numFmtId="0" fontId="19" fillId="0" borderId="1" xfId="0" applyFont="1" applyBorder="1" applyAlignment="1">
      <alignment horizontal="right"/>
    </xf>
    <xf numFmtId="0" fontId="19" fillId="0" borderId="1" xfId="0" applyFont="1" applyBorder="1"/>
    <xf numFmtId="0" fontId="37" fillId="0" borderId="37" xfId="0" applyFont="1" applyBorder="1"/>
    <xf numFmtId="169" fontId="19" fillId="0" borderId="37" xfId="0" applyNumberFormat="1" applyFont="1" applyBorder="1" applyAlignment="1">
      <alignment horizontal="right"/>
    </xf>
    <xf numFmtId="11" fontId="19" fillId="0" borderId="37" xfId="0" applyNumberFormat="1" applyFont="1" applyBorder="1" applyAlignment="1">
      <alignment horizontal="right"/>
    </xf>
    <xf numFmtId="169" fontId="19" fillId="0" borderId="1" xfId="0" applyNumberFormat="1" applyFont="1" applyBorder="1" applyAlignment="1">
      <alignment horizontal="right"/>
    </xf>
    <xf numFmtId="3" fontId="9" fillId="0" borderId="0" xfId="0" applyNumberFormat="1" applyFont="1" applyBorder="1"/>
    <xf numFmtId="164" fontId="9" fillId="0" borderId="0" xfId="2" applyFont="1" applyBorder="1"/>
    <xf numFmtId="0" fontId="52" fillId="10" borderId="47" xfId="1" applyAlignment="1">
      <alignment horizontal="center"/>
    </xf>
    <xf numFmtId="169" fontId="52" fillId="10" borderId="47" xfId="1" applyNumberFormat="1"/>
    <xf numFmtId="169" fontId="9" fillId="0" borderId="0" xfId="0" applyNumberFormat="1" applyFont="1"/>
    <xf numFmtId="168" fontId="52" fillId="10" borderId="47" xfId="1" applyNumberFormat="1"/>
    <xf numFmtId="2" fontId="52" fillId="10" borderId="47" xfId="1" applyNumberFormat="1"/>
    <xf numFmtId="0" fontId="66" fillId="11" borderId="0" xfId="4" applyFont="1" applyBorder="1" applyAlignment="1">
      <alignment horizontal="right" wrapText="1"/>
    </xf>
    <xf numFmtId="0" fontId="9" fillId="0" borderId="0" xfId="0" applyFont="1" applyBorder="1" applyAlignment="1">
      <alignment wrapText="1"/>
    </xf>
    <xf numFmtId="173" fontId="9" fillId="0" borderId="0" xfId="8" applyNumberFormat="1" applyFont="1"/>
    <xf numFmtId="171" fontId="9" fillId="0" borderId="0" xfId="2" applyNumberFormat="1" applyFont="1"/>
    <xf numFmtId="10" fontId="9" fillId="0" borderId="0" xfId="8" applyNumberFormat="1" applyFont="1"/>
    <xf numFmtId="0" fontId="67" fillId="0" borderId="37" xfId="0" applyFont="1" applyBorder="1" applyAlignment="1">
      <alignment horizontal="center" wrapText="1"/>
    </xf>
    <xf numFmtId="0" fontId="68" fillId="0" borderId="0" xfId="0" applyFont="1" applyAlignment="1">
      <alignment horizontal="right" vertical="center"/>
    </xf>
    <xf numFmtId="0" fontId="68" fillId="0" borderId="0" xfId="0" applyFont="1" applyAlignment="1">
      <alignment vertical="center"/>
    </xf>
    <xf numFmtId="3" fontId="68" fillId="0" borderId="0" xfId="0" applyNumberFormat="1" applyFont="1" applyAlignment="1">
      <alignment horizontal="right" vertical="center"/>
    </xf>
    <xf numFmtId="0" fontId="68" fillId="0" borderId="1" xfId="0" applyFont="1" applyBorder="1" applyAlignment="1">
      <alignment horizontal="right" vertical="center"/>
    </xf>
    <xf numFmtId="0" fontId="18" fillId="0" borderId="41" xfId="0" applyFont="1" applyBorder="1" applyAlignment="1">
      <alignment vertical="center" wrapText="1"/>
    </xf>
    <xf numFmtId="3" fontId="18" fillId="0" borderId="41" xfId="0" applyNumberFormat="1" applyFont="1" applyBorder="1" applyAlignment="1">
      <alignment vertical="center" wrapText="1"/>
    </xf>
    <xf numFmtId="0" fontId="18" fillId="0" borderId="0" xfId="0" applyFont="1" applyAlignment="1">
      <alignment vertical="center" wrapText="1"/>
    </xf>
    <xf numFmtId="0" fontId="18" fillId="0" borderId="37" xfId="0" applyFont="1" applyBorder="1" applyAlignment="1">
      <alignment vertical="center" wrapText="1"/>
    </xf>
    <xf numFmtId="168" fontId="9" fillId="0" borderId="4" xfId="0" applyNumberFormat="1" applyFont="1" applyFill="1" applyBorder="1"/>
    <xf numFmtId="168" fontId="9" fillId="0" borderId="3" xfId="0" applyNumberFormat="1" applyFont="1" applyFill="1" applyBorder="1" applyAlignment="1">
      <alignment wrapText="1"/>
    </xf>
    <xf numFmtId="2" fontId="9" fillId="0" borderId="11" xfId="8" applyNumberFormat="1" applyFont="1" applyFill="1" applyBorder="1"/>
    <xf numFmtId="0" fontId="52" fillId="10" borderId="47" xfId="1" applyAlignment="1">
      <alignment horizontal="left" wrapText="1"/>
    </xf>
    <xf numFmtId="168" fontId="66" fillId="11" borderId="0" xfId="4" applyNumberFormat="1" applyFont="1" applyBorder="1" applyAlignment="1">
      <alignment horizontal="right" wrapText="1"/>
    </xf>
    <xf numFmtId="0" fontId="66" fillId="11" borderId="0" xfId="4" applyFont="1" applyBorder="1" applyAlignment="1">
      <alignment wrapText="1"/>
    </xf>
    <xf numFmtId="168" fontId="66" fillId="11" borderId="0" xfId="4" applyNumberFormat="1" applyFont="1" applyBorder="1" applyAlignment="1">
      <alignment horizontal="right"/>
    </xf>
    <xf numFmtId="11" fontId="66" fillId="11" borderId="0" xfId="4" applyNumberFormat="1" applyFont="1" applyBorder="1" applyAlignment="1">
      <alignment horizontal="right" wrapText="1"/>
    </xf>
    <xf numFmtId="2" fontId="66" fillId="11" borderId="0" xfId="4" applyNumberFormat="1" applyFont="1" applyAlignment="1">
      <alignment wrapText="1"/>
    </xf>
    <xf numFmtId="0" fontId="66" fillId="11" borderId="0" xfId="4" applyFont="1" applyAlignment="1">
      <alignment horizontal="right"/>
    </xf>
    <xf numFmtId="169" fontId="66" fillId="11" borderId="0" xfId="4" applyNumberFormat="1" applyFont="1"/>
    <xf numFmtId="1" fontId="66" fillId="11" borderId="0" xfId="4" applyNumberFormat="1" applyFont="1"/>
    <xf numFmtId="169" fontId="69" fillId="0" borderId="0" xfId="7" applyNumberFormat="1" applyFont="1"/>
    <xf numFmtId="169" fontId="69" fillId="0" borderId="37" xfId="7" applyNumberFormat="1" applyFont="1" applyBorder="1"/>
    <xf numFmtId="168" fontId="9" fillId="0" borderId="0" xfId="0" applyNumberFormat="1" applyFont="1"/>
    <xf numFmtId="0" fontId="39" fillId="13" borderId="0" xfId="4" applyFont="1" applyFill="1" applyBorder="1" applyAlignment="1">
      <alignment wrapText="1"/>
    </xf>
    <xf numFmtId="0" fontId="66" fillId="13" borderId="0" xfId="5" applyFont="1" applyFill="1" applyAlignment="1">
      <alignment horizontal="right" wrapText="1"/>
    </xf>
    <xf numFmtId="0" fontId="66" fillId="13" borderId="0" xfId="4" applyFont="1" applyFill="1" applyBorder="1" applyAlignment="1">
      <alignment wrapText="1"/>
    </xf>
    <xf numFmtId="1" fontId="66" fillId="13" borderId="0" xfId="4" applyNumberFormat="1" applyFont="1" applyFill="1" applyAlignment="1">
      <alignment wrapText="1"/>
    </xf>
    <xf numFmtId="175" fontId="66" fillId="13" borderId="0" xfId="3" applyNumberFormat="1" applyFont="1" applyFill="1"/>
    <xf numFmtId="11" fontId="66" fillId="13" borderId="0" xfId="4" applyNumberFormat="1" applyFont="1" applyFill="1" applyAlignment="1">
      <alignment wrapText="1"/>
    </xf>
    <xf numFmtId="168" fontId="19" fillId="0" borderId="0" xfId="0" applyNumberFormat="1" applyFont="1" applyBorder="1" applyAlignment="1">
      <alignment horizontal="right"/>
    </xf>
    <xf numFmtId="168" fontId="19" fillId="0" borderId="0" xfId="0" applyNumberFormat="1" applyFont="1" applyAlignment="1">
      <alignment horizontal="right"/>
    </xf>
    <xf numFmtId="168" fontId="19" fillId="0" borderId="37" xfId="0" applyNumberFormat="1" applyFont="1" applyBorder="1" applyAlignment="1">
      <alignment horizontal="right"/>
    </xf>
    <xf numFmtId="11" fontId="9" fillId="0" borderId="0" xfId="0" applyNumberFormat="1" applyFont="1" applyFill="1"/>
    <xf numFmtId="169" fontId="70" fillId="0" borderId="0" xfId="0" applyNumberFormat="1" applyFont="1"/>
    <xf numFmtId="175" fontId="9" fillId="0" borderId="0" xfId="3" applyNumberFormat="1" applyFont="1"/>
    <xf numFmtId="0" fontId="9" fillId="0" borderId="36" xfId="0" applyFont="1" applyBorder="1" applyAlignment="1">
      <alignment wrapText="1"/>
    </xf>
    <xf numFmtId="0" fontId="70" fillId="0" borderId="36" xfId="0" applyFont="1" applyBorder="1"/>
    <xf numFmtId="168" fontId="9" fillId="0" borderId="37" xfId="0" applyNumberFormat="1" applyFont="1" applyFill="1" applyBorder="1"/>
    <xf numFmtId="11" fontId="9" fillId="0" borderId="37" xfId="0" applyNumberFormat="1" applyFont="1" applyFill="1" applyBorder="1"/>
    <xf numFmtId="169" fontId="70" fillId="0" borderId="37" xfId="0" applyNumberFormat="1" applyFont="1" applyBorder="1"/>
    <xf numFmtId="177" fontId="56" fillId="0" borderId="0" xfId="7" applyNumberFormat="1" applyFont="1" applyBorder="1"/>
    <xf numFmtId="167" fontId="0" fillId="8" borderId="2" xfId="0" applyNumberFormat="1" applyFill="1" applyBorder="1"/>
    <xf numFmtId="3" fontId="71" fillId="0" borderId="0" xfId="7" applyNumberFormat="1" applyFont="1" applyBorder="1" applyAlignment="1">
      <alignment horizontal="right"/>
    </xf>
    <xf numFmtId="4" fontId="71" fillId="0" borderId="0" xfId="7" applyNumberFormat="1" applyFont="1" applyBorder="1" applyAlignment="1">
      <alignment horizontal="right"/>
    </xf>
    <xf numFmtId="3" fontId="71" fillId="0" borderId="0" xfId="3" applyNumberFormat="1" applyFont="1" applyBorder="1"/>
    <xf numFmtId="167" fontId="71" fillId="0" borderId="0" xfId="7" applyNumberFormat="1" applyFont="1" applyBorder="1"/>
    <xf numFmtId="3" fontId="71" fillId="0" borderId="37" xfId="7" applyNumberFormat="1" applyFont="1" applyBorder="1" applyAlignment="1">
      <alignment horizontal="right"/>
    </xf>
    <xf numFmtId="3" fontId="71" fillId="0" borderId="37" xfId="3" applyNumberFormat="1" applyFont="1" applyBorder="1"/>
    <xf numFmtId="4" fontId="71" fillId="0" borderId="37" xfId="7" applyNumberFormat="1" applyFont="1" applyBorder="1" applyAlignment="1">
      <alignment horizontal="right"/>
    </xf>
    <xf numFmtId="0" fontId="17" fillId="0" borderId="42" xfId="0" applyFont="1" applyBorder="1" applyAlignment="1">
      <alignment horizontal="center" wrapText="1"/>
    </xf>
    <xf numFmtId="0" fontId="17" fillId="0" borderId="0" xfId="0" applyFont="1" applyBorder="1" applyAlignment="1">
      <alignment horizontal="center" wrapText="1"/>
    </xf>
    <xf numFmtId="0" fontId="17" fillId="0" borderId="37" xfId="0" applyFont="1" applyBorder="1" applyAlignment="1">
      <alignment horizontal="center" wrapText="1"/>
    </xf>
    <xf numFmtId="175" fontId="17" fillId="0" borderId="0" xfId="2" applyNumberFormat="1" applyFont="1" applyAlignment="1">
      <alignment horizontal="right" vertical="center"/>
    </xf>
    <xf numFmtId="164" fontId="17" fillId="0" borderId="0" xfId="2" applyNumberFormat="1" applyFont="1" applyAlignment="1">
      <alignment horizontal="right" vertical="center"/>
    </xf>
    <xf numFmtId="167" fontId="17" fillId="0" borderId="0" xfId="0" applyNumberFormat="1" applyFont="1" applyAlignment="1">
      <alignment horizontal="right" vertical="center"/>
    </xf>
    <xf numFmtId="169" fontId="17" fillId="0" borderId="0" xfId="0" applyNumberFormat="1" applyFont="1" applyAlignment="1">
      <alignment horizontal="right" vertical="center"/>
    </xf>
    <xf numFmtId="1" fontId="17" fillId="0" borderId="0" xfId="0" applyNumberFormat="1" applyFont="1" applyAlignment="1">
      <alignment horizontal="right" vertical="center"/>
    </xf>
    <xf numFmtId="175" fontId="17" fillId="0" borderId="0" xfId="2" applyNumberFormat="1" applyFont="1" applyAlignment="1">
      <alignment vertical="center"/>
    </xf>
    <xf numFmtId="167" fontId="17" fillId="0" borderId="0" xfId="0" applyNumberFormat="1" applyFont="1" applyAlignment="1">
      <alignment vertical="center"/>
    </xf>
    <xf numFmtId="169" fontId="17" fillId="0" borderId="0" xfId="0" applyNumberFormat="1" applyFont="1" applyAlignment="1">
      <alignment vertical="center"/>
    </xf>
    <xf numFmtId="1" fontId="17" fillId="0" borderId="0" xfId="0" applyNumberFormat="1" applyFont="1" applyAlignment="1">
      <alignment vertical="center"/>
    </xf>
    <xf numFmtId="174" fontId="17" fillId="0" borderId="0" xfId="2" applyNumberFormat="1" applyFont="1" applyAlignment="1">
      <alignment horizontal="right" vertical="center"/>
    </xf>
    <xf numFmtId="176" fontId="17" fillId="0" borderId="0" xfId="2" applyNumberFormat="1" applyFont="1" applyAlignment="1">
      <alignment horizontal="right" vertical="center"/>
    </xf>
    <xf numFmtId="175" fontId="17" fillId="0" borderId="1" xfId="2" applyNumberFormat="1" applyFont="1" applyBorder="1" applyAlignment="1">
      <alignment horizontal="right" vertical="center"/>
    </xf>
    <xf numFmtId="169" fontId="17" fillId="0" borderId="1" xfId="0" applyNumberFormat="1" applyFont="1" applyBorder="1" applyAlignment="1">
      <alignment horizontal="right" vertical="center"/>
    </xf>
    <xf numFmtId="1" fontId="17" fillId="0" borderId="1" xfId="0" applyNumberFormat="1" applyFont="1" applyBorder="1" applyAlignment="1">
      <alignment horizontal="right" vertical="center"/>
    </xf>
    <xf numFmtId="0" fontId="17" fillId="0" borderId="36" xfId="0" applyFont="1" applyBorder="1" applyAlignment="1">
      <alignment vertical="top" wrapText="1"/>
    </xf>
    <xf numFmtId="1" fontId="17" fillId="0" borderId="36" xfId="0" applyNumberFormat="1" applyFont="1" applyBorder="1" applyAlignment="1">
      <alignment vertical="top" wrapText="1"/>
    </xf>
    <xf numFmtId="175" fontId="17" fillId="0" borderId="36" xfId="2" applyNumberFormat="1" applyFont="1" applyBorder="1" applyAlignment="1">
      <alignment horizontal="right" vertical="top" wrapText="1"/>
    </xf>
    <xf numFmtId="3" fontId="17" fillId="0" borderId="41" xfId="0" applyNumberFormat="1" applyFont="1" applyBorder="1" applyAlignment="1">
      <alignment vertical="center" wrapText="1"/>
    </xf>
    <xf numFmtId="0" fontId="17" fillId="0" borderId="0" xfId="0" applyFont="1" applyAlignment="1">
      <alignment vertical="center" wrapText="1"/>
    </xf>
    <xf numFmtId="0" fontId="17" fillId="0" borderId="37" xfId="0" applyFont="1" applyBorder="1" applyAlignment="1">
      <alignment vertical="center" wrapText="1"/>
    </xf>
    <xf numFmtId="175" fontId="9" fillId="0" borderId="37" xfId="3" applyNumberFormat="1" applyFont="1" applyBorder="1"/>
    <xf numFmtId="0" fontId="9" fillId="14" borderId="37" xfId="7" applyFont="1" applyFill="1" applyBorder="1" applyAlignment="1">
      <alignment horizontal="right"/>
    </xf>
    <xf numFmtId="0" fontId="17" fillId="0" borderId="1" xfId="0" applyFont="1" applyBorder="1" applyAlignment="1">
      <alignment vertical="center"/>
    </xf>
    <xf numFmtId="0" fontId="53" fillId="14" borderId="37" xfId="5" applyFont="1" applyFill="1" applyBorder="1"/>
    <xf numFmtId="0" fontId="57" fillId="12" borderId="39" xfId="6" applyFont="1" applyBorder="1"/>
    <xf numFmtId="0" fontId="9" fillId="14" borderId="43" xfId="7" applyFill="1" applyBorder="1"/>
    <xf numFmtId="0" fontId="9" fillId="14" borderId="41" xfId="7" applyFill="1" applyBorder="1"/>
    <xf numFmtId="0" fontId="9" fillId="14" borderId="41" xfId="7" applyFont="1" applyFill="1" applyBorder="1" applyAlignment="1">
      <alignment horizontal="right"/>
    </xf>
    <xf numFmtId="2" fontId="9" fillId="14" borderId="41" xfId="7" applyNumberFormat="1" applyFill="1" applyBorder="1"/>
    <xf numFmtId="0" fontId="9" fillId="14" borderId="44" xfId="7" applyFont="1" applyFill="1" applyBorder="1"/>
    <xf numFmtId="0" fontId="9" fillId="14" borderId="45" xfId="7" applyFill="1" applyBorder="1"/>
    <xf numFmtId="0" fontId="9" fillId="14" borderId="46" xfId="7" applyFont="1" applyFill="1" applyBorder="1"/>
    <xf numFmtId="0" fontId="9" fillId="0" borderId="0" xfId="7" applyFont="1" applyFill="1" applyBorder="1" applyAlignment="1">
      <alignment horizontal="right"/>
    </xf>
    <xf numFmtId="2" fontId="9" fillId="0" borderId="0" xfId="7" applyNumberFormat="1" applyFill="1" applyBorder="1"/>
    <xf numFmtId="0" fontId="9" fillId="0" borderId="0" xfId="7" applyFont="1" applyFill="1" applyBorder="1"/>
    <xf numFmtId="0" fontId="1" fillId="0" borderId="0" xfId="7" applyFont="1"/>
    <xf numFmtId="0" fontId="1" fillId="14" borderId="41" xfId="7" applyFont="1" applyFill="1" applyBorder="1" applyAlignment="1">
      <alignment horizontal="right"/>
    </xf>
    <xf numFmtId="168" fontId="9" fillId="14" borderId="37" xfId="7" applyNumberFormat="1" applyFill="1" applyBorder="1"/>
    <xf numFmtId="168" fontId="71" fillId="0" borderId="0" xfId="7" applyNumberFormat="1" applyFont="1" applyBorder="1"/>
    <xf numFmtId="168" fontId="71" fillId="0" borderId="37" xfId="7" applyNumberFormat="1" applyFont="1" applyBorder="1"/>
    <xf numFmtId="0" fontId="71" fillId="0" borderId="37" xfId="7" applyFont="1" applyBorder="1" applyAlignment="1">
      <alignment horizontal="center" wrapText="1"/>
    </xf>
    <xf numFmtId="169" fontId="9" fillId="0" borderId="0" xfId="7" applyNumberFormat="1"/>
    <xf numFmtId="168" fontId="9" fillId="0" borderId="0" xfId="7" applyNumberFormat="1"/>
    <xf numFmtId="0" fontId="60" fillId="0" borderId="41" xfId="7" applyFont="1" applyBorder="1" applyAlignment="1">
      <alignment horizontal="center"/>
    </xf>
    <xf numFmtId="0" fontId="60" fillId="0" borderId="36" xfId="7" applyFont="1" applyBorder="1" applyAlignment="1">
      <alignment horizontal="center" wrapText="1"/>
    </xf>
    <xf numFmtId="0" fontId="60" fillId="0" borderId="37" xfId="7" applyFont="1" applyBorder="1" applyAlignment="1">
      <alignment horizontal="center" wrapText="1"/>
    </xf>
    <xf numFmtId="3" fontId="60" fillId="0" borderId="0" xfId="7" applyNumberFormat="1" applyFont="1" applyBorder="1"/>
    <xf numFmtId="171" fontId="60" fillId="0" borderId="0" xfId="7" applyNumberFormat="1" applyFont="1" applyBorder="1"/>
    <xf numFmtId="4" fontId="60" fillId="0" borderId="0" xfId="7" applyNumberFormat="1" applyFont="1" applyBorder="1"/>
    <xf numFmtId="171" fontId="60" fillId="0" borderId="0" xfId="7" applyNumberFormat="1" applyFont="1" applyBorder="1" applyAlignment="1">
      <alignment horizontal="right"/>
    </xf>
    <xf numFmtId="3" fontId="60" fillId="0" borderId="0" xfId="7" applyNumberFormat="1" applyFont="1" applyBorder="1" applyAlignment="1">
      <alignment horizontal="right"/>
    </xf>
    <xf numFmtId="3" fontId="60" fillId="0" borderId="37" xfId="7" applyNumberFormat="1" applyFont="1" applyBorder="1"/>
    <xf numFmtId="171" fontId="60" fillId="0" borderId="37" xfId="7" applyNumberFormat="1" applyFont="1" applyBorder="1"/>
    <xf numFmtId="4" fontId="60" fillId="0" borderId="37" xfId="7" applyNumberFormat="1" applyFont="1" applyBorder="1"/>
    <xf numFmtId="171" fontId="60" fillId="0" borderId="37" xfId="7" applyNumberFormat="1" applyFont="1" applyBorder="1" applyAlignment="1">
      <alignment horizontal="right"/>
    </xf>
    <xf numFmtId="3" fontId="60" fillId="0" borderId="37" xfId="7" applyNumberFormat="1" applyFont="1" applyBorder="1" applyAlignment="1">
      <alignment horizontal="right"/>
    </xf>
    <xf numFmtId="43" fontId="9" fillId="0" borderId="0" xfId="0" applyNumberFormat="1" applyFont="1"/>
    <xf numFmtId="0" fontId="1" fillId="0" borderId="0" xfId="0" applyFont="1"/>
    <xf numFmtId="0" fontId="1" fillId="0" borderId="36" xfId="0" applyFont="1" applyBorder="1" applyAlignment="1">
      <alignment wrapText="1"/>
    </xf>
    <xf numFmtId="169" fontId="9" fillId="0" borderId="0" xfId="0" applyNumberFormat="1" applyFont="1" applyFill="1"/>
    <xf numFmtId="0" fontId="60" fillId="0" borderId="41" xfId="7" applyFont="1" applyBorder="1" applyAlignment="1">
      <alignment horizontal="center"/>
    </xf>
    <xf numFmtId="0" fontId="74" fillId="0" borderId="0" xfId="0" applyFont="1"/>
    <xf numFmtId="4" fontId="9" fillId="0" borderId="0" xfId="0" applyNumberFormat="1" applyFont="1"/>
    <xf numFmtId="2" fontId="71" fillId="0" borderId="0" xfId="7" applyNumberFormat="1" applyFont="1" applyBorder="1"/>
    <xf numFmtId="0" fontId="76" fillId="0" borderId="0" xfId="7" applyFont="1"/>
    <xf numFmtId="0" fontId="77" fillId="0" borderId="0" xfId="0" applyFont="1"/>
    <xf numFmtId="0" fontId="60" fillId="0" borderId="2" xfId="7" applyFont="1" applyBorder="1" applyAlignment="1">
      <alignment horizontal="center" wrapText="1"/>
    </xf>
    <xf numFmtId="0" fontId="60" fillId="0" borderId="1" xfId="7" applyFont="1" applyBorder="1" applyAlignment="1">
      <alignment horizontal="center" wrapText="1"/>
    </xf>
    <xf numFmtId="0" fontId="66" fillId="14" borderId="0" xfId="4" applyFont="1" applyFill="1" applyBorder="1" applyAlignment="1">
      <alignment wrapText="1"/>
    </xf>
    <xf numFmtId="11" fontId="66" fillId="14" borderId="0" xfId="4" applyNumberFormat="1" applyFont="1" applyFill="1" applyAlignment="1">
      <alignment wrapText="1"/>
    </xf>
    <xf numFmtId="0" fontId="17" fillId="0" borderId="42" xfId="0" applyFont="1" applyBorder="1" applyAlignment="1">
      <alignment horizontal="center" wrapText="1"/>
    </xf>
    <xf numFmtId="0" fontId="17" fillId="0" borderId="0" xfId="0" applyFont="1" applyBorder="1" applyAlignment="1">
      <alignment horizontal="center" wrapText="1"/>
    </xf>
    <xf numFmtId="0" fontId="17" fillId="0" borderId="37" xfId="0" applyFont="1" applyBorder="1" applyAlignment="1">
      <alignment horizontal="center" wrapText="1"/>
    </xf>
    <xf numFmtId="0" fontId="17" fillId="0" borderId="1" xfId="0" applyFont="1" applyBorder="1" applyAlignment="1">
      <alignment horizontal="center" wrapText="1"/>
    </xf>
    <xf numFmtId="0" fontId="17" fillId="0" borderId="42" xfId="0" applyFont="1" applyBorder="1" applyAlignment="1">
      <alignment wrapText="1"/>
    </xf>
    <xf numFmtId="0" fontId="17" fillId="0" borderId="0" xfId="0" applyFont="1" applyBorder="1" applyAlignment="1">
      <alignment wrapText="1"/>
    </xf>
    <xf numFmtId="0" fontId="17" fillId="0" borderId="37" xfId="0" applyFont="1" applyBorder="1" applyAlignment="1">
      <alignment wrapText="1"/>
    </xf>
    <xf numFmtId="0" fontId="60" fillId="0" borderId="41" xfId="7" applyFont="1" applyBorder="1" applyAlignment="1">
      <alignment horizontal="center" wrapText="1"/>
    </xf>
    <xf numFmtId="0" fontId="60" fillId="0" borderId="1" xfId="7" applyFont="1" applyBorder="1" applyAlignment="1">
      <alignment horizontal="center" wrapText="1"/>
    </xf>
    <xf numFmtId="0" fontId="60" fillId="0" borderId="41" xfId="7" applyFont="1" applyBorder="1" applyAlignment="1">
      <alignment horizontal="center"/>
    </xf>
    <xf numFmtId="0" fontId="72" fillId="0" borderId="41" xfId="7" applyFont="1" applyBorder="1" applyAlignment="1">
      <alignment horizontal="center"/>
    </xf>
    <xf numFmtId="0" fontId="74" fillId="0" borderId="0" xfId="0" applyFont="1" applyAlignment="1">
      <alignment horizontal="left" vertical="top" wrapText="1"/>
    </xf>
    <xf numFmtId="0" fontId="74" fillId="0" borderId="0" xfId="0" applyFont="1" applyAlignment="1">
      <alignment horizontal="left" vertical="top"/>
    </xf>
    <xf numFmtId="0" fontId="60" fillId="0" borderId="37" xfId="7" applyFont="1" applyBorder="1" applyAlignment="1">
      <alignment horizontal="center" wrapText="1"/>
    </xf>
    <xf numFmtId="0" fontId="73" fillId="0" borderId="41" xfId="7" applyFont="1" applyBorder="1" applyAlignment="1">
      <alignment horizontal="center"/>
    </xf>
    <xf numFmtId="0" fontId="0" fillId="5" borderId="5" xfId="0" applyFill="1" applyBorder="1" applyAlignment="1"/>
    <xf numFmtId="0" fontId="0" fillId="5" borderId="13" xfId="0" applyFill="1" applyBorder="1" applyAlignment="1"/>
    <xf numFmtId="0" fontId="0" fillId="6" borderId="5" xfId="0" applyFill="1" applyBorder="1" applyAlignment="1"/>
    <xf numFmtId="0" fontId="0" fillId="6" borderId="8" xfId="0" applyFill="1" applyBorder="1" applyAlignment="1"/>
    <xf numFmtId="0" fontId="0" fillId="6" borderId="17" xfId="0" applyFill="1" applyBorder="1" applyAlignment="1">
      <alignment horizontal="center"/>
    </xf>
    <xf numFmtId="0" fontId="0" fillId="0" borderId="0" xfId="0" applyAlignment="1">
      <alignment horizontal="center"/>
    </xf>
  </cellXfs>
  <cellStyles count="9">
    <cellStyle name="Calculation" xfId="1" builtinId="22"/>
    <cellStyle name="Comma" xfId="2" builtinId="3"/>
    <cellStyle name="Comma 2" xfId="3"/>
    <cellStyle name="Good" xfId="4" builtinId="26"/>
    <cellStyle name="Good 2" xfId="5"/>
    <cellStyle name="Neutral 2" xfId="6"/>
    <cellStyle name="Normal" xfId="0" builtinId="0"/>
    <cellStyle name="Normal 2" xfId="7"/>
    <cellStyle name="Percent" xfId="8"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xVal>
            <c:numRef>
              <c:f>'Table 1.'!$F$5:$F$22</c:f>
              <c:numCache>
                <c:formatCode>0.0000</c:formatCode>
                <c:ptCount val="18"/>
                <c:pt idx="0">
                  <c:v>0</c:v>
                </c:pt>
                <c:pt idx="1">
                  <c:v>8.4627544544213212E-3</c:v>
                </c:pt>
                <c:pt idx="2">
                  <c:v>1.4043094741666742</c:v>
                </c:pt>
                <c:pt idx="3">
                  <c:v>35.255327291851955</c:v>
                </c:pt>
                <c:pt idx="4">
                  <c:v>44.203547655551155</c:v>
                </c:pt>
                <c:pt idx="5">
                  <c:v>48.208123063383326</c:v>
                </c:pt>
                <c:pt idx="6">
                  <c:v>48.216585817837739</c:v>
                </c:pt>
                <c:pt idx="7">
                  <c:v>48.244512907537334</c:v>
                </c:pt>
                <c:pt idx="8">
                  <c:v>48.244673699871967</c:v>
                </c:pt>
                <c:pt idx="9">
                  <c:v>48.245858485495596</c:v>
                </c:pt>
                <c:pt idx="10">
                  <c:v>48.246019277830229</c:v>
                </c:pt>
                <c:pt idx="11">
                  <c:v>48.273946367529824</c:v>
                </c:pt>
                <c:pt idx="12">
                  <c:v>48.282409121984244</c:v>
                </c:pt>
                <c:pt idx="13">
                  <c:v>49.230708928530596</c:v>
                </c:pt>
                <c:pt idx="14">
                  <c:v>49.264559946348278</c:v>
                </c:pt>
                <c:pt idx="15">
                  <c:v>51.254534342533184</c:v>
                </c:pt>
                <c:pt idx="16">
                  <c:v>99.322979643646292</c:v>
                </c:pt>
                <c:pt idx="17">
                  <c:v>100</c:v>
                </c:pt>
              </c:numCache>
            </c:numRef>
          </c:xVal>
          <c:yVal>
            <c:numRef>
              <c:f>'Table 1.'!$Q$5:$Q$22</c:f>
              <c:numCache>
                <c:formatCode>0.0</c:formatCode>
                <c:ptCount val="18"/>
                <c:pt idx="0">
                  <c:v>1902.6689821392183</c:v>
                </c:pt>
                <c:pt idx="1">
                  <c:v>1887.8643081837909</c:v>
                </c:pt>
                <c:pt idx="2">
                  <c:v>1769.9155638813716</c:v>
                </c:pt>
                <c:pt idx="3">
                  <c:v>1685.7270769827578</c:v>
                </c:pt>
                <c:pt idx="4">
                  <c:v>1396.8361217929983</c:v>
                </c:pt>
                <c:pt idx="5">
                  <c:v>1387.244726433282</c:v>
                </c:pt>
                <c:pt idx="6">
                  <c:v>1324.8505119175322</c:v>
                </c:pt>
                <c:pt idx="7">
                  <c:v>870.32628992564378</c:v>
                </c:pt>
                <c:pt idx="8">
                  <c:v>702.39516013442119</c:v>
                </c:pt>
                <c:pt idx="9">
                  <c:v>247.87093814253274</c:v>
                </c:pt>
                <c:pt idx="10">
                  <c:v>185.47672362678304</c:v>
                </c:pt>
                <c:pt idx="11">
                  <c:v>177.88665865067398</c:v>
                </c:pt>
                <c:pt idx="12">
                  <c:v>176.89722110802643</c:v>
                </c:pt>
                <c:pt idx="13">
                  <c:v>176.5543833622595</c:v>
                </c:pt>
                <c:pt idx="14">
                  <c:v>121.72349283196073</c:v>
                </c:pt>
                <c:pt idx="15">
                  <c:v>10.539115508673419</c:v>
                </c:pt>
                <c:pt idx="16">
                  <c:v>3.5527136788005009E-13</c:v>
                </c:pt>
                <c:pt idx="17">
                  <c:v>3.5527136788005009E-13</c:v>
                </c:pt>
              </c:numCache>
            </c:numRef>
          </c:yVal>
          <c:smooth val="0"/>
        </c:ser>
        <c:dLbls>
          <c:showLegendKey val="0"/>
          <c:showVal val="0"/>
          <c:showCatName val="0"/>
          <c:showSerName val="0"/>
          <c:showPercent val="0"/>
          <c:showBubbleSize val="0"/>
        </c:dLbls>
        <c:axId val="244617600"/>
        <c:axId val="244619136"/>
      </c:scatterChart>
      <c:valAx>
        <c:axId val="244617600"/>
        <c:scaling>
          <c:orientation val="minMax"/>
        </c:scaling>
        <c:delete val="0"/>
        <c:axPos val="b"/>
        <c:numFmt formatCode="0.000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44619136"/>
        <c:crosses val="autoZero"/>
        <c:crossBetween val="midCat"/>
      </c:valAx>
      <c:valAx>
        <c:axId val="244619136"/>
        <c:scaling>
          <c:orientation val="minMax"/>
        </c:scaling>
        <c:delete val="0"/>
        <c:axPos val="l"/>
        <c:majorGridlines/>
        <c:numFmt formatCode="0.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44617600"/>
        <c:crosses val="autoZero"/>
        <c:crossBetween val="midCat"/>
      </c:valAx>
    </c:plotArea>
    <c:legend>
      <c:legendPos val="r"/>
      <c:layout>
        <c:manualLayout>
          <c:xMode val="edge"/>
          <c:yMode val="edge"/>
          <c:x val="0.81332764654418199"/>
          <c:y val="0.46131820287169983"/>
          <c:w val="0.16291666666666671"/>
          <c:h val="5.9896557048016053E-2"/>
        </c:manualLayout>
      </c:layout>
      <c:overlay val="0"/>
      <c:txPr>
        <a:bodyPr/>
        <a:lstStyle/>
        <a:p>
          <a:pPr>
            <a:defRPr sz="710" b="0" i="0" u="none" strike="noStrike" baseline="0">
              <a:solidFill>
                <a:srgbClr val="000000"/>
              </a:solidFill>
              <a:latin typeface="Arial"/>
              <a:ea typeface="Arial"/>
              <a:cs typeface="Arial"/>
            </a:defRPr>
          </a:pPr>
          <a:endParaRPr lang="en-US"/>
        </a:p>
      </c:txPr>
    </c:legend>
    <c:plotVisOnly val="1"/>
    <c:dispBlanksAs val="gap"/>
    <c:showDLblsOverMax val="0"/>
  </c:chart>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8.jpeg"/><Relationship Id="rId7" Type="http://schemas.openxmlformats.org/officeDocument/2006/relationships/image" Target="../media/image12.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19</xdr:col>
      <xdr:colOff>518160</xdr:colOff>
      <xdr:row>3</xdr:row>
      <xdr:rowOff>228600</xdr:rowOff>
    </xdr:from>
    <xdr:to>
      <xdr:col>27</xdr:col>
      <xdr:colOff>91440</xdr:colOff>
      <xdr:row>22</xdr:row>
      <xdr:rowOff>106680</xdr:rowOff>
    </xdr:to>
    <xdr:graphicFrame macro="">
      <xdr:nvGraphicFramePr>
        <xdr:cNvPr id="4905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762000</xdr:colOff>
      <xdr:row>17</xdr:row>
      <xdr:rowOff>68580</xdr:rowOff>
    </xdr:from>
    <xdr:to>
      <xdr:col>8</xdr:col>
      <xdr:colOff>396240</xdr:colOff>
      <xdr:row>31</xdr:row>
      <xdr:rowOff>106680</xdr:rowOff>
    </xdr:to>
    <xdr:pic>
      <xdr:nvPicPr>
        <xdr:cNvPr id="3126" name="Picture 6"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06340" y="3589020"/>
          <a:ext cx="3550920" cy="292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365760</xdr:colOff>
      <xdr:row>1</xdr:row>
      <xdr:rowOff>38100</xdr:rowOff>
    </xdr:from>
    <xdr:to>
      <xdr:col>14</xdr:col>
      <xdr:colOff>228600</xdr:colOff>
      <xdr:row>16</xdr:row>
      <xdr:rowOff>60960</xdr:rowOff>
    </xdr:to>
    <xdr:pic>
      <xdr:nvPicPr>
        <xdr:cNvPr id="4560" name="Picture 4" descr="AV4_49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71460" y="205740"/>
          <a:ext cx="4434840" cy="304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365760</xdr:colOff>
      <xdr:row>1</xdr:row>
      <xdr:rowOff>38100</xdr:rowOff>
    </xdr:from>
    <xdr:to>
      <xdr:col>14</xdr:col>
      <xdr:colOff>220980</xdr:colOff>
      <xdr:row>16</xdr:row>
      <xdr:rowOff>60960</xdr:rowOff>
    </xdr:to>
    <xdr:pic>
      <xdr:nvPicPr>
        <xdr:cNvPr id="4561" name="Picture 4" descr="AV4_49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71460" y="205740"/>
          <a:ext cx="4427220" cy="304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22</xdr:row>
      <xdr:rowOff>0</xdr:rowOff>
    </xdr:from>
    <xdr:to>
      <xdr:col>14</xdr:col>
      <xdr:colOff>929640</xdr:colOff>
      <xdr:row>34</xdr:row>
      <xdr:rowOff>129540</xdr:rowOff>
    </xdr:to>
    <xdr:pic>
      <xdr:nvPicPr>
        <xdr:cNvPr id="4562" name="Picture 7" descr="RP Replica Plastic AV incureent-1_00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07980" y="4358640"/>
          <a:ext cx="2499360" cy="2788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213360</xdr:colOff>
      <xdr:row>34</xdr:row>
      <xdr:rowOff>30480</xdr:rowOff>
    </xdr:from>
    <xdr:to>
      <xdr:col>13</xdr:col>
      <xdr:colOff>0</xdr:colOff>
      <xdr:row>46</xdr:row>
      <xdr:rowOff>7620</xdr:rowOff>
    </xdr:to>
    <xdr:pic>
      <xdr:nvPicPr>
        <xdr:cNvPr id="5225" name="Picture 2" descr="AV4_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16340" y="6339840"/>
          <a:ext cx="2415540" cy="1988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586740</xdr:colOff>
      <xdr:row>49</xdr:row>
      <xdr:rowOff>266700</xdr:rowOff>
    </xdr:from>
    <xdr:to>
      <xdr:col>13</xdr:col>
      <xdr:colOff>76200</xdr:colOff>
      <xdr:row>61</xdr:row>
      <xdr:rowOff>7620</xdr:rowOff>
    </xdr:to>
    <xdr:pic>
      <xdr:nvPicPr>
        <xdr:cNvPr id="5226" name="Picture 3" descr="AV4_1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0120" y="9090660"/>
          <a:ext cx="2727960" cy="208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66</xdr:row>
      <xdr:rowOff>0</xdr:rowOff>
    </xdr:from>
    <xdr:to>
      <xdr:col>3</xdr:col>
      <xdr:colOff>281940</xdr:colOff>
      <xdr:row>74</xdr:row>
      <xdr:rowOff>160020</xdr:rowOff>
    </xdr:to>
    <xdr:pic>
      <xdr:nvPicPr>
        <xdr:cNvPr id="10656" name="Picture 7" descr="AV tissue_05 trac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0580" y="11887200"/>
          <a:ext cx="264414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75</xdr:row>
      <xdr:rowOff>68580</xdr:rowOff>
    </xdr:from>
    <xdr:to>
      <xdr:col>3</xdr:col>
      <xdr:colOff>297180</xdr:colOff>
      <xdr:row>84</xdr:row>
      <xdr:rowOff>38100</xdr:rowOff>
    </xdr:to>
    <xdr:pic>
      <xdr:nvPicPr>
        <xdr:cNvPr id="10657" name="Picture 8" descr="AV tissue_05 trace filled"/>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 y="13464540"/>
          <a:ext cx="2590800" cy="147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66</xdr:row>
      <xdr:rowOff>0</xdr:rowOff>
    </xdr:from>
    <xdr:to>
      <xdr:col>11</xdr:col>
      <xdr:colOff>777240</xdr:colOff>
      <xdr:row>74</xdr:row>
      <xdr:rowOff>91440</xdr:rowOff>
    </xdr:to>
    <xdr:pic>
      <xdr:nvPicPr>
        <xdr:cNvPr id="10658" name="Picture 10" descr="AV4_24 copy traced"/>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45980" y="11887200"/>
          <a:ext cx="265938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75</xdr:row>
      <xdr:rowOff>91440</xdr:rowOff>
    </xdr:from>
    <xdr:to>
      <xdr:col>11</xdr:col>
      <xdr:colOff>815340</xdr:colOff>
      <xdr:row>84</xdr:row>
      <xdr:rowOff>0</xdr:rowOff>
    </xdr:to>
    <xdr:pic>
      <xdr:nvPicPr>
        <xdr:cNvPr id="10659" name="Picture 11" descr="AV4_24 copy traced filled"/>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84080" y="13487400"/>
          <a:ext cx="265938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82</xdr:row>
      <xdr:rowOff>0</xdr:rowOff>
    </xdr:from>
    <xdr:to>
      <xdr:col>20</xdr:col>
      <xdr:colOff>137160</xdr:colOff>
      <xdr:row>93</xdr:row>
      <xdr:rowOff>60960</xdr:rowOff>
    </xdr:to>
    <xdr:pic>
      <xdr:nvPicPr>
        <xdr:cNvPr id="10660" name="Picture 13" descr="3AV4AVlots of sed_01x traced"/>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844260" y="14569440"/>
          <a:ext cx="204216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7620</xdr:colOff>
      <xdr:row>94</xdr:row>
      <xdr:rowOff>0</xdr:rowOff>
    </xdr:from>
    <xdr:to>
      <xdr:col>20</xdr:col>
      <xdr:colOff>144780</xdr:colOff>
      <xdr:row>105</xdr:row>
      <xdr:rowOff>60960</xdr:rowOff>
    </xdr:to>
    <xdr:pic>
      <xdr:nvPicPr>
        <xdr:cNvPr id="10661" name="Picture 14" descr="3AV4AVlots of sed_01x traced filled"/>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851880" y="16581120"/>
          <a:ext cx="204216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7620</xdr:colOff>
      <xdr:row>96</xdr:row>
      <xdr:rowOff>137160</xdr:rowOff>
    </xdr:from>
    <xdr:to>
      <xdr:col>30</xdr:col>
      <xdr:colOff>91440</xdr:colOff>
      <xdr:row>104</xdr:row>
      <xdr:rowOff>38100</xdr:rowOff>
    </xdr:to>
    <xdr:pic>
      <xdr:nvPicPr>
        <xdr:cNvPr id="10662" name="Picture 21" descr="3AV4AVlots of sed_12x copy traced"/>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466040" y="17053560"/>
          <a:ext cx="1912620" cy="124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45720</xdr:colOff>
      <xdr:row>104</xdr:row>
      <xdr:rowOff>160020</xdr:rowOff>
    </xdr:from>
    <xdr:to>
      <xdr:col>30</xdr:col>
      <xdr:colOff>106680</xdr:colOff>
      <xdr:row>112</xdr:row>
      <xdr:rowOff>38100</xdr:rowOff>
    </xdr:to>
    <xdr:pic>
      <xdr:nvPicPr>
        <xdr:cNvPr id="10663" name="Picture 22" descr="3AV4AVlots of sed_12x filled"/>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504140" y="18417540"/>
          <a:ext cx="188976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0</xdr:colOff>
      <xdr:row>4</xdr:row>
      <xdr:rowOff>0</xdr:rowOff>
    </xdr:from>
    <xdr:to>
      <xdr:col>16</xdr:col>
      <xdr:colOff>396240</xdr:colOff>
      <xdr:row>14</xdr:row>
      <xdr:rowOff>160020</xdr:rowOff>
    </xdr:to>
    <xdr:pic>
      <xdr:nvPicPr>
        <xdr:cNvPr id="493667" name="Picture 1" descr="RP Replica Plastic AV excureent-1_01x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8120" y="670560"/>
          <a:ext cx="2834640" cy="2842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4</xdr:row>
      <xdr:rowOff>0</xdr:rowOff>
    </xdr:from>
    <xdr:to>
      <xdr:col>16</xdr:col>
      <xdr:colOff>396240</xdr:colOff>
      <xdr:row>14</xdr:row>
      <xdr:rowOff>160020</xdr:rowOff>
    </xdr:to>
    <xdr:pic>
      <xdr:nvPicPr>
        <xdr:cNvPr id="493668" name="Picture 1" descr="RP Replica Plastic AV excureent-1_01x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8120" y="670560"/>
          <a:ext cx="2834640" cy="2842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7</xdr:col>
      <xdr:colOff>495300</xdr:colOff>
      <xdr:row>27</xdr:row>
      <xdr:rowOff>144780</xdr:rowOff>
    </xdr:to>
    <xdr:pic>
      <xdr:nvPicPr>
        <xdr:cNvPr id="49464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4762500" cy="483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59"/>
  <sheetViews>
    <sheetView tabSelected="1" zoomScaleNormal="100" workbookViewId="0">
      <selection activeCell="B9" sqref="B9"/>
    </sheetView>
  </sheetViews>
  <sheetFormatPr defaultColWidth="8.85546875" defaultRowHeight="12.75"/>
  <cols>
    <col min="1" max="1" width="25.5703125" style="251" customWidth="1"/>
    <col min="2" max="2" width="23.28515625" style="246" customWidth="1"/>
    <col min="3" max="3" width="13.7109375" style="246" customWidth="1"/>
    <col min="4" max="4" width="10.85546875" style="251" customWidth="1"/>
    <col min="5" max="5" width="11.28515625" style="246" customWidth="1"/>
    <col min="6" max="6" width="8.85546875" style="251" customWidth="1"/>
    <col min="7" max="9" width="10.28515625" style="246" customWidth="1"/>
    <col min="10" max="11" width="19.140625" style="218" customWidth="1"/>
    <col min="12" max="13" width="13.7109375" style="218" customWidth="1"/>
    <col min="14" max="14" width="16.7109375" style="246" customWidth="1"/>
    <col min="15" max="15" width="18.140625" style="246" customWidth="1"/>
    <col min="16" max="16" width="12.42578125" style="246" bestFit="1" customWidth="1"/>
    <col min="17" max="17" width="12.42578125" style="246" customWidth="1"/>
    <col min="18" max="18" width="16.28515625" style="246" customWidth="1"/>
    <col min="19" max="19" width="15.28515625" style="218" customWidth="1"/>
    <col min="20" max="20" width="11.140625" style="218" bestFit="1" customWidth="1"/>
    <col min="21" max="22" width="12.28515625" style="218" bestFit="1" customWidth="1"/>
    <col min="23" max="23" width="8.85546875" style="218"/>
    <col min="24" max="24" width="8.85546875" style="218" customWidth="1"/>
    <col min="25" max="25" width="5.85546875" style="218" bestFit="1" customWidth="1"/>
    <col min="26" max="26" width="4.28515625" style="218" bestFit="1" customWidth="1"/>
    <col min="27" max="27" width="5.5703125" style="218" bestFit="1" customWidth="1"/>
    <col min="28" max="28" width="5.85546875" style="218" bestFit="1" customWidth="1"/>
    <col min="29" max="29" width="8.85546875" style="218"/>
    <col min="30" max="30" width="6.7109375" style="218" bestFit="1" customWidth="1"/>
    <col min="31" max="16384" width="8.85546875" style="218"/>
  </cols>
  <sheetData>
    <row r="1" spans="1:28" s="246" customFormat="1" ht="18">
      <c r="A1" s="148" t="s">
        <v>173</v>
      </c>
      <c r="B1" s="249"/>
      <c r="C1" s="249"/>
      <c r="D1" s="250"/>
      <c r="E1" s="523" t="s">
        <v>519</v>
      </c>
      <c r="F1" s="251"/>
      <c r="J1" s="218"/>
      <c r="K1" s="218"/>
      <c r="L1" s="218"/>
      <c r="M1" s="248"/>
      <c r="N1" s="300"/>
      <c r="O1" s="301"/>
      <c r="P1" s="308"/>
      <c r="Q1" s="308"/>
    </row>
    <row r="2" spans="1:28" s="246" customFormat="1">
      <c r="A2" s="252" t="s">
        <v>337</v>
      </c>
      <c r="B2" s="253"/>
      <c r="C2" s="254"/>
      <c r="D2" s="255"/>
      <c r="E2" s="253"/>
      <c r="F2" s="256"/>
      <c r="G2" s="253"/>
      <c r="H2" s="253"/>
      <c r="I2" s="253"/>
      <c r="J2" s="218"/>
      <c r="K2" s="218"/>
      <c r="L2" s="218"/>
      <c r="M2" s="248"/>
      <c r="N2" s="308"/>
      <c r="O2" s="308"/>
      <c r="P2" s="308"/>
      <c r="Q2" s="308"/>
    </row>
    <row r="3" spans="1:28" s="246" customFormat="1">
      <c r="A3" s="246" t="s">
        <v>10</v>
      </c>
      <c r="C3" s="257"/>
      <c r="D3" s="258"/>
      <c r="F3" s="251"/>
      <c r="J3" s="218"/>
      <c r="K3" s="218"/>
      <c r="L3" s="218"/>
      <c r="M3" s="248"/>
      <c r="N3" s="308"/>
      <c r="O3" s="308"/>
      <c r="P3" s="308"/>
      <c r="Q3" s="308"/>
      <c r="S3" s="218"/>
      <c r="T3" s="218"/>
      <c r="U3" s="218"/>
    </row>
    <row r="4" spans="1:28" s="246" customFormat="1" ht="90">
      <c r="A4" s="418" t="s">
        <v>458</v>
      </c>
      <c r="B4" s="400" t="s">
        <v>457</v>
      </c>
      <c r="C4" s="400" t="s">
        <v>459</v>
      </c>
      <c r="D4" s="419" t="s">
        <v>461</v>
      </c>
      <c r="E4" s="429" t="s">
        <v>466</v>
      </c>
      <c r="F4" s="430" t="s">
        <v>467</v>
      </c>
      <c r="G4" s="431" t="s">
        <v>460</v>
      </c>
      <c r="H4" s="526" t="s">
        <v>516</v>
      </c>
      <c r="J4" s="417" t="s">
        <v>462</v>
      </c>
      <c r="K4" s="395" t="s">
        <v>454</v>
      </c>
      <c r="L4" s="395" t="s">
        <v>382</v>
      </c>
      <c r="M4" s="218"/>
      <c r="S4" s="218"/>
      <c r="T4" s="218"/>
      <c r="U4" s="218"/>
    </row>
    <row r="5" spans="1:28" s="246" customFormat="1" ht="15">
      <c r="A5" s="420">
        <f>0.000304/0.00554</f>
        <v>5.4873646209386284E-2</v>
      </c>
      <c r="B5" s="400">
        <v>0.01</v>
      </c>
      <c r="C5" s="421">
        <f>ExcurrentSpeed*PI()*(OscDiam/100/2)^2</f>
        <v>1.571661924599951E-5</v>
      </c>
      <c r="D5" s="422">
        <f>100/5.54</f>
        <v>18.050541516245488</v>
      </c>
      <c r="E5" s="432">
        <v>1025</v>
      </c>
      <c r="F5" s="433">
        <f>Density*9.81</f>
        <v>10055.25</v>
      </c>
      <c r="G5" s="434">
        <v>1.48E-3</v>
      </c>
      <c r="H5" s="527">
        <v>0.09</v>
      </c>
      <c r="J5" s="396">
        <f>ExCurrentFlowRate*60/(SpVol/1000)</f>
        <v>3.0975974112246809</v>
      </c>
      <c r="K5" s="398">
        <f>ExCurrentFlowRate/(SpVol/1000)</f>
        <v>5.1626623520411349E-2</v>
      </c>
      <c r="L5" s="399">
        <f>3600*ExCurrentFlowRate*1000*1000*1000*1000/(K6*K7*SpVol*1000000)</f>
        <v>0.38098349580065799</v>
      </c>
      <c r="M5" s="218"/>
      <c r="P5" s="308"/>
      <c r="Q5" s="308"/>
      <c r="R5" s="308"/>
      <c r="S5" s="248"/>
      <c r="T5" s="248"/>
      <c r="U5" s="248"/>
    </row>
    <row r="6" spans="1:28" s="246" customFormat="1">
      <c r="F6" s="251"/>
      <c r="J6" s="253" t="s">
        <v>336</v>
      </c>
      <c r="K6" s="297">
        <f>'Flagellated chambers'!H10</f>
        <v>1876.2759534210923</v>
      </c>
      <c r="P6" s="308"/>
      <c r="Q6" s="308"/>
      <c r="R6" s="308"/>
      <c r="S6" s="308"/>
      <c r="T6" s="308"/>
      <c r="U6" s="308"/>
    </row>
    <row r="7" spans="1:28" s="246" customFormat="1">
      <c r="D7" s="251"/>
      <c r="F7" s="251"/>
      <c r="J7" s="253" t="s">
        <v>14</v>
      </c>
      <c r="K7" s="253">
        <f>'collars '!H25</f>
        <v>260</v>
      </c>
      <c r="P7" s="393"/>
      <c r="Q7" s="308"/>
      <c r="R7" s="394"/>
      <c r="S7" s="308"/>
      <c r="T7" s="308"/>
      <c r="U7" s="308"/>
    </row>
    <row r="8" spans="1:28" s="246" customFormat="1">
      <c r="D8" s="251"/>
      <c r="F8" s="251"/>
      <c r="J8" s="253" t="s">
        <v>15</v>
      </c>
      <c r="K8" s="298">
        <f>'collars '!B25</f>
        <v>38.333333333333336</v>
      </c>
      <c r="L8" s="218"/>
      <c r="M8" s="218"/>
      <c r="P8" s="308"/>
      <c r="Q8" s="308"/>
      <c r="R8" s="308"/>
      <c r="S8" s="308"/>
      <c r="T8" s="308"/>
      <c r="U8" s="308"/>
    </row>
    <row r="9" spans="1:28" s="246" customFormat="1">
      <c r="D9" s="251"/>
      <c r="F9" s="251"/>
      <c r="L9" s="218"/>
      <c r="M9" s="218"/>
      <c r="P9" s="308"/>
      <c r="Q9" s="308"/>
      <c r="R9" s="308"/>
      <c r="S9" s="238"/>
      <c r="T9" s="238"/>
      <c r="U9" s="238"/>
    </row>
    <row r="10" spans="1:28" s="246" customFormat="1">
      <c r="A10" s="251"/>
      <c r="D10" s="251"/>
      <c r="F10" s="251"/>
      <c r="J10" s="218"/>
      <c r="K10" s="218"/>
      <c r="L10" s="218"/>
      <c r="M10" s="218"/>
      <c r="N10" s="268"/>
      <c r="S10" s="262"/>
      <c r="T10" s="262"/>
      <c r="U10" s="262"/>
    </row>
    <row r="11" spans="1:28" s="238" customFormat="1" ht="63.75">
      <c r="A11" s="259" t="s">
        <v>453</v>
      </c>
      <c r="B11" s="128" t="s">
        <v>160</v>
      </c>
      <c r="C11" s="260" t="s">
        <v>219</v>
      </c>
      <c r="D11" s="261"/>
      <c r="E11" s="128" t="s">
        <v>127</v>
      </c>
      <c r="F11" s="259"/>
      <c r="G11" s="128" t="s">
        <v>128</v>
      </c>
      <c r="H11" s="128" t="s">
        <v>125</v>
      </c>
      <c r="I11" s="128" t="s">
        <v>335</v>
      </c>
      <c r="J11" s="238" t="s">
        <v>4</v>
      </c>
      <c r="K11" s="238" t="s">
        <v>5</v>
      </c>
      <c r="L11" s="238" t="s">
        <v>380</v>
      </c>
      <c r="M11" s="128" t="s">
        <v>379</v>
      </c>
      <c r="N11" s="128" t="s">
        <v>367</v>
      </c>
      <c r="O11" s="128" t="s">
        <v>376</v>
      </c>
      <c r="P11" s="128" t="s">
        <v>377</v>
      </c>
      <c r="Q11" s="128" t="s">
        <v>378</v>
      </c>
      <c r="R11" s="401" t="s">
        <v>456</v>
      </c>
      <c r="S11" s="262"/>
      <c r="T11" s="262"/>
    </row>
    <row r="12" spans="1:28" ht="14.25">
      <c r="A12" s="328" t="str">
        <f>'Comparison table for paper'!B16</f>
        <v>Ostia</v>
      </c>
      <c r="B12" s="246" t="s">
        <v>266</v>
      </c>
      <c r="C12" s="264">
        <f>Ostia!C22</f>
        <v>3.8879539623796582</v>
      </c>
      <c r="D12" s="265" t="s">
        <v>153</v>
      </c>
      <c r="E12" s="257">
        <v>0.5</v>
      </c>
      <c r="F12" s="258" t="s">
        <v>100</v>
      </c>
      <c r="G12" s="397">
        <v>0</v>
      </c>
      <c r="H12" s="267">
        <f>(G12/$G$29)</f>
        <v>0</v>
      </c>
      <c r="I12" s="266">
        <f>H12*100</f>
        <v>0</v>
      </c>
      <c r="J12" s="269">
        <f>Ostia!$I$22</f>
        <v>0.25862424662605926</v>
      </c>
      <c r="K12" s="270">
        <f>$D$5*J12</f>
        <v>4.6683077008313951</v>
      </c>
      <c r="L12" s="302">
        <f t="shared" ref="L12:L28" si="0">(K12/$D$5)*100</f>
        <v>25.862424662605925</v>
      </c>
      <c r="M12" s="303">
        <f t="shared" ref="M12:M28" si="1">ExCurrentFlowRate/AtriumArea/(L12/100)</f>
        <v>1.1074549650029442E-3</v>
      </c>
      <c r="N12" s="303">
        <f t="shared" ref="N12:N28" si="2">M12*PI()*(C12/2/1000000)^2</f>
        <v>1.3147954225796045E-14</v>
      </c>
      <c r="O12" s="314">
        <f t="shared" ref="O12:O28" si="3">128*N12*Viscosity*E12/1000000/(PI()*(C12/1000000)^4)</f>
        <v>1.7348644391980796</v>
      </c>
      <c r="P12" s="266">
        <f t="shared" ref="P12:P28" si="4">1000000*O12/gamma</f>
        <v>172.53319800085325</v>
      </c>
      <c r="Q12" s="402">
        <f>P12/$P$31</f>
        <v>8.3140428268636282E-2</v>
      </c>
      <c r="R12" s="403">
        <f>P31-P12</f>
        <v>1902.6689821392183</v>
      </c>
    </row>
    <row r="13" spans="1:28" ht="14.25">
      <c r="A13" s="328" t="str">
        <f>'Comparison table for paper'!B17</f>
        <v>Subdermal spaces</v>
      </c>
      <c r="B13" s="246" t="s">
        <v>360</v>
      </c>
      <c r="C13" s="264">
        <f>'Subdermal space'!C8</f>
        <v>90</v>
      </c>
      <c r="D13" s="265" t="s">
        <v>101</v>
      </c>
      <c r="E13" s="257">
        <f>'Subdermal space'!B8</f>
        <v>82.47</v>
      </c>
      <c r="F13" s="258" t="s">
        <v>102</v>
      </c>
      <c r="G13" s="397">
        <f>E12</f>
        <v>0.5</v>
      </c>
      <c r="H13" s="267">
        <f t="shared" ref="H13:H30" si="5">(G13/$G$29)</f>
        <v>8.4627544544213217E-5</v>
      </c>
      <c r="I13" s="266">
        <f t="shared" ref="I13:I30" si="6">H13*100</f>
        <v>8.4627544544213212E-3</v>
      </c>
      <c r="J13" s="269">
        <f>'Subdermal space'!$I$16</f>
        <v>0.92773995849848556</v>
      </c>
      <c r="K13" s="270">
        <f>$D$5*J13</f>
        <v>16.74620863715678</v>
      </c>
      <c r="L13" s="302">
        <f t="shared" si="0"/>
        <v>92.773995849848561</v>
      </c>
      <c r="M13" s="303">
        <f t="shared" si="1"/>
        <v>3.0872304612138016E-4</v>
      </c>
      <c r="N13" s="303">
        <f t="shared" si="2"/>
        <v>1.9640111587198017E-12</v>
      </c>
      <c r="O13" s="314">
        <f t="shared" si="3"/>
        <v>0.148864697790312</v>
      </c>
      <c r="P13" s="266">
        <f t="shared" si="4"/>
        <v>14.804673955427463</v>
      </c>
      <c r="Q13" s="404">
        <f t="shared" ref="Q13:Q28" si="7">P13/$P$31</f>
        <v>7.1340875106579637E-3</v>
      </c>
      <c r="R13" s="403">
        <f>R12-P13</f>
        <v>1887.8643081837909</v>
      </c>
      <c r="Y13" s="272"/>
      <c r="Z13" s="273"/>
      <c r="AA13" s="274"/>
      <c r="AB13" s="275"/>
    </row>
    <row r="14" spans="1:28" ht="14.25">
      <c r="A14" s="328" t="str">
        <f>'Comparison table for paper'!B18</f>
        <v>Apertures of Inhalent canals</v>
      </c>
      <c r="B14" s="218" t="s">
        <v>361</v>
      </c>
      <c r="C14" s="264">
        <f>'incurrent canals'!B13</f>
        <v>365.56999999999994</v>
      </c>
      <c r="D14" s="265" t="s">
        <v>103</v>
      </c>
      <c r="E14" s="276">
        <v>2000</v>
      </c>
      <c r="F14" s="277" t="s">
        <v>104</v>
      </c>
      <c r="G14" s="397">
        <f>G13+E13</f>
        <v>82.97</v>
      </c>
      <c r="H14" s="267">
        <f t="shared" si="5"/>
        <v>1.4043094741666741E-2</v>
      </c>
      <c r="I14" s="266">
        <f t="shared" si="6"/>
        <v>1.4043094741666742</v>
      </c>
      <c r="J14" s="269">
        <f>'incurrent canals'!$H$13</f>
        <v>0.17116292933983332</v>
      </c>
      <c r="K14" s="270">
        <f>$D$5*J14</f>
        <v>3.0895835620908541</v>
      </c>
      <c r="L14" s="302">
        <f t="shared" si="0"/>
        <v>17.116292933983331</v>
      </c>
      <c r="M14" s="303">
        <f t="shared" si="1"/>
        <v>1.6733454323366759E-3</v>
      </c>
      <c r="N14" s="303">
        <f t="shared" si="2"/>
        <v>1.7563723091391662E-10</v>
      </c>
      <c r="O14" s="314">
        <f t="shared" si="3"/>
        <v>1.1860041111469022</v>
      </c>
      <c r="P14" s="266">
        <f t="shared" si="4"/>
        <v>117.94874430241936</v>
      </c>
      <c r="Q14" s="404">
        <f t="shared" si="7"/>
        <v>5.6837230334086331E-2</v>
      </c>
      <c r="R14" s="403">
        <f t="shared" ref="R14:R28" si="8">R13-P14</f>
        <v>1769.9155638813716</v>
      </c>
      <c r="Y14" s="272"/>
      <c r="Z14" s="273"/>
      <c r="AA14" s="274"/>
      <c r="AB14" s="275"/>
    </row>
    <row r="15" spans="1:28" ht="15.75">
      <c r="A15" s="328"/>
      <c r="B15" s="218" t="s">
        <v>416</v>
      </c>
      <c r="C15" s="264">
        <f>'incurrent canals'!B30</f>
        <v>182.21499999999997</v>
      </c>
      <c r="D15" s="265" t="s">
        <v>475</v>
      </c>
      <c r="E15" s="264">
        <f>'incurrent canals'!C63</f>
        <v>528.6825</v>
      </c>
      <c r="F15" s="277" t="s">
        <v>471</v>
      </c>
      <c r="G15" s="397">
        <f t="shared" ref="G15:G29" si="9">G14+E14</f>
        <v>2082.9699999999998</v>
      </c>
      <c r="H15" s="267">
        <f>(G15/$G$29)</f>
        <v>0.35255327291851957</v>
      </c>
      <c r="I15" s="266">
        <f>H15*100</f>
        <v>35.255327291851955</v>
      </c>
      <c r="J15" s="269">
        <f>'incurrent canals'!J30</f>
        <v>0.25514561814474568</v>
      </c>
      <c r="K15" s="270">
        <f>$D$5*J15</f>
        <v>4.60551657300985</v>
      </c>
      <c r="L15" s="302">
        <f t="shared" si="0"/>
        <v>25.514561814474568</v>
      </c>
      <c r="M15" s="303">
        <f>ExCurrentFlowRate/AtriumArea/(L15/100)</f>
        <v>1.1225538893389517E-3</v>
      </c>
      <c r="N15" s="303">
        <f t="shared" si="2"/>
        <v>2.9272871818986092E-11</v>
      </c>
      <c r="O15" s="314">
        <f t="shared" si="3"/>
        <v>0.84653628288728511</v>
      </c>
      <c r="P15" s="266">
        <f>1000000*O15/gamma</f>
        <v>84.188486898613675</v>
      </c>
      <c r="Q15" s="404">
        <f t="shared" si="7"/>
        <v>4.056881189905609E-2</v>
      </c>
      <c r="R15" s="403">
        <f t="shared" si="8"/>
        <v>1685.7270769827578</v>
      </c>
      <c r="Y15" s="272"/>
      <c r="Z15" s="273"/>
      <c r="AA15" s="274"/>
      <c r="AB15" s="275"/>
    </row>
    <row r="16" spans="1:28" ht="14.25">
      <c r="A16" s="373"/>
      <c r="B16" s="328" t="s">
        <v>223</v>
      </c>
      <c r="C16" s="264">
        <f>'incurrent canals'!B48</f>
        <v>58.833333333333336</v>
      </c>
      <c r="D16" s="265" t="s">
        <v>470</v>
      </c>
      <c r="E16" s="264">
        <f>'incurrent canals'!C71</f>
        <v>236.6</v>
      </c>
      <c r="F16" s="277" t="s">
        <v>472</v>
      </c>
      <c r="G16" s="397">
        <f t="shared" si="9"/>
        <v>2611.6524999999997</v>
      </c>
      <c r="H16" s="267">
        <f>(G16/$G$29)</f>
        <v>0.44203547655551156</v>
      </c>
      <c r="I16" s="266">
        <f>H16*100</f>
        <v>44.203547655551155</v>
      </c>
      <c r="J16" s="269">
        <f>'incurrent canals'!J48</f>
        <v>0.31918907596303697</v>
      </c>
      <c r="K16" s="270">
        <f>$D$5*J16</f>
        <v>5.7615356672028337</v>
      </c>
      <c r="L16" s="302">
        <f t="shared" si="0"/>
        <v>31.918907596303697</v>
      </c>
      <c r="M16" s="303">
        <f>ExCurrentFlowRate/AtriumArea/(L16/100)</f>
        <v>8.9731988832018471E-4</v>
      </c>
      <c r="N16" s="303">
        <f t="shared" si="2"/>
        <v>2.4394059849155086E-12</v>
      </c>
      <c r="O16" s="314">
        <f t="shared" si="3"/>
        <v>2.9048707771718294</v>
      </c>
      <c r="P16" s="266">
        <f>1000000*O16/gamma</f>
        <v>288.8909551897595</v>
      </c>
      <c r="Q16" s="404">
        <f t="shared" si="7"/>
        <v>0.13921099252616437</v>
      </c>
      <c r="R16" s="403">
        <f t="shared" si="8"/>
        <v>1396.8361217929983</v>
      </c>
      <c r="Y16" s="272"/>
      <c r="Z16" s="273"/>
      <c r="AA16" s="274"/>
      <c r="AB16" s="275"/>
    </row>
    <row r="17" spans="1:30" ht="14.25" customHeight="1">
      <c r="A17" s="328" t="str">
        <f>'Comparison table for paper'!B19</f>
        <v>Prosopyles</v>
      </c>
      <c r="B17" s="247" t="s">
        <v>368</v>
      </c>
      <c r="C17" s="278">
        <f>prosopyle!B34</f>
        <v>2.1482265858213245</v>
      </c>
      <c r="D17" s="279" t="s">
        <v>105</v>
      </c>
      <c r="E17" s="280">
        <f>prosopyle!B3</f>
        <v>0.5</v>
      </c>
      <c r="F17" s="281" t="s">
        <v>106</v>
      </c>
      <c r="G17" s="397">
        <f t="shared" si="9"/>
        <v>2848.2524999999996</v>
      </c>
      <c r="H17" s="267">
        <f t="shared" si="5"/>
        <v>0.48208123063383324</v>
      </c>
      <c r="I17" s="266">
        <f t="shared" si="6"/>
        <v>48.208123063383326</v>
      </c>
      <c r="J17" s="269">
        <f>prosopyle!$E$51</f>
        <v>2.7506314646668373</v>
      </c>
      <c r="K17" s="270">
        <f>(J17*100)</f>
        <v>275.06314646668375</v>
      </c>
      <c r="L17" s="302">
        <f t="shared" si="0"/>
        <v>1523.849831425428</v>
      </c>
      <c r="M17" s="303">
        <f t="shared" si="1"/>
        <v>1.8795467905670168E-5</v>
      </c>
      <c r="N17" s="303">
        <f t="shared" si="2"/>
        <v>6.812447949989626E-17</v>
      </c>
      <c r="O17" s="314">
        <f t="shared" si="3"/>
        <v>9.6443878190786203E-2</v>
      </c>
      <c r="P17" s="266">
        <f t="shared" si="4"/>
        <v>9.5913953597161878</v>
      </c>
      <c r="Q17" s="404">
        <f t="shared" si="7"/>
        <v>4.6219088682090681E-3</v>
      </c>
      <c r="R17" s="403">
        <f t="shared" si="8"/>
        <v>1387.244726433282</v>
      </c>
      <c r="Y17" s="272"/>
      <c r="Z17" s="273"/>
      <c r="AA17" s="274"/>
      <c r="AB17" s="275"/>
    </row>
    <row r="18" spans="1:30" ht="14.25" customHeight="1">
      <c r="A18" s="328" t="str">
        <f>'Comparison table for paper'!B20</f>
        <v>Pre-collar slit</v>
      </c>
      <c r="B18" s="247" t="s">
        <v>355</v>
      </c>
      <c r="C18" s="278">
        <f>'collars '!B44</f>
        <v>2</v>
      </c>
      <c r="D18" s="279" t="s">
        <v>107</v>
      </c>
      <c r="E18" s="280">
        <f>'collars '!C44</f>
        <v>1.65</v>
      </c>
      <c r="F18" s="281" t="s">
        <v>108</v>
      </c>
      <c r="G18" s="397">
        <f t="shared" si="9"/>
        <v>2848.7524999999996</v>
      </c>
      <c r="H18" s="267">
        <f t="shared" si="5"/>
        <v>0.48216585817837743</v>
      </c>
      <c r="I18" s="266">
        <f t="shared" si="6"/>
        <v>48.216585817837739</v>
      </c>
      <c r="J18" s="269">
        <f>'collars '!$G$44</f>
        <v>1.609844768035297</v>
      </c>
      <c r="K18" s="270">
        <f t="shared" ref="K18:K25" si="10">(J18*100)</f>
        <v>160.9844768035297</v>
      </c>
      <c r="L18" s="302">
        <f t="shared" si="0"/>
        <v>891.85400149155441</v>
      </c>
      <c r="M18" s="303">
        <f t="shared" si="1"/>
        <v>3.2114528332795459E-5</v>
      </c>
      <c r="N18" s="303">
        <f t="shared" si="2"/>
        <v>1.0089076628381149E-16</v>
      </c>
      <c r="O18" s="314">
        <f t="shared" si="3"/>
        <v>0.62738942550949217</v>
      </c>
      <c r="P18" s="266">
        <f t="shared" si="4"/>
        <v>62.394214515749702</v>
      </c>
      <c r="Q18" s="404">
        <f t="shared" si="7"/>
        <v>3.0066571398618246E-2</v>
      </c>
      <c r="R18" s="403">
        <f t="shared" si="8"/>
        <v>1324.8505119175322</v>
      </c>
      <c r="Y18" s="272"/>
      <c r="Z18" s="273"/>
      <c r="AA18" s="274"/>
      <c r="AB18" s="275"/>
    </row>
    <row r="19" spans="1:30" ht="14.25">
      <c r="A19" s="328" t="str">
        <f>'Comparison table for paper'!B21</f>
        <v xml:space="preserve">Glycocalyx mesh </v>
      </c>
      <c r="B19" s="176" t="s">
        <v>362</v>
      </c>
      <c r="C19" s="282">
        <v>4.4999999999999998E-2</v>
      </c>
      <c r="D19" s="279" t="s">
        <v>109</v>
      </c>
      <c r="E19" s="280">
        <f>'collars '!B34</f>
        <v>9.4999999999999998E-3</v>
      </c>
      <c r="F19" s="281" t="s">
        <v>110</v>
      </c>
      <c r="G19" s="397">
        <f t="shared" si="9"/>
        <v>2850.4024999999997</v>
      </c>
      <c r="H19" s="267">
        <f t="shared" si="5"/>
        <v>0.48244512907537335</v>
      </c>
      <c r="I19" s="266">
        <f t="shared" si="6"/>
        <v>48.244512907537334</v>
      </c>
      <c r="J19" s="269">
        <f>'collars '!$L$28</f>
        <v>2.5133091651266217</v>
      </c>
      <c r="K19" s="270">
        <f t="shared" si="10"/>
        <v>251.33091651266218</v>
      </c>
      <c r="L19" s="302">
        <f t="shared" si="0"/>
        <v>1392.3732774801485</v>
      </c>
      <c r="M19" s="303">
        <f t="shared" si="1"/>
        <v>2.057025300819584E-5</v>
      </c>
      <c r="N19" s="303">
        <f t="shared" si="2"/>
        <v>3.2715573839847141E-20</v>
      </c>
      <c r="O19" s="314">
        <f t="shared" si="3"/>
        <v>4.5703546831839361</v>
      </c>
      <c r="P19" s="266">
        <f t="shared" si="4"/>
        <v>454.52422199188845</v>
      </c>
      <c r="Q19" s="404">
        <f t="shared" si="7"/>
        <v>0.21902647671717898</v>
      </c>
      <c r="R19" s="403">
        <f t="shared" si="8"/>
        <v>870.32628992564378</v>
      </c>
      <c r="Y19" s="272"/>
      <c r="Z19" s="273"/>
      <c r="AA19" s="274"/>
      <c r="AB19" s="275"/>
    </row>
    <row r="20" spans="1:30" ht="14.25">
      <c r="A20" s="328" t="str">
        <f>'Comparison table for paper'!B22</f>
        <v>Collar slits</v>
      </c>
      <c r="B20" s="246" t="s">
        <v>363</v>
      </c>
      <c r="C20" s="230">
        <f>'collars '!D25</f>
        <v>0.11857142857142856</v>
      </c>
      <c r="D20" s="149" t="s">
        <v>111</v>
      </c>
      <c r="E20" s="147">
        <f>'collars '!C25</f>
        <v>7.0000000000000007E-2</v>
      </c>
      <c r="F20" s="150" t="s">
        <v>112</v>
      </c>
      <c r="G20" s="397">
        <f t="shared" si="9"/>
        <v>2850.4119999999998</v>
      </c>
      <c r="H20" s="267">
        <f t="shared" si="5"/>
        <v>0.48244673699871971</v>
      </c>
      <c r="I20" s="266">
        <f t="shared" si="6"/>
        <v>48.244673699871967</v>
      </c>
      <c r="J20" s="269">
        <f>'collars '!$L$25</f>
        <v>7.2195660635325174</v>
      </c>
      <c r="K20" s="270">
        <f t="shared" si="10"/>
        <v>721.95660635325169</v>
      </c>
      <c r="L20" s="302">
        <f t="shared" si="0"/>
        <v>3999.6395991970139</v>
      </c>
      <c r="M20" s="303">
        <f t="shared" si="1"/>
        <v>7.16101285860049E-6</v>
      </c>
      <c r="N20" s="303">
        <f t="shared" si="2"/>
        <v>7.9072312420269378E-20</v>
      </c>
      <c r="O20" s="314">
        <f t="shared" si="3"/>
        <v>1.6885894928331913</v>
      </c>
      <c r="P20" s="266">
        <f t="shared" si="4"/>
        <v>167.93112979122262</v>
      </c>
      <c r="Q20" s="404">
        <f t="shared" si="7"/>
        <v>8.09227801504563E-2</v>
      </c>
      <c r="R20" s="403">
        <f t="shared" si="8"/>
        <v>702.39516013442119</v>
      </c>
      <c r="S20" s="248"/>
      <c r="T20" s="248"/>
      <c r="U20" s="248"/>
      <c r="Y20" s="272"/>
      <c r="Z20" s="273"/>
      <c r="AA20" s="274"/>
      <c r="AB20" s="275"/>
    </row>
    <row r="21" spans="1:30" ht="14.25">
      <c r="A21" s="328" t="str">
        <f>'Comparison table for paper'!B23</f>
        <v xml:space="preserve">Glycocalyx mesh </v>
      </c>
      <c r="B21" s="176" t="s">
        <v>362</v>
      </c>
      <c r="C21" s="282">
        <v>4.4999999999999998E-2</v>
      </c>
      <c r="D21" s="279" t="s">
        <v>109</v>
      </c>
      <c r="E21" s="280">
        <f>'collars '!B34</f>
        <v>9.4999999999999998E-3</v>
      </c>
      <c r="F21" s="281" t="s">
        <v>110</v>
      </c>
      <c r="G21" s="397">
        <f t="shared" si="9"/>
        <v>2850.482</v>
      </c>
      <c r="H21" s="267">
        <f t="shared" si="5"/>
        <v>0.48245858485495596</v>
      </c>
      <c r="I21" s="266">
        <f t="shared" si="6"/>
        <v>48.245858485495596</v>
      </c>
      <c r="J21" s="283">
        <f>'collars '!$L$28</f>
        <v>2.5133091651266217</v>
      </c>
      <c r="K21" s="270">
        <f t="shared" si="10"/>
        <v>251.33091651266218</v>
      </c>
      <c r="L21" s="302">
        <f t="shared" si="0"/>
        <v>1392.3732774801485</v>
      </c>
      <c r="M21" s="303">
        <f t="shared" si="1"/>
        <v>2.057025300819584E-5</v>
      </c>
      <c r="N21" s="303">
        <f t="shared" si="2"/>
        <v>3.2715573839847141E-20</v>
      </c>
      <c r="O21" s="314">
        <f t="shared" si="3"/>
        <v>4.5703546831839361</v>
      </c>
      <c r="P21" s="266">
        <f t="shared" si="4"/>
        <v>454.52422199188845</v>
      </c>
      <c r="Q21" s="404">
        <f t="shared" si="7"/>
        <v>0.21902647671717898</v>
      </c>
      <c r="R21" s="403">
        <f t="shared" si="8"/>
        <v>247.87093814253274</v>
      </c>
      <c r="Y21" s="272"/>
      <c r="Z21" s="273"/>
      <c r="AA21" s="274"/>
      <c r="AB21" s="275"/>
      <c r="AD21" s="284"/>
    </row>
    <row r="22" spans="1:30" s="248" customFormat="1" ht="14.25">
      <c r="A22" s="328" t="str">
        <f>'Comparison table for paper'!B24</f>
        <v>Post-collar slit</v>
      </c>
      <c r="B22" s="248" t="s">
        <v>356</v>
      </c>
      <c r="C22" s="285">
        <f>'collars '!B44</f>
        <v>2</v>
      </c>
      <c r="D22" s="286" t="s">
        <v>107</v>
      </c>
      <c r="E22" s="287">
        <f>'collars '!C44</f>
        <v>1.65</v>
      </c>
      <c r="F22" s="288" t="s">
        <v>108</v>
      </c>
      <c r="G22" s="397">
        <f t="shared" si="9"/>
        <v>2850.4915000000001</v>
      </c>
      <c r="H22" s="267">
        <f t="shared" si="5"/>
        <v>0.48246019277830232</v>
      </c>
      <c r="I22" s="266">
        <f t="shared" si="6"/>
        <v>48.246019277830229</v>
      </c>
      <c r="J22" s="289">
        <f>'collars '!$G$44</f>
        <v>1.609844768035297</v>
      </c>
      <c r="K22" s="270">
        <f t="shared" si="10"/>
        <v>160.9844768035297</v>
      </c>
      <c r="L22" s="302">
        <f t="shared" si="0"/>
        <v>891.85400149155441</v>
      </c>
      <c r="M22" s="303">
        <f t="shared" si="1"/>
        <v>3.2114528332795459E-5</v>
      </c>
      <c r="N22" s="303">
        <f t="shared" si="2"/>
        <v>1.0089076628381149E-16</v>
      </c>
      <c r="O22" s="314">
        <f t="shared" si="3"/>
        <v>0.62738942550949217</v>
      </c>
      <c r="P22" s="266">
        <f t="shared" si="4"/>
        <v>62.394214515749702</v>
      </c>
      <c r="Q22" s="404">
        <f t="shared" si="7"/>
        <v>3.0066571398618246E-2</v>
      </c>
      <c r="R22" s="403">
        <f t="shared" si="8"/>
        <v>185.47672362678304</v>
      </c>
      <c r="S22" s="218"/>
      <c r="T22" s="218"/>
      <c r="U22" s="218"/>
      <c r="Y22" s="272"/>
      <c r="Z22" s="273"/>
      <c r="AA22" s="274"/>
      <c r="AB22" s="275"/>
      <c r="AD22" s="284"/>
    </row>
    <row r="23" spans="1:30" ht="14.25">
      <c r="A23" s="328" t="str">
        <f>'Comparison table for paper'!B25</f>
        <v>Collar apertures (2 retic AV)</v>
      </c>
      <c r="B23" s="246" t="s">
        <v>364</v>
      </c>
      <c r="C23" s="278">
        <v>2</v>
      </c>
      <c r="D23" s="279" t="s">
        <v>113</v>
      </c>
      <c r="E23" s="280">
        <f>prosopyle!B3</f>
        <v>0.5</v>
      </c>
      <c r="F23" s="281" t="s">
        <v>114</v>
      </c>
      <c r="G23" s="397">
        <f t="shared" si="9"/>
        <v>2852.1415000000002</v>
      </c>
      <c r="H23" s="267">
        <f t="shared" si="5"/>
        <v>0.48273946367529824</v>
      </c>
      <c r="I23" s="266">
        <f t="shared" si="6"/>
        <v>48.273946367529824</v>
      </c>
      <c r="J23" s="290">
        <f>'collars '!$S$25</f>
        <v>4.010226371080833</v>
      </c>
      <c r="K23" s="270">
        <f t="shared" si="10"/>
        <v>401.0226371080833</v>
      </c>
      <c r="L23" s="302">
        <f t="shared" si="0"/>
        <v>2221.6654095787812</v>
      </c>
      <c r="M23" s="303">
        <f t="shared" si="1"/>
        <v>1.2891892035645383E-5</v>
      </c>
      <c r="N23" s="303">
        <f t="shared" si="2"/>
        <v>4.05010733100563E-17</v>
      </c>
      <c r="O23" s="314">
        <f t="shared" si="3"/>
        <v>7.6320000851020683E-2</v>
      </c>
      <c r="P23" s="266">
        <f t="shared" si="4"/>
        <v>7.5900649761090655</v>
      </c>
      <c r="Q23" s="404">
        <f t="shared" si="7"/>
        <v>3.6575062655325244E-3</v>
      </c>
      <c r="R23" s="403">
        <f t="shared" si="8"/>
        <v>177.88665865067398</v>
      </c>
      <c r="Y23" s="272"/>
      <c r="Z23" s="273"/>
      <c r="AA23" s="274"/>
      <c r="AB23" s="275"/>
      <c r="AD23" s="284"/>
    </row>
    <row r="24" spans="1:30" ht="14.25">
      <c r="A24" s="328" t="str">
        <f>'Comparison table for paper'!B26</f>
        <v>Chamber</v>
      </c>
      <c r="B24" s="246" t="s">
        <v>365</v>
      </c>
      <c r="C24" s="278">
        <f>'Flagellated chambers'!E10</f>
        <v>56.027845995869619</v>
      </c>
      <c r="D24" s="279" t="s">
        <v>115</v>
      </c>
      <c r="E24" s="278">
        <f>'Flagellated chambers'!E10</f>
        <v>56.027845995869619</v>
      </c>
      <c r="F24" s="281" t="s">
        <v>116</v>
      </c>
      <c r="G24" s="397">
        <f t="shared" si="9"/>
        <v>2852.6415000000002</v>
      </c>
      <c r="H24" s="267">
        <f t="shared" si="5"/>
        <v>0.48282409121984243</v>
      </c>
      <c r="I24" s="266">
        <f t="shared" si="6"/>
        <v>48.282409121984244</v>
      </c>
      <c r="J24" s="269">
        <f>'Flagellated chambers'!K10</f>
        <v>4.3925029124997206</v>
      </c>
      <c r="K24" s="270">
        <f t="shared" si="10"/>
        <v>439.25029124997207</v>
      </c>
      <c r="L24" s="302">
        <f t="shared" si="0"/>
        <v>2433.4466135248454</v>
      </c>
      <c r="M24" s="303">
        <f t="shared" si="1"/>
        <v>1.1769919438721683E-5</v>
      </c>
      <c r="N24" s="303">
        <f t="shared" si="2"/>
        <v>2.9018250409627636E-14</v>
      </c>
      <c r="O24" s="314">
        <f t="shared" si="3"/>
        <v>9.9490418507067382E-3</v>
      </c>
      <c r="P24" s="266">
        <f t="shared" si="4"/>
        <v>0.98943754264754624</v>
      </c>
      <c r="Q24" s="404">
        <f t="shared" si="7"/>
        <v>4.7679091325008216E-4</v>
      </c>
      <c r="R24" s="403">
        <f t="shared" si="8"/>
        <v>176.89722110802643</v>
      </c>
      <c r="Y24" s="272"/>
      <c r="Z24" s="273"/>
      <c r="AA24" s="274"/>
      <c r="AB24" s="275"/>
      <c r="AD24" s="284"/>
    </row>
    <row r="25" spans="1:30" ht="14.25">
      <c r="A25" s="328" t="str">
        <f>'Comparison table for paper'!B27</f>
        <v>Apopyles</v>
      </c>
      <c r="B25" s="246" t="s">
        <v>369</v>
      </c>
      <c r="C25" s="278">
        <f>'Flagellated chambers'!E26</f>
        <v>26.370000000000005</v>
      </c>
      <c r="D25" s="279" t="s">
        <v>117</v>
      </c>
      <c r="E25" s="280">
        <v>2</v>
      </c>
      <c r="F25" s="281" t="s">
        <v>118</v>
      </c>
      <c r="G25" s="397">
        <f t="shared" si="9"/>
        <v>2908.6693459958697</v>
      </c>
      <c r="H25" s="267">
        <f t="shared" si="5"/>
        <v>0.49230708928530598</v>
      </c>
      <c r="I25" s="266">
        <f t="shared" si="6"/>
        <v>49.230708928530596</v>
      </c>
      <c r="J25" s="269">
        <f>'Flagellated chambers'!K26</f>
        <v>2.0427982377908287</v>
      </c>
      <c r="K25" s="270">
        <f t="shared" si="10"/>
        <v>204.27982377908288</v>
      </c>
      <c r="L25" s="302">
        <f t="shared" si="0"/>
        <v>1131.7102237361191</v>
      </c>
      <c r="M25" s="303">
        <f t="shared" si="1"/>
        <v>2.5308131002884588E-5</v>
      </c>
      <c r="N25" s="303">
        <f t="shared" si="2"/>
        <v>1.3821978554114385E-14</v>
      </c>
      <c r="O25" s="314">
        <f t="shared" si="3"/>
        <v>3.4473192431230142E-3</v>
      </c>
      <c r="P25" s="266">
        <f t="shared" si="4"/>
        <v>0.34283774576693909</v>
      </c>
      <c r="Q25" s="404">
        <f t="shared" si="7"/>
        <v>1.6520691287236328E-4</v>
      </c>
      <c r="R25" s="403">
        <f t="shared" si="8"/>
        <v>176.5543833622595</v>
      </c>
      <c r="Y25" s="272"/>
      <c r="Z25" s="273"/>
      <c r="AA25" s="274"/>
      <c r="AB25" s="275"/>
      <c r="AD25" s="284"/>
    </row>
    <row r="26" spans="1:30" ht="14.25">
      <c r="A26" s="373"/>
      <c r="B26" s="328" t="s">
        <v>155</v>
      </c>
      <c r="C26" s="264">
        <f>'excurrent canals'!B9</f>
        <v>218</v>
      </c>
      <c r="D26" s="265" t="s">
        <v>474</v>
      </c>
      <c r="E26" s="264">
        <f>'excurrent canals'!K10</f>
        <v>117.57249999999999</v>
      </c>
      <c r="F26" s="277" t="s">
        <v>473</v>
      </c>
      <c r="G26" s="397">
        <f t="shared" si="9"/>
        <v>2910.6693459958697</v>
      </c>
      <c r="H26" s="267">
        <f>(G26/$G$29)</f>
        <v>0.4926455994634828</v>
      </c>
      <c r="I26" s="266">
        <f>H26*100</f>
        <v>49.264559946348278</v>
      </c>
      <c r="J26" s="269">
        <f>'excurrent canals'!I9</f>
        <v>6.086695843023926E-2</v>
      </c>
      <c r="K26" s="270">
        <f>$D$5*J26</f>
        <v>1.0986815601126221</v>
      </c>
      <c r="L26" s="302">
        <f t="shared" si="0"/>
        <v>6.086695843023926</v>
      </c>
      <c r="M26" s="303">
        <f t="shared" si="1"/>
        <v>4.7055859760832385E-3</v>
      </c>
      <c r="N26" s="303">
        <f t="shared" si="2"/>
        <v>1.7563723091391662E-10</v>
      </c>
      <c r="O26" s="314">
        <f t="shared" si="3"/>
        <v>0.55133831200478667</v>
      </c>
      <c r="P26" s="266">
        <f t="shared" si="4"/>
        <v>54.830890530298767</v>
      </c>
      <c r="Q26" s="404">
        <f t="shared" si="7"/>
        <v>2.6421951101939282E-2</v>
      </c>
      <c r="R26" s="403">
        <f t="shared" si="8"/>
        <v>121.72349283196073</v>
      </c>
      <c r="Y26" s="272"/>
      <c r="Z26" s="273"/>
      <c r="AA26" s="274"/>
      <c r="AB26" s="275"/>
    </row>
    <row r="27" spans="1:30" ht="14.25">
      <c r="A27" s="328" t="str">
        <f>'Comparison table for paper'!B28</f>
        <v>Apertures of exhalent canals</v>
      </c>
      <c r="B27" s="246" t="s">
        <v>366</v>
      </c>
      <c r="C27" s="266">
        <f>'excurrent canals'!B13</f>
        <v>405</v>
      </c>
      <c r="D27" s="265" t="s">
        <v>119</v>
      </c>
      <c r="E27" s="257">
        <v>2840</v>
      </c>
      <c r="F27" s="277" t="s">
        <v>120</v>
      </c>
      <c r="G27" s="397">
        <f t="shared" si="9"/>
        <v>3028.2418459958699</v>
      </c>
      <c r="H27" s="267">
        <f t="shared" si="5"/>
        <v>0.51254534342533187</v>
      </c>
      <c r="I27" s="266">
        <f t="shared" si="6"/>
        <v>51.254534342533184</v>
      </c>
      <c r="J27" s="269">
        <f>'excurrent canals'!I13</f>
        <v>0.21007707382627713</v>
      </c>
      <c r="K27" s="270">
        <f>J27*D5</f>
        <v>3.7920049427125839</v>
      </c>
      <c r="L27" s="302">
        <f t="shared" si="0"/>
        <v>21.007707382627714</v>
      </c>
      <c r="M27" s="303">
        <f t="shared" si="1"/>
        <v>1.3633791673670465E-3</v>
      </c>
      <c r="N27" s="303">
        <f t="shared" si="2"/>
        <v>1.7563723091391657E-10</v>
      </c>
      <c r="O27" s="314">
        <f t="shared" si="3"/>
        <v>1.1179867100799847</v>
      </c>
      <c r="P27" s="266">
        <f t="shared" si="4"/>
        <v>111.18437732328731</v>
      </c>
      <c r="Q27" s="404">
        <f t="shared" si="7"/>
        <v>5.35776120453876E-2</v>
      </c>
      <c r="R27" s="403">
        <f t="shared" si="8"/>
        <v>10.539115508673419</v>
      </c>
      <c r="Y27" s="272"/>
      <c r="Z27" s="273"/>
      <c r="AA27" s="274"/>
      <c r="AB27" s="275"/>
      <c r="AD27" s="284"/>
    </row>
    <row r="28" spans="1:30" ht="14.25">
      <c r="A28" s="328" t="str">
        <f>'Comparison table for paper'!B29</f>
        <v>Atrial subdermal space (AV)</v>
      </c>
      <c r="B28" s="246" t="s">
        <v>357</v>
      </c>
      <c r="C28" s="266">
        <v>80</v>
      </c>
      <c r="D28" s="265" t="s">
        <v>121</v>
      </c>
      <c r="E28" s="257">
        <v>40</v>
      </c>
      <c r="F28" s="277" t="s">
        <v>122</v>
      </c>
      <c r="G28" s="397">
        <f t="shared" si="9"/>
        <v>5868.2418459958699</v>
      </c>
      <c r="H28" s="267">
        <f t="shared" si="5"/>
        <v>0.99322979643646292</v>
      </c>
      <c r="I28" s="266">
        <f t="shared" si="6"/>
        <v>99.322979643646292</v>
      </c>
      <c r="J28" s="269">
        <v>0.8</v>
      </c>
      <c r="K28" s="270">
        <f>J28*D5</f>
        <v>14.440433212996391</v>
      </c>
      <c r="L28" s="302">
        <f t="shared" si="0"/>
        <v>80</v>
      </c>
      <c r="M28" s="303">
        <f t="shared" si="1"/>
        <v>3.5801838249521908E-4</v>
      </c>
      <c r="N28" s="303">
        <f t="shared" si="2"/>
        <v>1.7995966724753297E-12</v>
      </c>
      <c r="O28" s="314">
        <f t="shared" si="3"/>
        <v>0.10597344121858482</v>
      </c>
      <c r="P28" s="266">
        <f t="shared" si="4"/>
        <v>10.539115508673063</v>
      </c>
      <c r="Q28" s="404">
        <f t="shared" si="7"/>
        <v>5.0785969721570436E-3</v>
      </c>
      <c r="R28" s="403">
        <f t="shared" si="8"/>
        <v>3.5527136788005009E-13</v>
      </c>
      <c r="Y28" s="272"/>
      <c r="Z28" s="273"/>
      <c r="AA28" s="274"/>
      <c r="AB28" s="275"/>
      <c r="AD28" s="284"/>
    </row>
    <row r="29" spans="1:30" ht="14.25">
      <c r="A29" s="328"/>
      <c r="B29" s="246" t="s">
        <v>358</v>
      </c>
      <c r="C29" s="268">
        <v>62000</v>
      </c>
      <c r="D29" s="291"/>
      <c r="E29" s="257">
        <v>279000</v>
      </c>
      <c r="F29" s="258"/>
      <c r="G29" s="397">
        <f t="shared" si="9"/>
        <v>5908.2418459958699</v>
      </c>
      <c r="H29" s="267">
        <f t="shared" si="5"/>
        <v>1</v>
      </c>
      <c r="I29" s="266">
        <f t="shared" si="6"/>
        <v>100</v>
      </c>
      <c r="J29" s="292"/>
      <c r="K29" s="293"/>
      <c r="M29" s="263"/>
      <c r="N29" s="268"/>
      <c r="R29" s="271"/>
      <c r="Y29" s="272"/>
      <c r="Z29" s="273"/>
      <c r="AA29" s="274"/>
      <c r="AB29" s="275"/>
      <c r="AD29" s="284"/>
    </row>
    <row r="30" spans="1:30" ht="14.25">
      <c r="A30" s="328" t="str">
        <f>'Comparison table for paper'!B31</f>
        <v>Osculum</v>
      </c>
      <c r="B30" s="246" t="s">
        <v>190</v>
      </c>
      <c r="C30" s="294">
        <f>10000*'Sup. Table 2. Sponge sizes'!E17</f>
        <v>44733.679854839022</v>
      </c>
      <c r="D30" s="291" t="s">
        <v>123</v>
      </c>
      <c r="E30" s="257">
        <v>500</v>
      </c>
      <c r="F30" s="277" t="s">
        <v>124</v>
      </c>
      <c r="G30" s="266">
        <f>G29+E29</f>
        <v>284908.24184599589</v>
      </c>
      <c r="H30" s="267">
        <f t="shared" si="5"/>
        <v>48.222169855670977</v>
      </c>
      <c r="I30" s="266">
        <f t="shared" si="6"/>
        <v>4822.2169855670973</v>
      </c>
      <c r="J30" s="414">
        <f>PI()*(C30/1000/2)^2/(304000/5.5)</f>
        <v>2.8434672977959635E-2</v>
      </c>
      <c r="K30" s="415">
        <f>J30*D5</f>
        <v>0.51326124508952409</v>
      </c>
      <c r="L30" s="416">
        <f>(K30/$D$5)*100</f>
        <v>2.8434672977959634</v>
      </c>
      <c r="M30" s="263"/>
      <c r="N30" s="268"/>
      <c r="R30" s="271"/>
      <c r="AD30" s="284"/>
    </row>
    <row r="31" spans="1:30" ht="15">
      <c r="A31" s="328"/>
      <c r="C31" s="246" t="s">
        <v>455</v>
      </c>
      <c r="E31" s="295">
        <f>SUM(E12:E28)</f>
        <v>5908.2418459958699</v>
      </c>
      <c r="M31" s="263"/>
      <c r="N31" s="423" t="s">
        <v>412</v>
      </c>
      <c r="O31" s="424">
        <f>SUM(O12:O28)</f>
        <v>20.866676721853448</v>
      </c>
      <c r="P31" s="425">
        <f>SUM(P12:P28)</f>
        <v>2075.2021801400715</v>
      </c>
      <c r="Q31" s="8"/>
      <c r="R31" s="8"/>
      <c r="AD31" s="284"/>
    </row>
    <row r="32" spans="1:30">
      <c r="A32" s="328"/>
      <c r="G32" s="266"/>
      <c r="AD32" s="284"/>
    </row>
    <row r="33" spans="1:30" ht="15" thickBot="1">
      <c r="A33" s="328"/>
      <c r="J33" s="296"/>
      <c r="L33" s="246"/>
      <c r="N33" s="442" t="s">
        <v>468</v>
      </c>
      <c r="O33" s="442">
        <v>20.866676721853448</v>
      </c>
      <c r="P33" s="442" t="s">
        <v>487</v>
      </c>
      <c r="Q33" s="442"/>
      <c r="AD33" s="284"/>
    </row>
    <row r="34" spans="1:30">
      <c r="A34" s="328"/>
      <c r="E34" s="295"/>
      <c r="J34" s="296"/>
      <c r="Q34" s="218"/>
      <c r="R34" s="30"/>
      <c r="AD34" s="284"/>
    </row>
    <row r="35" spans="1:30" ht="55.5" thickBot="1">
      <c r="A35" s="328"/>
      <c r="J35" s="246"/>
      <c r="K35" s="516" t="s">
        <v>506</v>
      </c>
      <c r="M35" s="441" t="s">
        <v>463</v>
      </c>
      <c r="N35" s="441" t="s">
        <v>464</v>
      </c>
      <c r="O35" s="442" t="s">
        <v>468</v>
      </c>
      <c r="P35" s="240" t="s">
        <v>346</v>
      </c>
      <c r="Q35" s="441" t="s">
        <v>465</v>
      </c>
      <c r="R35" s="441" t="s">
        <v>469</v>
      </c>
      <c r="S35" s="516" t="s">
        <v>504</v>
      </c>
      <c r="Z35" s="284"/>
    </row>
    <row r="36" spans="1:30">
      <c r="A36" s="328"/>
      <c r="J36" s="246"/>
      <c r="K36" s="520">
        <f>N36*3600*1000</f>
        <v>0</v>
      </c>
      <c r="M36" s="428">
        <v>0</v>
      </c>
      <c r="N36" s="438">
        <f t="shared" ref="N36:N59" si="11">M36*PI()*(OscDiam/2/100)^2</f>
        <v>0</v>
      </c>
      <c r="O36" s="439">
        <f>$O$33*100*M36</f>
        <v>0</v>
      </c>
      <c r="P36" s="426">
        <f t="shared" ref="P36:P59" si="12">1000*O36/gamma</f>
        <v>0</v>
      </c>
      <c r="Q36" s="428">
        <f t="shared" ref="Q36:Q59" si="13">M36/alfa</f>
        <v>0</v>
      </c>
      <c r="R36" s="440">
        <f t="shared" ref="R36:R59" si="14">1000000*O36*N36</f>
        <v>0</v>
      </c>
      <c r="S36" s="517" t="e">
        <f>R36/N36/1000000</f>
        <v>#DIV/0!</v>
      </c>
    </row>
    <row r="37" spans="1:30">
      <c r="J37" s="246"/>
      <c r="K37" s="520">
        <f t="shared" ref="K37:K59" si="15">N37*3600*1000</f>
        <v>5.6579829285598224</v>
      </c>
      <c r="M37" s="428">
        <v>1E-3</v>
      </c>
      <c r="N37" s="438">
        <f t="shared" si="11"/>
        <v>1.5716619245999508E-6</v>
      </c>
      <c r="O37" s="439">
        <f t="shared" ref="O37:O59" si="16">$O$33*100*M37</f>
        <v>2.0866676721853445</v>
      </c>
      <c r="P37" s="426">
        <f t="shared" si="12"/>
        <v>0.20752021801400708</v>
      </c>
      <c r="Q37" s="428">
        <f t="shared" si="13"/>
        <v>1.1111111111111112E-2</v>
      </c>
      <c r="R37" s="440">
        <f t="shared" si="14"/>
        <v>3.279536129667318</v>
      </c>
      <c r="S37" s="517">
        <f t="shared" ref="S37:S59" si="17">R37/N37/1000000</f>
        <v>2.0866676721853445</v>
      </c>
    </row>
    <row r="38" spans="1:30">
      <c r="J38" s="246"/>
      <c r="K38" s="520">
        <f t="shared" si="15"/>
        <v>11.315965857119645</v>
      </c>
      <c r="M38" s="428">
        <v>2E-3</v>
      </c>
      <c r="N38" s="438">
        <f t="shared" si="11"/>
        <v>3.1433238491999015E-6</v>
      </c>
      <c r="O38" s="439">
        <f t="shared" si="16"/>
        <v>4.1733353443706891</v>
      </c>
      <c r="P38" s="426">
        <f t="shared" si="12"/>
        <v>0.41504043602801416</v>
      </c>
      <c r="Q38" s="428">
        <f t="shared" si="13"/>
        <v>2.2222222222222223E-2</v>
      </c>
      <c r="R38" s="440">
        <f t="shared" si="14"/>
        <v>13.118144518669272</v>
      </c>
      <c r="S38" s="517">
        <f t="shared" si="17"/>
        <v>4.1733353443706891</v>
      </c>
    </row>
    <row r="39" spans="1:30">
      <c r="J39" s="246"/>
      <c r="K39" s="520">
        <f t="shared" si="15"/>
        <v>16.973948785679468</v>
      </c>
      <c r="M39" s="428">
        <v>3.0000000000000001E-3</v>
      </c>
      <c r="N39" s="438">
        <f t="shared" si="11"/>
        <v>4.7149857737998521E-6</v>
      </c>
      <c r="O39" s="439">
        <f t="shared" si="16"/>
        <v>6.2600030165560341</v>
      </c>
      <c r="P39" s="426">
        <f t="shared" si="12"/>
        <v>0.62256065404202121</v>
      </c>
      <c r="Q39" s="428">
        <f t="shared" si="13"/>
        <v>3.3333333333333333E-2</v>
      </c>
      <c r="R39" s="440">
        <f t="shared" si="14"/>
        <v>29.515825167005861</v>
      </c>
      <c r="S39" s="517">
        <f t="shared" si="17"/>
        <v>6.2600030165560341</v>
      </c>
    </row>
    <row r="40" spans="1:30">
      <c r="J40" s="246"/>
      <c r="K40" s="520">
        <f t="shared" si="15"/>
        <v>22.63193171423929</v>
      </c>
      <c r="M40" s="428">
        <v>4.0000000000000001E-3</v>
      </c>
      <c r="N40" s="438">
        <f t="shared" si="11"/>
        <v>6.286647698399803E-6</v>
      </c>
      <c r="O40" s="439">
        <f t="shared" si="16"/>
        <v>8.3466706887413782</v>
      </c>
      <c r="P40" s="426">
        <f t="shared" si="12"/>
        <v>0.83008087205602832</v>
      </c>
      <c r="Q40" s="428">
        <f t="shared" si="13"/>
        <v>4.4444444444444446E-2</v>
      </c>
      <c r="R40" s="440">
        <f t="shared" si="14"/>
        <v>52.472578074677088</v>
      </c>
      <c r="S40" s="517">
        <f t="shared" si="17"/>
        <v>8.3466706887413782</v>
      </c>
    </row>
    <row r="41" spans="1:30">
      <c r="K41" s="520">
        <f t="shared" si="15"/>
        <v>28.289914642799118</v>
      </c>
      <c r="M41" s="428">
        <v>5.0000000000000001E-3</v>
      </c>
      <c r="N41" s="438">
        <f t="shared" si="11"/>
        <v>7.8583096229997549E-6</v>
      </c>
      <c r="O41" s="439">
        <f t="shared" si="16"/>
        <v>10.433338360926724</v>
      </c>
      <c r="P41" s="426">
        <f t="shared" si="12"/>
        <v>1.0376010900700354</v>
      </c>
      <c r="Q41" s="428">
        <f t="shared" si="13"/>
        <v>5.5555555555555559E-2</v>
      </c>
      <c r="R41" s="440">
        <f t="shared" si="14"/>
        <v>81.988403241682974</v>
      </c>
      <c r="S41" s="517">
        <f t="shared" si="17"/>
        <v>10.433338360926726</v>
      </c>
    </row>
    <row r="42" spans="1:30">
      <c r="F42" s="246"/>
      <c r="G42" s="251"/>
      <c r="I42" s="251"/>
      <c r="J42" s="246"/>
      <c r="K42" s="520">
        <f t="shared" si="15"/>
        <v>56.579829285598237</v>
      </c>
      <c r="M42" s="428">
        <v>0.01</v>
      </c>
      <c r="N42" s="438">
        <f t="shared" si="11"/>
        <v>1.571661924599951E-5</v>
      </c>
      <c r="O42" s="439">
        <f t="shared" si="16"/>
        <v>20.866676721853448</v>
      </c>
      <c r="P42" s="426">
        <f t="shared" si="12"/>
        <v>2.0752021801400709</v>
      </c>
      <c r="Q42" s="428">
        <f t="shared" si="13"/>
        <v>0.11111111111111112</v>
      </c>
      <c r="R42" s="440">
        <f t="shared" si="14"/>
        <v>327.9536129667319</v>
      </c>
      <c r="S42" s="517">
        <f t="shared" si="17"/>
        <v>20.866676721853452</v>
      </c>
    </row>
    <row r="43" spans="1:30">
      <c r="F43" s="246"/>
      <c r="G43" s="251"/>
      <c r="I43" s="251"/>
      <c r="J43" s="246"/>
      <c r="K43" s="520">
        <f t="shared" si="15"/>
        <v>84.869743928397327</v>
      </c>
      <c r="M43" s="428">
        <v>1.4999999999999999E-2</v>
      </c>
      <c r="N43" s="438">
        <f t="shared" si="11"/>
        <v>2.357492886899926E-5</v>
      </c>
      <c r="O43" s="439">
        <f t="shared" si="16"/>
        <v>31.300015082780167</v>
      </c>
      <c r="P43" s="426">
        <f t="shared" si="12"/>
        <v>3.1128032702101058</v>
      </c>
      <c r="Q43" s="428">
        <f t="shared" si="13"/>
        <v>0.16666666666666666</v>
      </c>
      <c r="R43" s="440">
        <f t="shared" si="14"/>
        <v>737.89562917514638</v>
      </c>
      <c r="S43" s="517">
        <f t="shared" si="17"/>
        <v>31.300015082780167</v>
      </c>
    </row>
    <row r="44" spans="1:30">
      <c r="K44" s="520">
        <f t="shared" si="15"/>
        <v>113.15965857119647</v>
      </c>
      <c r="M44" s="428">
        <v>0.02</v>
      </c>
      <c r="N44" s="438">
        <f t="shared" si="11"/>
        <v>3.1433238491999019E-5</v>
      </c>
      <c r="O44" s="439">
        <f t="shared" si="16"/>
        <v>41.733353443706896</v>
      </c>
      <c r="P44" s="426">
        <f t="shared" si="12"/>
        <v>4.1504043602801417</v>
      </c>
      <c r="Q44" s="428">
        <f t="shared" si="13"/>
        <v>0.22222222222222224</v>
      </c>
      <c r="R44" s="440">
        <f t="shared" si="14"/>
        <v>1311.8144518669276</v>
      </c>
      <c r="S44" s="517">
        <f t="shared" si="17"/>
        <v>41.733353443706903</v>
      </c>
    </row>
    <row r="45" spans="1:30">
      <c r="H45" s="246">
        <f>6.3/1000</f>
        <v>6.3E-3</v>
      </c>
      <c r="I45" s="515" t="s">
        <v>501</v>
      </c>
      <c r="K45" s="520">
        <f t="shared" si="15"/>
        <v>141.44957321399556</v>
      </c>
      <c r="M45" s="428">
        <v>2.5000000000000001E-2</v>
      </c>
      <c r="N45" s="438">
        <f t="shared" si="11"/>
        <v>3.9291548114998769E-5</v>
      </c>
      <c r="O45" s="439">
        <f t="shared" si="16"/>
        <v>52.166691804633615</v>
      </c>
      <c r="P45" s="426">
        <f t="shared" si="12"/>
        <v>5.1880054503501762</v>
      </c>
      <c r="Q45" s="428">
        <f t="shared" si="13"/>
        <v>0.27777777777777779</v>
      </c>
      <c r="R45" s="440">
        <f t="shared" si="14"/>
        <v>2049.7100810420739</v>
      </c>
      <c r="S45" s="517">
        <f t="shared" si="17"/>
        <v>52.166691804633615</v>
      </c>
    </row>
    <row r="46" spans="1:30">
      <c r="H46" s="246">
        <f>9.8*1025*H45</f>
        <v>63.283500000000004</v>
      </c>
      <c r="I46" s="515" t="s">
        <v>502</v>
      </c>
      <c r="K46" s="520">
        <f t="shared" si="15"/>
        <v>169.73948785679465</v>
      </c>
      <c r="M46" s="428">
        <v>0.03</v>
      </c>
      <c r="N46" s="438">
        <f t="shared" si="11"/>
        <v>4.7149857737998519E-5</v>
      </c>
      <c r="O46" s="439">
        <f t="shared" si="16"/>
        <v>62.600030165560334</v>
      </c>
      <c r="P46" s="426">
        <f t="shared" si="12"/>
        <v>6.2256065404202117</v>
      </c>
      <c r="Q46" s="428">
        <f t="shared" si="13"/>
        <v>0.33333333333333331</v>
      </c>
      <c r="R46" s="440">
        <f t="shared" si="14"/>
        <v>2951.5825167005855</v>
      </c>
      <c r="S46" s="517">
        <f t="shared" si="17"/>
        <v>62.600030165560334</v>
      </c>
    </row>
    <row r="47" spans="1:30">
      <c r="H47" s="268">
        <v>4.6999999999999997E-5</v>
      </c>
      <c r="K47" s="520">
        <f t="shared" si="15"/>
        <v>198.0294024995938</v>
      </c>
      <c r="M47" s="428">
        <v>3.5000000000000003E-2</v>
      </c>
      <c r="N47" s="438">
        <f t="shared" si="11"/>
        <v>5.5008167360998282E-5</v>
      </c>
      <c r="O47" s="439">
        <f t="shared" si="16"/>
        <v>73.033368526487067</v>
      </c>
      <c r="P47" s="426">
        <f t="shared" si="12"/>
        <v>7.2632076304902489</v>
      </c>
      <c r="Q47" s="428">
        <f t="shared" si="13"/>
        <v>0.38888888888888895</v>
      </c>
      <c r="R47" s="440">
        <f t="shared" si="14"/>
        <v>4017.4317588424651</v>
      </c>
      <c r="S47" s="517">
        <f t="shared" si="17"/>
        <v>73.033368526487067</v>
      </c>
    </row>
    <row r="48" spans="1:30">
      <c r="H48" s="268">
        <f>1000*H47*H46</f>
        <v>2.9743245000000003</v>
      </c>
      <c r="K48" s="520">
        <f t="shared" si="15"/>
        <v>226.31931714239295</v>
      </c>
      <c r="M48" s="428">
        <v>0.04</v>
      </c>
      <c r="N48" s="438">
        <f t="shared" si="11"/>
        <v>6.2866476983998039E-5</v>
      </c>
      <c r="O48" s="439">
        <f t="shared" si="16"/>
        <v>83.466706887413793</v>
      </c>
      <c r="P48" s="426">
        <f t="shared" si="12"/>
        <v>8.3008087205602834</v>
      </c>
      <c r="Q48" s="428">
        <f t="shared" si="13"/>
        <v>0.44444444444444448</v>
      </c>
      <c r="R48" s="440">
        <f t="shared" si="14"/>
        <v>5247.2578074677103</v>
      </c>
      <c r="S48" s="517">
        <f t="shared" si="17"/>
        <v>83.466706887413807</v>
      </c>
    </row>
    <row r="49" spans="8:19">
      <c r="K49" s="520">
        <f t="shared" si="15"/>
        <v>282.89914642799113</v>
      </c>
      <c r="M49" s="292">
        <v>0.05</v>
      </c>
      <c r="N49" s="438">
        <f t="shared" si="11"/>
        <v>7.8583096229997538E-5</v>
      </c>
      <c r="O49" s="439">
        <f t="shared" si="16"/>
        <v>104.33338360926723</v>
      </c>
      <c r="P49" s="426">
        <f t="shared" si="12"/>
        <v>10.376010900700352</v>
      </c>
      <c r="Q49" s="428">
        <f t="shared" si="13"/>
        <v>0.55555555555555558</v>
      </c>
      <c r="R49" s="440">
        <f t="shared" si="14"/>
        <v>8198.8403241682954</v>
      </c>
      <c r="S49" s="517">
        <f t="shared" si="17"/>
        <v>104.33338360926723</v>
      </c>
    </row>
    <row r="50" spans="8:19">
      <c r="H50" s="246">
        <f>2.3*0.75</f>
        <v>1.7249999999999999</v>
      </c>
      <c r="K50" s="520">
        <f t="shared" si="15"/>
        <v>339.47897571358931</v>
      </c>
      <c r="M50" s="428">
        <v>0.06</v>
      </c>
      <c r="N50" s="438">
        <f t="shared" si="11"/>
        <v>9.4299715475997038E-5</v>
      </c>
      <c r="O50" s="439">
        <f t="shared" si="16"/>
        <v>125.20006033112067</v>
      </c>
      <c r="P50" s="426">
        <f t="shared" si="12"/>
        <v>12.451213080840423</v>
      </c>
      <c r="Q50" s="428">
        <f t="shared" si="13"/>
        <v>0.66666666666666663</v>
      </c>
      <c r="R50" s="440">
        <f t="shared" si="14"/>
        <v>11806.330066802342</v>
      </c>
      <c r="S50" s="517">
        <f t="shared" si="17"/>
        <v>125.20006033112067</v>
      </c>
    </row>
    <row r="51" spans="8:19">
      <c r="K51" s="520">
        <f t="shared" si="15"/>
        <v>396.0588049991876</v>
      </c>
      <c r="M51" s="292">
        <v>7.0000000000000007E-2</v>
      </c>
      <c r="N51" s="438">
        <f t="shared" si="11"/>
        <v>1.1001633472199656E-4</v>
      </c>
      <c r="O51" s="439">
        <f t="shared" si="16"/>
        <v>146.06673705297413</v>
      </c>
      <c r="P51" s="426">
        <f t="shared" si="12"/>
        <v>14.526415260980498</v>
      </c>
      <c r="Q51" s="428">
        <f t="shared" si="13"/>
        <v>0.7777777777777779</v>
      </c>
      <c r="R51" s="440">
        <f t="shared" si="14"/>
        <v>16069.72703536986</v>
      </c>
      <c r="S51" s="517">
        <f t="shared" si="17"/>
        <v>146.06673705297413</v>
      </c>
    </row>
    <row r="52" spans="8:19">
      <c r="K52" s="520">
        <f t="shared" si="15"/>
        <v>452.63863428478589</v>
      </c>
      <c r="M52" s="428">
        <v>0.08</v>
      </c>
      <c r="N52" s="438">
        <f t="shared" si="11"/>
        <v>1.2573295396799608E-4</v>
      </c>
      <c r="O52" s="439">
        <f t="shared" si="16"/>
        <v>166.93341377482759</v>
      </c>
      <c r="P52" s="426">
        <f t="shared" si="12"/>
        <v>16.601617441120567</v>
      </c>
      <c r="Q52" s="428">
        <f t="shared" si="13"/>
        <v>0.88888888888888895</v>
      </c>
      <c r="R52" s="440">
        <f t="shared" si="14"/>
        <v>20989.031229870841</v>
      </c>
      <c r="S52" s="517">
        <f t="shared" si="17"/>
        <v>166.93341377482761</v>
      </c>
    </row>
    <row r="53" spans="8:19">
      <c r="K53" s="520">
        <f t="shared" si="15"/>
        <v>509.21846357038402</v>
      </c>
      <c r="M53" s="292">
        <v>0.09</v>
      </c>
      <c r="N53" s="438">
        <f t="shared" si="11"/>
        <v>1.4144957321399556E-4</v>
      </c>
      <c r="O53" s="439">
        <f t="shared" si="16"/>
        <v>187.80009049668101</v>
      </c>
      <c r="P53" s="426">
        <f t="shared" si="12"/>
        <v>18.676819621260638</v>
      </c>
      <c r="Q53" s="428">
        <f t="shared" si="13"/>
        <v>1</v>
      </c>
      <c r="R53" s="440">
        <f t="shared" si="14"/>
        <v>26564.242650305274</v>
      </c>
      <c r="S53" s="517">
        <f t="shared" si="17"/>
        <v>187.80009049668101</v>
      </c>
    </row>
    <row r="54" spans="8:19">
      <c r="K54" s="520">
        <f t="shared" si="15"/>
        <v>565.79829285598225</v>
      </c>
      <c r="M54" s="428">
        <v>0.1</v>
      </c>
      <c r="N54" s="438">
        <f t="shared" si="11"/>
        <v>1.5716619245999508E-4</v>
      </c>
      <c r="O54" s="439">
        <f t="shared" si="16"/>
        <v>208.66676721853446</v>
      </c>
      <c r="P54" s="426">
        <f t="shared" si="12"/>
        <v>20.752021801400705</v>
      </c>
      <c r="Q54" s="428">
        <f t="shared" si="13"/>
        <v>1.1111111111111112</v>
      </c>
      <c r="R54" s="440">
        <f t="shared" si="14"/>
        <v>32795.361296673182</v>
      </c>
      <c r="S54" s="517">
        <f t="shared" si="17"/>
        <v>208.66676721853446</v>
      </c>
    </row>
    <row r="55" spans="8:19">
      <c r="K55" s="520">
        <f t="shared" si="15"/>
        <v>678.95795142717861</v>
      </c>
      <c r="M55" s="292">
        <v>0.12</v>
      </c>
      <c r="N55" s="438">
        <f t="shared" si="11"/>
        <v>1.8859943095199408E-4</v>
      </c>
      <c r="O55" s="439">
        <f t="shared" si="16"/>
        <v>250.40012066224133</v>
      </c>
      <c r="P55" s="426">
        <f t="shared" si="12"/>
        <v>24.902426161680847</v>
      </c>
      <c r="Q55" s="428">
        <f t="shared" si="13"/>
        <v>1.3333333333333333</v>
      </c>
      <c r="R55" s="440">
        <f t="shared" si="14"/>
        <v>47225.320267209368</v>
      </c>
      <c r="S55" s="517">
        <f t="shared" si="17"/>
        <v>250.40012066224133</v>
      </c>
    </row>
    <row r="56" spans="8:19">
      <c r="K56" s="520">
        <f t="shared" si="15"/>
        <v>792.1176099983752</v>
      </c>
      <c r="M56" s="292">
        <v>0.14000000000000001</v>
      </c>
      <c r="N56" s="438">
        <f t="shared" si="11"/>
        <v>2.2003266944399313E-4</v>
      </c>
      <c r="O56" s="439">
        <f t="shared" si="16"/>
        <v>292.13347410594827</v>
      </c>
      <c r="P56" s="426">
        <f t="shared" si="12"/>
        <v>29.052830521960995</v>
      </c>
      <c r="Q56" s="428">
        <f t="shared" si="13"/>
        <v>1.5555555555555558</v>
      </c>
      <c r="R56" s="440">
        <f t="shared" si="14"/>
        <v>64278.908141479442</v>
      </c>
      <c r="S56" s="517">
        <f t="shared" si="17"/>
        <v>292.13347410594827</v>
      </c>
    </row>
    <row r="57" spans="8:19">
      <c r="K57" s="520">
        <f t="shared" si="15"/>
        <v>905.27726856957179</v>
      </c>
      <c r="M57" s="292">
        <v>0.16</v>
      </c>
      <c r="N57" s="438">
        <f t="shared" si="11"/>
        <v>2.5146590793599216E-4</v>
      </c>
      <c r="O57" s="439">
        <f t="shared" si="16"/>
        <v>333.86682754965517</v>
      </c>
      <c r="P57" s="426">
        <f t="shared" si="12"/>
        <v>33.203234882241134</v>
      </c>
      <c r="Q57" s="428">
        <f t="shared" si="13"/>
        <v>1.7777777777777779</v>
      </c>
      <c r="R57" s="440">
        <f t="shared" si="14"/>
        <v>83956.124919483365</v>
      </c>
      <c r="S57" s="517">
        <f t="shared" si="17"/>
        <v>333.86682754965523</v>
      </c>
    </row>
    <row r="58" spans="8:19">
      <c r="K58" s="520">
        <f t="shared" si="15"/>
        <v>1018.436927140768</v>
      </c>
      <c r="M58" s="292">
        <v>0.18</v>
      </c>
      <c r="N58" s="438">
        <f t="shared" si="11"/>
        <v>2.8289914642799113E-4</v>
      </c>
      <c r="O58" s="439">
        <f t="shared" si="16"/>
        <v>375.60018099336202</v>
      </c>
      <c r="P58" s="426">
        <f t="shared" si="12"/>
        <v>37.353639242521275</v>
      </c>
      <c r="Q58" s="428">
        <f t="shared" si="13"/>
        <v>2</v>
      </c>
      <c r="R58" s="440">
        <f t="shared" si="14"/>
        <v>106256.9706012211</v>
      </c>
      <c r="S58" s="517">
        <f t="shared" si="17"/>
        <v>375.60018099336202</v>
      </c>
    </row>
    <row r="59" spans="8:19" ht="13.5" thickBot="1">
      <c r="K59" s="520">
        <f t="shared" si="15"/>
        <v>1131.5965857119645</v>
      </c>
      <c r="M59" s="443">
        <v>0.2</v>
      </c>
      <c r="N59" s="444">
        <f t="shared" si="11"/>
        <v>3.1433238491999015E-4</v>
      </c>
      <c r="O59" s="445">
        <f t="shared" si="16"/>
        <v>417.33353443706892</v>
      </c>
      <c r="P59" s="427">
        <f t="shared" si="12"/>
        <v>41.50404360280141</v>
      </c>
      <c r="Q59" s="443">
        <f t="shared" si="13"/>
        <v>2.2222222222222223</v>
      </c>
      <c r="R59" s="478">
        <f t="shared" si="14"/>
        <v>131181.44518669273</v>
      </c>
      <c r="S59" s="517">
        <f t="shared" si="17"/>
        <v>417.33353443706892</v>
      </c>
    </row>
  </sheetData>
  <phoneticPr fontId="3" type="noConversion"/>
  <printOptions gridLines="1"/>
  <pageMargins left="0.75" right="0.75" top="1" bottom="1" header="0.5" footer="0.5"/>
  <pageSetup scale="85" orientation="landscape" r:id="rId1"/>
  <headerFooter alignWithMargins="0"/>
  <colBreaks count="1" manualBreakCount="1">
    <brk id="21" max="1048575" man="1"/>
  </colBreaks>
  <ignoredErrors>
    <ignoredError sqref="E20" formula="1"/>
  </ignoredError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7"/>
  <sheetViews>
    <sheetView topLeftCell="B1" workbookViewId="0">
      <selection activeCell="L25" sqref="L25"/>
    </sheetView>
  </sheetViews>
  <sheetFormatPr defaultRowHeight="12.75"/>
  <cols>
    <col min="1" max="1" width="34.140625" customWidth="1"/>
    <col min="2" max="2" width="11.42578125" customWidth="1"/>
    <col min="3" max="3" width="14.28515625" customWidth="1"/>
    <col min="4" max="4" width="10.42578125" customWidth="1"/>
    <col min="5" max="5" width="16.42578125" customWidth="1"/>
    <col min="6" max="6" width="14.85546875" customWidth="1"/>
    <col min="7" max="7" width="19.140625" customWidth="1"/>
    <col min="8" max="8" width="11.42578125" customWidth="1"/>
    <col min="9" max="9" width="13.85546875" customWidth="1"/>
    <col min="10" max="10" width="11.42578125" customWidth="1"/>
    <col min="11" max="11" width="14.7109375" customWidth="1"/>
    <col min="12" max="12" width="14.42578125" customWidth="1"/>
    <col min="13" max="13" width="14.28515625" customWidth="1"/>
    <col min="14" max="14" width="15.140625" customWidth="1"/>
    <col min="15" max="15" width="15.85546875" customWidth="1"/>
    <col min="16" max="16" width="22.7109375" customWidth="1"/>
    <col min="17" max="17" width="17.42578125" customWidth="1"/>
    <col min="18" max="18" width="16.42578125" customWidth="1"/>
    <col min="19" max="19" width="16.85546875" customWidth="1"/>
    <col min="20" max="254" width="8.85546875" customWidth="1"/>
  </cols>
  <sheetData>
    <row r="1" spans="1:21">
      <c r="A1" s="116" t="s">
        <v>62</v>
      </c>
      <c r="B1" s="116"/>
      <c r="C1" s="117"/>
      <c r="D1" s="117"/>
      <c r="E1" s="117"/>
      <c r="F1" s="117"/>
      <c r="G1" s="117"/>
      <c r="H1" s="117"/>
      <c r="I1" s="117"/>
      <c r="J1" s="117"/>
      <c r="K1" s="117"/>
      <c r="L1" s="117"/>
      <c r="M1" s="117"/>
      <c r="N1" s="117"/>
      <c r="O1" s="117"/>
      <c r="P1" s="117"/>
      <c r="Q1" s="117"/>
      <c r="R1" s="117"/>
      <c r="S1" s="117"/>
      <c r="T1" s="117"/>
    </row>
    <row r="2" spans="1:21">
      <c r="A2" s="117"/>
      <c r="B2" s="117"/>
      <c r="C2" s="117"/>
      <c r="D2" s="117"/>
      <c r="E2" s="117"/>
      <c r="F2" s="117"/>
      <c r="G2" s="117"/>
      <c r="H2" s="117"/>
      <c r="I2" s="117"/>
      <c r="J2" s="117"/>
      <c r="K2" s="117"/>
      <c r="L2" s="117"/>
      <c r="M2" s="117"/>
      <c r="N2" s="117"/>
      <c r="O2" s="117"/>
      <c r="P2" s="117"/>
      <c r="Q2" s="117"/>
      <c r="R2" s="117"/>
      <c r="S2" s="117"/>
      <c r="T2" s="117"/>
    </row>
    <row r="3" spans="1:21" s="12" customFormat="1">
      <c r="A3" s="116"/>
      <c r="B3" s="116"/>
      <c r="C3" s="116"/>
      <c r="D3" s="116"/>
      <c r="E3" s="117"/>
      <c r="F3" s="117"/>
      <c r="G3" s="117"/>
      <c r="H3" s="117"/>
      <c r="I3" s="117"/>
      <c r="J3" s="117"/>
      <c r="K3" s="117"/>
      <c r="L3" s="117"/>
      <c r="M3" s="117"/>
      <c r="N3" s="117"/>
      <c r="O3" s="117"/>
      <c r="P3" s="117"/>
      <c r="Q3" s="117"/>
      <c r="R3" s="117"/>
      <c r="S3" s="117"/>
      <c r="T3" s="117"/>
    </row>
    <row r="4" spans="1:21">
      <c r="A4" s="117" t="s">
        <v>213</v>
      </c>
      <c r="B4" s="117"/>
      <c r="C4" s="117"/>
      <c r="D4" s="117"/>
      <c r="E4" s="117"/>
      <c r="F4" s="117"/>
      <c r="G4" s="117"/>
      <c r="H4" s="117"/>
      <c r="I4" s="117"/>
      <c r="J4" s="117"/>
      <c r="K4" s="116"/>
      <c r="L4" s="117"/>
      <c r="M4" s="117"/>
      <c r="N4" s="117"/>
      <c r="O4" s="117"/>
      <c r="P4" s="117"/>
      <c r="Q4" s="117"/>
      <c r="R4" s="117"/>
      <c r="S4" s="117"/>
      <c r="T4" s="117"/>
    </row>
    <row r="5" spans="1:21">
      <c r="A5" s="96" t="s">
        <v>207</v>
      </c>
      <c r="B5" s="108"/>
      <c r="C5" s="108"/>
      <c r="D5" s="108"/>
      <c r="E5" s="117"/>
      <c r="F5" s="117"/>
      <c r="G5" s="117"/>
      <c r="H5" s="117"/>
      <c r="I5" s="117"/>
      <c r="J5" s="117"/>
      <c r="K5" s="117"/>
      <c r="L5" s="117"/>
      <c r="M5" s="117"/>
      <c r="N5" s="117"/>
      <c r="O5" s="117"/>
      <c r="P5" s="117"/>
      <c r="Q5" s="117"/>
      <c r="R5" s="117"/>
      <c r="S5" s="117"/>
      <c r="T5" s="117"/>
    </row>
    <row r="6" spans="1:21">
      <c r="A6" s="108"/>
      <c r="B6" s="108"/>
      <c r="C6" s="108"/>
      <c r="D6" s="117"/>
      <c r="E6" s="117"/>
      <c r="F6" s="117"/>
      <c r="G6" s="117"/>
      <c r="H6" s="117"/>
      <c r="I6" s="117"/>
      <c r="J6" s="117"/>
      <c r="K6" s="117"/>
      <c r="L6" s="117"/>
      <c r="M6" s="117"/>
      <c r="N6" s="117"/>
      <c r="O6" s="117"/>
      <c r="P6" s="117"/>
      <c r="Q6" s="117"/>
      <c r="R6" s="117"/>
      <c r="S6" s="117"/>
      <c r="T6" s="117"/>
    </row>
    <row r="7" spans="1:21">
      <c r="A7" s="117"/>
      <c r="B7" s="117"/>
      <c r="C7" s="117"/>
      <c r="D7" s="117"/>
      <c r="E7" s="117"/>
      <c r="F7" s="117"/>
      <c r="G7" s="117"/>
      <c r="H7" s="117"/>
      <c r="I7" s="117"/>
      <c r="J7" s="117"/>
      <c r="K7" s="117"/>
      <c r="L7" s="117"/>
      <c r="M7" s="117"/>
      <c r="N7" s="116"/>
      <c r="O7" s="117"/>
      <c r="P7" s="117"/>
      <c r="Q7" s="117"/>
      <c r="R7" s="117"/>
      <c r="S7" s="117"/>
      <c r="T7" s="117"/>
    </row>
    <row r="8" spans="1:21">
      <c r="A8" s="117"/>
      <c r="B8" s="117"/>
      <c r="C8" s="117"/>
      <c r="D8" s="117"/>
      <c r="E8" s="117"/>
      <c r="F8" s="117"/>
      <c r="G8" s="117"/>
      <c r="H8" s="117"/>
      <c r="I8" s="117"/>
      <c r="J8" s="117"/>
      <c r="K8" s="117"/>
      <c r="L8" s="117"/>
      <c r="M8" s="117"/>
      <c r="N8" s="117"/>
      <c r="O8" s="117"/>
      <c r="P8" s="117"/>
      <c r="Q8" s="117"/>
      <c r="R8" s="117"/>
      <c r="S8" s="117"/>
      <c r="T8" s="117"/>
    </row>
    <row r="9" spans="1:21">
      <c r="B9" s="87"/>
      <c r="C9" s="87"/>
      <c r="D9" s="87"/>
      <c r="E9" s="87"/>
      <c r="F9" s="87"/>
      <c r="G9" s="87"/>
      <c r="H9" s="87"/>
      <c r="I9" s="87"/>
      <c r="J9" s="87"/>
      <c r="K9" s="87"/>
      <c r="L9" s="87"/>
      <c r="M9" s="87"/>
      <c r="N9" s="87"/>
      <c r="O9" s="87"/>
      <c r="P9" s="87"/>
      <c r="Q9" s="87"/>
      <c r="R9" s="87"/>
      <c r="S9" s="87"/>
      <c r="T9" s="87"/>
    </row>
    <row r="10" spans="1:21" s="206" customFormat="1" ht="57" customHeight="1">
      <c r="A10" s="88" t="s">
        <v>63</v>
      </c>
      <c r="B10" s="88" t="s">
        <v>237</v>
      </c>
      <c r="C10" s="207" t="s">
        <v>64</v>
      </c>
      <c r="D10" s="207" t="s">
        <v>65</v>
      </c>
      <c r="E10" s="207" t="s">
        <v>66</v>
      </c>
      <c r="F10" s="88" t="s">
        <v>67</v>
      </c>
      <c r="G10" s="88" t="s">
        <v>68</v>
      </c>
      <c r="H10" s="88" t="s">
        <v>220</v>
      </c>
      <c r="I10" s="88" t="s">
        <v>70</v>
      </c>
      <c r="J10" s="88" t="s">
        <v>221</v>
      </c>
      <c r="K10" s="88" t="s">
        <v>71</v>
      </c>
      <c r="L10" s="88" t="s">
        <v>72</v>
      </c>
      <c r="M10" s="205" t="s">
        <v>73</v>
      </c>
      <c r="N10" s="205" t="s">
        <v>74</v>
      </c>
      <c r="O10" s="205" t="s">
        <v>75</v>
      </c>
      <c r="P10" s="88" t="s">
        <v>76</v>
      </c>
      <c r="Q10" s="88" t="s">
        <v>77</v>
      </c>
      <c r="R10" s="88" t="s">
        <v>78</v>
      </c>
      <c r="S10" s="88" t="s">
        <v>79</v>
      </c>
      <c r="T10" s="88"/>
      <c r="U10" s="140"/>
    </row>
    <row r="11" spans="1:21">
      <c r="A11" s="87" t="s">
        <v>279</v>
      </c>
      <c r="B11" s="87">
        <v>38</v>
      </c>
      <c r="C11" s="87">
        <v>7.0000000000000007E-2</v>
      </c>
      <c r="D11" s="87">
        <v>0.12</v>
      </c>
      <c r="E11" s="87">
        <v>4.37</v>
      </c>
      <c r="F11" s="90">
        <f>D11*E11</f>
        <v>0.52439999999999998</v>
      </c>
      <c r="G11" s="87"/>
      <c r="H11" s="87"/>
      <c r="I11" s="87"/>
      <c r="J11" s="87"/>
      <c r="K11" s="87"/>
      <c r="L11" s="87"/>
      <c r="M11" s="87">
        <v>1.77</v>
      </c>
      <c r="N11" s="87">
        <v>6.48</v>
      </c>
      <c r="O11" s="87">
        <v>2.8</v>
      </c>
      <c r="P11" s="90">
        <f>PI()*(O11/2)^2</f>
        <v>6.1575216010359934</v>
      </c>
      <c r="Q11" s="87"/>
      <c r="R11" s="87"/>
      <c r="S11" s="87"/>
      <c r="T11" s="87"/>
    </row>
    <row r="12" spans="1:21">
      <c r="A12" s="87"/>
      <c r="B12" s="87">
        <v>42</v>
      </c>
      <c r="C12" s="87">
        <v>0.05</v>
      </c>
      <c r="D12" s="87">
        <v>0.1</v>
      </c>
      <c r="E12" s="87">
        <v>3.24</v>
      </c>
      <c r="F12" s="90">
        <f>D12*E12</f>
        <v>0.32400000000000007</v>
      </c>
      <c r="G12" s="87"/>
      <c r="H12" s="87"/>
      <c r="I12" s="87"/>
      <c r="J12" s="87"/>
      <c r="K12" s="87"/>
      <c r="L12" s="87"/>
      <c r="M12" s="87">
        <v>1.8</v>
      </c>
      <c r="N12" s="87">
        <v>4.72</v>
      </c>
      <c r="O12" s="87">
        <v>3.53</v>
      </c>
      <c r="P12" s="90">
        <f t="shared" ref="P12:P20" si="0">PI()*(O12/2)^2</f>
        <v>9.7867679742792628</v>
      </c>
      <c r="Q12" s="87"/>
      <c r="R12" s="87"/>
      <c r="S12" s="87"/>
      <c r="T12" s="87"/>
    </row>
    <row r="13" spans="1:21">
      <c r="A13" s="87"/>
      <c r="B13" s="87">
        <v>35</v>
      </c>
      <c r="C13" s="87">
        <v>0.08</v>
      </c>
      <c r="D13" s="87">
        <v>0.11</v>
      </c>
      <c r="E13" s="87">
        <v>2.83</v>
      </c>
      <c r="F13" s="90">
        <f>D13*E13</f>
        <v>0.31130000000000002</v>
      </c>
      <c r="G13" s="87"/>
      <c r="H13" s="87"/>
      <c r="I13" s="87"/>
      <c r="J13" s="87"/>
      <c r="K13" s="87"/>
      <c r="L13" s="87"/>
      <c r="M13" s="87">
        <v>1.8</v>
      </c>
      <c r="N13" s="87">
        <v>4.42</v>
      </c>
      <c r="O13" s="90">
        <v>3.18</v>
      </c>
      <c r="P13" s="90">
        <f t="shared" si="0"/>
        <v>7.9422603875403563</v>
      </c>
      <c r="Q13" s="87"/>
      <c r="R13" s="87"/>
      <c r="S13" s="87"/>
      <c r="T13" s="87"/>
    </row>
    <row r="14" spans="1:21">
      <c r="A14" s="87"/>
      <c r="B14" s="87"/>
      <c r="C14" s="87">
        <v>7.0000000000000007E-2</v>
      </c>
      <c r="D14" s="87">
        <v>0.21</v>
      </c>
      <c r="E14" s="87">
        <v>2.8</v>
      </c>
      <c r="F14" s="90">
        <f>D14*E14</f>
        <v>0.58799999999999997</v>
      </c>
      <c r="G14" s="87"/>
      <c r="H14" s="87"/>
      <c r="I14" s="87"/>
      <c r="J14" s="87"/>
      <c r="K14" s="87"/>
      <c r="L14" s="87"/>
      <c r="M14" s="87">
        <v>1.64</v>
      </c>
      <c r="N14" s="87">
        <v>5.26</v>
      </c>
      <c r="O14" s="90">
        <v>3.5</v>
      </c>
      <c r="P14" s="90">
        <f t="shared" si="0"/>
        <v>9.6211275016187408</v>
      </c>
      <c r="Q14" s="87"/>
      <c r="R14" s="87"/>
      <c r="S14" s="87"/>
      <c r="T14" s="87"/>
    </row>
    <row r="15" spans="1:21">
      <c r="A15" s="87"/>
      <c r="B15" s="87"/>
      <c r="C15" s="87">
        <v>7.0000000000000007E-2</v>
      </c>
      <c r="D15" s="87">
        <v>0.1</v>
      </c>
      <c r="E15" s="87">
        <v>3.04</v>
      </c>
      <c r="F15" s="90">
        <f>D15*E15</f>
        <v>0.30400000000000005</v>
      </c>
      <c r="G15" s="87"/>
      <c r="H15" s="87"/>
      <c r="I15" s="87"/>
      <c r="J15" s="87"/>
      <c r="K15" s="87"/>
      <c r="L15" s="87"/>
      <c r="M15" s="87">
        <v>1.82</v>
      </c>
      <c r="N15" s="87"/>
      <c r="O15" s="90">
        <v>3.56</v>
      </c>
      <c r="P15" s="90">
        <f t="shared" si="0"/>
        <v>9.9538221636339017</v>
      </c>
      <c r="Q15" s="87"/>
      <c r="R15" s="87"/>
      <c r="S15" s="87"/>
      <c r="T15" s="87"/>
    </row>
    <row r="16" spans="1:21">
      <c r="A16" s="87"/>
      <c r="B16" s="87"/>
      <c r="C16" s="87">
        <v>7.0000000000000007E-2</v>
      </c>
      <c r="D16" s="87">
        <v>0.09</v>
      </c>
      <c r="E16" s="87"/>
      <c r="F16" s="87"/>
      <c r="G16" s="87"/>
      <c r="H16" s="87"/>
      <c r="I16" s="87"/>
      <c r="J16" s="87"/>
      <c r="K16" s="87"/>
      <c r="L16" s="87"/>
      <c r="M16" s="87">
        <v>1.64</v>
      </c>
      <c r="N16" s="87"/>
      <c r="O16" s="90">
        <v>3.59</v>
      </c>
      <c r="P16" s="90">
        <f t="shared" si="0"/>
        <v>10.122290069682652</v>
      </c>
      <c r="Q16" s="87"/>
      <c r="R16" s="87"/>
      <c r="S16" s="87"/>
      <c r="T16" s="87"/>
    </row>
    <row r="17" spans="1:20">
      <c r="A17" s="87"/>
      <c r="B17" s="87"/>
      <c r="C17" s="87">
        <v>7.0000000000000007E-2</v>
      </c>
      <c r="D17" s="87">
        <v>0.14000000000000001</v>
      </c>
      <c r="E17" s="87"/>
      <c r="F17" s="87"/>
      <c r="G17" s="87"/>
      <c r="H17" s="87"/>
      <c r="I17" s="87"/>
      <c r="J17" s="87"/>
      <c r="K17" s="87"/>
      <c r="L17" s="87"/>
      <c r="M17" s="87"/>
      <c r="N17" s="87"/>
      <c r="O17" s="90">
        <v>3.24</v>
      </c>
      <c r="P17" s="90">
        <f t="shared" si="0"/>
        <v>8.244795760081054</v>
      </c>
      <c r="Q17" s="87"/>
      <c r="R17" s="87"/>
      <c r="S17" s="87"/>
      <c r="T17" s="87"/>
    </row>
    <row r="18" spans="1:20">
      <c r="A18" s="87"/>
      <c r="B18" s="87"/>
      <c r="C18" s="87">
        <v>7.0000000000000007E-2</v>
      </c>
      <c r="D18" s="87">
        <v>0.13</v>
      </c>
      <c r="E18" s="87"/>
      <c r="F18" s="87"/>
      <c r="G18" s="87"/>
      <c r="H18" s="87"/>
      <c r="I18" s="87"/>
      <c r="J18" s="87"/>
      <c r="K18" s="87"/>
      <c r="L18" s="87"/>
      <c r="M18" s="87"/>
      <c r="N18" s="87"/>
      <c r="O18" s="90">
        <v>2.87</v>
      </c>
      <c r="P18" s="90">
        <f t="shared" si="0"/>
        <v>6.4692461320884416</v>
      </c>
      <c r="Q18" s="87"/>
      <c r="R18" s="87"/>
      <c r="S18" s="87"/>
      <c r="T18" s="87"/>
    </row>
    <row r="19" spans="1:20">
      <c r="A19" s="87"/>
      <c r="B19" s="87"/>
      <c r="C19" s="87">
        <v>0.08</v>
      </c>
      <c r="D19" s="87">
        <v>0.09</v>
      </c>
      <c r="E19" s="87"/>
      <c r="F19" s="87"/>
      <c r="G19" s="87"/>
      <c r="H19" s="87"/>
      <c r="I19" s="87"/>
      <c r="J19" s="87"/>
      <c r="K19" s="87"/>
      <c r="L19" s="87"/>
      <c r="M19" s="87"/>
      <c r="N19" s="87"/>
      <c r="O19" s="90">
        <v>2.92</v>
      </c>
      <c r="P19" s="90">
        <f t="shared" si="0"/>
        <v>6.6966189003920018</v>
      </c>
      <c r="Q19" s="87"/>
      <c r="R19" s="87"/>
      <c r="S19" s="87"/>
      <c r="T19" s="87"/>
    </row>
    <row r="20" spans="1:20">
      <c r="A20" s="87"/>
      <c r="B20" s="87"/>
      <c r="C20" s="87"/>
      <c r="D20" s="87">
        <v>0.12</v>
      </c>
      <c r="E20" s="87"/>
      <c r="F20" s="87"/>
      <c r="G20" s="87"/>
      <c r="H20" s="87"/>
      <c r="I20" s="87"/>
      <c r="J20" s="87"/>
      <c r="K20" s="87"/>
      <c r="L20" s="87"/>
      <c r="M20" s="87"/>
      <c r="N20" s="87"/>
      <c r="O20" s="90">
        <v>3.03</v>
      </c>
      <c r="P20" s="90">
        <f t="shared" si="0"/>
        <v>7.2106619983356328</v>
      </c>
      <c r="Q20" s="87"/>
      <c r="R20" s="87"/>
      <c r="S20" s="87"/>
      <c r="T20" s="87"/>
    </row>
    <row r="21" spans="1:20">
      <c r="A21" s="87"/>
      <c r="B21" s="87"/>
      <c r="C21" s="87"/>
      <c r="D21" s="87">
        <v>7.0000000000000007E-2</v>
      </c>
      <c r="E21" s="87"/>
      <c r="F21" s="87"/>
      <c r="G21" s="87"/>
      <c r="H21" s="87"/>
      <c r="I21" s="87"/>
      <c r="J21" s="87"/>
      <c r="K21" s="87"/>
      <c r="L21" s="87"/>
      <c r="M21" s="87"/>
      <c r="N21" s="87"/>
      <c r="O21" s="87"/>
      <c r="P21" s="87"/>
      <c r="Q21" s="87"/>
      <c r="R21" s="87"/>
      <c r="S21" s="87"/>
      <c r="T21" s="87"/>
    </row>
    <row r="22" spans="1:20">
      <c r="A22" s="87"/>
      <c r="B22" s="87"/>
      <c r="C22" s="87"/>
      <c r="D22" s="87">
        <v>0.08</v>
      </c>
      <c r="E22" s="87"/>
      <c r="F22" s="87"/>
      <c r="G22" s="87"/>
      <c r="H22" s="87"/>
      <c r="I22" s="87"/>
      <c r="J22" s="87"/>
      <c r="K22" s="87"/>
      <c r="L22" s="87"/>
      <c r="M22" s="87"/>
      <c r="N22" s="87"/>
      <c r="O22" s="87"/>
      <c r="P22" s="87"/>
      <c r="Q22" s="87"/>
      <c r="R22" s="87"/>
      <c r="S22" s="87"/>
      <c r="T22" s="87"/>
    </row>
    <row r="23" spans="1:20">
      <c r="A23" s="87"/>
      <c r="B23" s="87"/>
      <c r="C23" s="87"/>
      <c r="D23" s="87">
        <v>0.14000000000000001</v>
      </c>
      <c r="E23" s="87"/>
      <c r="F23" s="87"/>
      <c r="G23" s="87"/>
      <c r="H23" s="87"/>
      <c r="I23" s="87"/>
      <c r="J23" s="87"/>
      <c r="K23" s="87"/>
      <c r="L23" s="87"/>
      <c r="M23" s="87"/>
      <c r="N23" s="87"/>
      <c r="O23" s="87"/>
      <c r="P23" s="87"/>
      <c r="Q23" s="87"/>
      <c r="R23" s="87"/>
      <c r="S23" s="87"/>
      <c r="T23" s="87"/>
    </row>
    <row r="24" spans="1:20">
      <c r="A24" s="113"/>
      <c r="B24" s="113"/>
      <c r="C24" s="113"/>
      <c r="D24" s="113">
        <v>0.16</v>
      </c>
      <c r="E24" s="113"/>
      <c r="F24" s="113"/>
      <c r="G24" s="113"/>
      <c r="H24" s="113"/>
      <c r="I24" s="113"/>
      <c r="J24" s="113"/>
      <c r="K24" s="113"/>
      <c r="L24" s="113"/>
      <c r="M24" s="113"/>
      <c r="N24" s="113"/>
      <c r="O24" s="113"/>
      <c r="P24" s="113"/>
      <c r="Q24" s="113"/>
      <c r="R24" s="113"/>
      <c r="S24" s="113"/>
      <c r="T24" s="113"/>
    </row>
    <row r="25" spans="1:20" s="18" customFormat="1">
      <c r="A25" s="114" t="s">
        <v>230</v>
      </c>
      <c r="B25" s="119">
        <f>AVERAGE(B11:B13)</f>
        <v>38.333333333333336</v>
      </c>
      <c r="C25" s="115">
        <f>AVERAGE(C11:C19)</f>
        <v>7.0000000000000007E-2</v>
      </c>
      <c r="D25" s="118">
        <f>AVERAGE(D11:D24)</f>
        <v>0.11857142857142856</v>
      </c>
      <c r="E25" s="115">
        <f>AVERAGE(E11:E15)</f>
        <v>3.2560000000000002</v>
      </c>
      <c r="F25" s="208">
        <f>D25*E25</f>
        <v>0.38606857142857143</v>
      </c>
      <c r="G25" s="209">
        <f>F25*B25</f>
        <v>14.799295238095239</v>
      </c>
      <c r="H25" s="210">
        <v>260</v>
      </c>
      <c r="I25" s="203">
        <f>G25*H25</f>
        <v>3847.8167619047622</v>
      </c>
      <c r="J25" s="85">
        <f>'Flagellated chambers'!H10</f>
        <v>1876.2759534210923</v>
      </c>
      <c r="K25" s="211">
        <f>I25*J25</f>
        <v>7219566.0635325173</v>
      </c>
      <c r="L25" s="85">
        <f>K25/1000000</f>
        <v>7.2195660635325174</v>
      </c>
      <c r="M25" s="115">
        <f>AVERAGE(M11:M16)</f>
        <v>1.7450000000000001</v>
      </c>
      <c r="N25" s="115">
        <f>AVERAGE(N11:N14)</f>
        <v>5.22</v>
      </c>
      <c r="O25" s="203">
        <f>AVERAGE(O11:O20)</f>
        <v>3.222</v>
      </c>
      <c r="P25" s="85">
        <f>AVERAGE(P11:P20)</f>
        <v>8.220511248868803</v>
      </c>
      <c r="Q25" s="212">
        <f>P25*H25</f>
        <v>2137.3329247058887</v>
      </c>
      <c r="R25" s="123">
        <f>Q25*J25</f>
        <v>4010226.371080833</v>
      </c>
      <c r="S25" s="85">
        <f>R25/1000000</f>
        <v>4.010226371080833</v>
      </c>
      <c r="T25" s="126"/>
    </row>
    <row r="26" spans="1:20" s="17" customFormat="1">
      <c r="A26" s="26"/>
      <c r="B26" s="124"/>
      <c r="C26" s="26"/>
      <c r="D26" s="120"/>
      <c r="E26" s="26"/>
      <c r="F26" s="21"/>
      <c r="G26" s="21"/>
      <c r="I26" s="120"/>
      <c r="K26" s="125"/>
      <c r="L26" s="125"/>
      <c r="M26" s="26"/>
      <c r="N26" s="26"/>
      <c r="O26" s="120"/>
      <c r="P26" s="120"/>
      <c r="Q26" s="124"/>
      <c r="R26" s="26"/>
      <c r="S26" s="120"/>
    </row>
    <row r="27" spans="1:20" s="201" customFormat="1" ht="47.25" customHeight="1">
      <c r="A27" s="193"/>
      <c r="B27" s="194" t="s">
        <v>91</v>
      </c>
      <c r="C27" s="195" t="s">
        <v>82</v>
      </c>
      <c r="D27" s="196" t="s">
        <v>84</v>
      </c>
      <c r="E27" s="216" t="s">
        <v>83</v>
      </c>
      <c r="F27" s="197"/>
      <c r="G27" s="197" t="s">
        <v>85</v>
      </c>
      <c r="H27" s="25"/>
      <c r="I27" s="196" t="s">
        <v>69</v>
      </c>
      <c r="J27" s="25"/>
      <c r="K27" s="196" t="s">
        <v>0</v>
      </c>
      <c r="L27" s="198" t="s">
        <v>92</v>
      </c>
      <c r="M27" s="193"/>
      <c r="N27" s="193"/>
      <c r="O27" s="199"/>
      <c r="P27" s="199"/>
      <c r="Q27" s="200"/>
      <c r="R27" s="193"/>
      <c r="S27" s="199"/>
    </row>
    <row r="28" spans="1:20">
      <c r="A28" s="1" t="s">
        <v>229</v>
      </c>
      <c r="B28" s="127">
        <v>96</v>
      </c>
      <c r="C28" s="132">
        <f>(0.02+0.07)/2</f>
        <v>4.5000000000000005E-2</v>
      </c>
      <c r="D28" s="132">
        <f>0.02*0.07</f>
        <v>1.4000000000000002E-3</v>
      </c>
      <c r="E28" s="214">
        <f>D28*B28</f>
        <v>0.13440000000000002</v>
      </c>
      <c r="F28" s="132"/>
      <c r="G28" s="209">
        <f>E28*B25</f>
        <v>5.152000000000001</v>
      </c>
      <c r="H28" s="132"/>
      <c r="I28" s="209">
        <f>G28*H25</f>
        <v>1339.5200000000002</v>
      </c>
      <c r="J28" s="132"/>
      <c r="K28" s="215">
        <f>I28*J25</f>
        <v>2513309.1651266217</v>
      </c>
      <c r="L28" s="85">
        <f>K28/1000000</f>
        <v>2.5133091651266217</v>
      </c>
    </row>
    <row r="29" spans="1:20" ht="13.5" customHeight="1">
      <c r="B29" s="213" t="s">
        <v>93</v>
      </c>
    </row>
    <row r="30" spans="1:20" s="4" customFormat="1">
      <c r="A30" s="136" t="s">
        <v>174</v>
      </c>
    </row>
    <row r="31" spans="1:20">
      <c r="A31" t="s">
        <v>215</v>
      </c>
      <c r="B31">
        <v>0.39</v>
      </c>
    </row>
    <row r="32" spans="1:20">
      <c r="A32" t="s">
        <v>152</v>
      </c>
      <c r="B32">
        <v>1.5399999999999999E-3</v>
      </c>
    </row>
    <row r="33" spans="1:10">
      <c r="A33" s="84" t="s">
        <v>181</v>
      </c>
      <c r="B33" s="133">
        <f>B31/B32</f>
        <v>253.24675324675326</v>
      </c>
    </row>
    <row r="34" spans="1:10" s="137" customFormat="1" ht="15.75" customHeight="1">
      <c r="A34" s="137" t="s">
        <v>175</v>
      </c>
      <c r="B34" s="137">
        <v>9.4999999999999998E-3</v>
      </c>
    </row>
    <row r="35" spans="1:10">
      <c r="A35" s="137" t="s">
        <v>176</v>
      </c>
      <c r="B35">
        <f>200*B34</f>
        <v>1.9</v>
      </c>
    </row>
    <row r="36" spans="1:10">
      <c r="A36" s="137" t="s">
        <v>177</v>
      </c>
      <c r="B36">
        <v>1.35</v>
      </c>
    </row>
    <row r="37" spans="1:10">
      <c r="A37" s="137" t="s">
        <v>178</v>
      </c>
      <c r="B37">
        <v>0.1105</v>
      </c>
    </row>
    <row r="38" spans="1:10">
      <c r="A38" s="137" t="s">
        <v>179</v>
      </c>
      <c r="B38" s="151">
        <f>B36*B37</f>
        <v>0.149175</v>
      </c>
    </row>
    <row r="39" spans="1:10">
      <c r="A39" s="138" t="s">
        <v>180</v>
      </c>
      <c r="B39" s="134">
        <f>B38/B32</f>
        <v>96.86688311688313</v>
      </c>
    </row>
    <row r="42" spans="1:10">
      <c r="A42" s="136" t="s">
        <v>80</v>
      </c>
      <c r="B42" s="4"/>
      <c r="C42" s="4"/>
      <c r="D42" s="4"/>
      <c r="E42" s="4"/>
      <c r="F42" s="4"/>
      <c r="G42" s="4"/>
      <c r="H42" s="4"/>
      <c r="I42" s="4"/>
      <c r="J42" s="4"/>
    </row>
    <row r="43" spans="1:10" s="137" customFormat="1" ht="39.75" customHeight="1">
      <c r="A43" s="175"/>
      <c r="B43" s="14" t="s">
        <v>192</v>
      </c>
      <c r="C43" s="14" t="s">
        <v>193</v>
      </c>
      <c r="D43" s="14" t="s">
        <v>194</v>
      </c>
      <c r="E43" s="14" t="s">
        <v>165</v>
      </c>
      <c r="F43" s="14" t="s">
        <v>81</v>
      </c>
      <c r="G43" s="14" t="s">
        <v>167</v>
      </c>
      <c r="H43" s="14"/>
    </row>
    <row r="44" spans="1:10">
      <c r="A44" s="84" t="s">
        <v>166</v>
      </c>
      <c r="B44" s="127">
        <v>2</v>
      </c>
      <c r="C44" s="215">
        <v>1.65</v>
      </c>
      <c r="D44">
        <f>B44*C44</f>
        <v>3.3</v>
      </c>
      <c r="E44" s="14">
        <f>D44*H25</f>
        <v>858</v>
      </c>
      <c r="F44">
        <f>E44*J25</f>
        <v>1609844.768035297</v>
      </c>
      <c r="G44" s="86">
        <f>F44/1000000</f>
        <v>1.609844768035297</v>
      </c>
    </row>
    <row r="47" spans="1:10" s="14" customFormat="1" ht="15.75" customHeight="1"/>
  </sheetData>
  <phoneticPr fontId="3" type="noConversion"/>
  <pageMargins left="0.75" right="0.75" top="1" bottom="1" header="0.5" footer="0.5"/>
  <pageSetup orientation="portrait" horizontalDpi="300" verticalDpi="300"/>
  <headerFooter alignWithMargins="0"/>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95"/>
  <sheetViews>
    <sheetView workbookViewId="0">
      <pane ySplit="4" topLeftCell="A5" activePane="bottomLeft" state="frozen"/>
      <selection pane="bottomLeft" activeCell="J9" sqref="J9"/>
    </sheetView>
  </sheetViews>
  <sheetFormatPr defaultRowHeight="12.75"/>
  <cols>
    <col min="1" max="1" width="12.140625" customWidth="1"/>
    <col min="2" max="2" width="22.42578125" customWidth="1"/>
    <col min="3" max="3" width="12" customWidth="1"/>
    <col min="4" max="4" width="10.42578125" customWidth="1"/>
    <col min="5" max="6" width="14.7109375" customWidth="1"/>
    <col min="7" max="7" width="18.28515625" customWidth="1"/>
    <col min="8" max="8" width="26.42578125" customWidth="1"/>
    <col min="9" max="10" width="11" customWidth="1"/>
    <col min="11" max="11" width="16.42578125" customWidth="1"/>
    <col min="12" max="12" width="17.85546875" customWidth="1"/>
    <col min="13" max="13" width="18" customWidth="1"/>
    <col min="14" max="16" width="12.42578125" customWidth="1"/>
    <col min="17" max="18" width="16" customWidth="1"/>
    <col min="19" max="19" width="13.28515625" customWidth="1"/>
    <col min="20" max="20" width="14.42578125" customWidth="1"/>
    <col min="21" max="24" width="8.85546875" customWidth="1"/>
    <col min="25" max="25" width="15.28515625" customWidth="1"/>
    <col min="26" max="255" width="8.85546875" customWidth="1"/>
  </cols>
  <sheetData>
    <row r="1" spans="1:26">
      <c r="A1" s="15" t="s">
        <v>141</v>
      </c>
      <c r="B1" s="176"/>
      <c r="E1" s="218"/>
      <c r="F1" s="218"/>
      <c r="G1" s="218"/>
      <c r="H1" s="218"/>
    </row>
    <row r="3" spans="1:26" ht="11.25" customHeight="1"/>
    <row r="4" spans="1:26" s="14" customFormat="1" ht="62.25" customHeight="1">
      <c r="A4" s="14" t="s">
        <v>139</v>
      </c>
      <c r="B4" s="14" t="s">
        <v>275</v>
      </c>
      <c r="C4" s="14" t="s">
        <v>314</v>
      </c>
      <c r="D4" s="14" t="s">
        <v>239</v>
      </c>
      <c r="E4" s="182" t="s">
        <v>146</v>
      </c>
      <c r="F4" s="220" t="s">
        <v>6</v>
      </c>
      <c r="G4" s="220" t="s">
        <v>22</v>
      </c>
      <c r="H4" s="220" t="s">
        <v>28</v>
      </c>
      <c r="I4" s="14" t="s">
        <v>148</v>
      </c>
      <c r="J4" s="14" t="s">
        <v>147</v>
      </c>
      <c r="K4" s="14" t="s">
        <v>7</v>
      </c>
      <c r="L4" s="14" t="s">
        <v>9</v>
      </c>
      <c r="M4" s="14" t="s">
        <v>50</v>
      </c>
      <c r="N4" s="14" t="s">
        <v>52</v>
      </c>
      <c r="O4" s="14" t="s">
        <v>51</v>
      </c>
      <c r="P4" s="14" t="s">
        <v>53</v>
      </c>
      <c r="Q4" s="187"/>
      <c r="R4" s="187"/>
      <c r="S4" s="14" t="s">
        <v>54</v>
      </c>
    </row>
    <row r="5" spans="1:26" s="137" customFormat="1" ht="12.75" customHeight="1">
      <c r="A5" s="137" t="s">
        <v>35</v>
      </c>
      <c r="B5" s="137" t="s">
        <v>140</v>
      </c>
      <c r="C5" s="14">
        <v>117118</v>
      </c>
      <c r="D5" s="14">
        <v>18</v>
      </c>
      <c r="E5" s="179">
        <f>C64</f>
        <v>48.891111111111108</v>
      </c>
      <c r="F5" s="221">
        <f>1000000/C5</f>
        <v>8.5383971720828562</v>
      </c>
      <c r="G5" s="221">
        <f>(D5*F5)*0.8</f>
        <v>122.95291927799313</v>
      </c>
      <c r="H5" s="221">
        <f>20*G5</f>
        <v>2459.0583855598625</v>
      </c>
      <c r="I5" s="180">
        <f>E5/2</f>
        <v>24.445555555555554</v>
      </c>
      <c r="J5" s="22">
        <f>PI()*(I5^2)</f>
        <v>1877.3692315503829</v>
      </c>
      <c r="K5" s="22">
        <f>(J5*H5)/1000000</f>
        <v>4.6165605516360442</v>
      </c>
      <c r="L5" s="22">
        <f>J5*D5</f>
        <v>33792.646167906889</v>
      </c>
      <c r="M5" s="22">
        <f>(L5/C5)*100</f>
        <v>28.853503447725277</v>
      </c>
      <c r="N5" s="180">
        <f>4*PI()*(I5^2)</f>
        <v>7509.4769262015316</v>
      </c>
      <c r="O5" s="180">
        <f>4/3*PI()*(I5^3)</f>
        <v>61191.111797540696</v>
      </c>
      <c r="P5" s="191">
        <f>O5/1000000000</f>
        <v>6.1191111797540698E-5</v>
      </c>
      <c r="Q5" s="22"/>
      <c r="R5" s="180"/>
      <c r="S5" s="137">
        <f>(N5*H5)/1000000</f>
        <v>18.466242206544177</v>
      </c>
      <c r="T5" s="14"/>
      <c r="V5" s="14"/>
      <c r="W5" s="14"/>
      <c r="X5" s="14"/>
      <c r="Y5" s="14"/>
      <c r="Z5" s="14"/>
    </row>
    <row r="6" spans="1:26" s="137" customFormat="1" ht="12" customHeight="1">
      <c r="A6" s="137" t="s">
        <v>36</v>
      </c>
      <c r="B6" s="137" t="s">
        <v>31</v>
      </c>
      <c r="C6" s="14">
        <v>103994</v>
      </c>
      <c r="D6" s="14">
        <v>17</v>
      </c>
      <c r="E6" s="183">
        <f>L64</f>
        <v>47.494999999999997</v>
      </c>
      <c r="F6" s="221">
        <f>1000000/C6</f>
        <v>9.6159393811181406</v>
      </c>
      <c r="G6" s="221">
        <f>(D6*F6)*0.75</f>
        <v>122.6032271092563</v>
      </c>
      <c r="H6" s="221">
        <f>20*G6</f>
        <v>2452.0645421851259</v>
      </c>
      <c r="I6" s="180">
        <f>E6/2</f>
        <v>23.747499999999999</v>
      </c>
      <c r="J6" s="22">
        <f>PI()*(I6^2)</f>
        <v>1771.6815616728329</v>
      </c>
      <c r="K6" s="22">
        <f>(J6*H6)/1000000</f>
        <v>4.3442775374211244</v>
      </c>
      <c r="L6" s="22">
        <f>J6*D6</f>
        <v>30118.586548438161</v>
      </c>
      <c r="M6" s="22">
        <f>(L6/C6)*100</f>
        <v>28.961850249474164</v>
      </c>
      <c r="N6" s="180">
        <f>4*PI()*(I6^2)</f>
        <v>7086.7262466913317</v>
      </c>
      <c r="O6" s="180">
        <f>4/3*PI()*(I6^3)</f>
        <v>56097.343847767457</v>
      </c>
      <c r="P6" s="191">
        <f>O6/1000000000</f>
        <v>5.609734384776746E-5</v>
      </c>
      <c r="Q6" s="22"/>
      <c r="R6" s="180"/>
      <c r="S6" s="137">
        <f>(N6*H6)/1000000</f>
        <v>17.377110149684498</v>
      </c>
      <c r="T6" s="14"/>
      <c r="V6" s="14"/>
      <c r="W6" s="14"/>
      <c r="X6" s="14"/>
      <c r="Y6" s="14"/>
      <c r="Z6" s="14"/>
    </row>
    <row r="7" spans="1:26" s="137" customFormat="1" ht="12" customHeight="1">
      <c r="A7" s="137" t="s">
        <v>34</v>
      </c>
      <c r="B7" s="137" t="s">
        <v>33</v>
      </c>
      <c r="C7" s="14">
        <v>242329</v>
      </c>
      <c r="D7" s="14">
        <v>34</v>
      </c>
      <c r="E7" s="183">
        <f>T80</f>
        <v>59.620441176470592</v>
      </c>
      <c r="F7" s="221">
        <f>1000000/C7</f>
        <v>4.1266212463221486</v>
      </c>
      <c r="G7" s="221">
        <f>(D7*F7)*0.75</f>
        <v>105.22884178121478</v>
      </c>
      <c r="H7" s="221">
        <f>20*G7</f>
        <v>2104.5768356242957</v>
      </c>
      <c r="I7" s="180">
        <f>E7/2</f>
        <v>29.810220588235296</v>
      </c>
      <c r="J7" s="22">
        <f>PI()*(I7^2)</f>
        <v>2791.7739601909361</v>
      </c>
      <c r="K7" s="22">
        <f>(J7*H7)/1000000</f>
        <v>5.8755028069169484</v>
      </c>
      <c r="L7" s="22">
        <f>J7*D7</f>
        <v>94920.314646491825</v>
      </c>
      <c r="M7" s="22">
        <f>(L7/C7)*100</f>
        <v>39.170018712779658</v>
      </c>
      <c r="N7" s="180">
        <f>4*PI()*(I7^2)</f>
        <v>11167.095840763744</v>
      </c>
      <c r="O7" s="180">
        <f>4/3*PI()*(I7^3)</f>
        <v>110964.53011437737</v>
      </c>
      <c r="P7" s="191">
        <f>O7/1000000000</f>
        <v>1.1096453011437737E-4</v>
      </c>
      <c r="Q7" s="22"/>
      <c r="R7" s="180"/>
      <c r="S7" s="137">
        <f>(N7*H7)/1000000</f>
        <v>23.502011227667793</v>
      </c>
      <c r="T7" s="14"/>
      <c r="V7" s="14"/>
      <c r="W7" s="14"/>
      <c r="X7" s="14"/>
      <c r="Y7" s="14"/>
      <c r="Z7" s="14"/>
    </row>
    <row r="8" spans="1:26">
      <c r="A8" s="137" t="s">
        <v>34</v>
      </c>
      <c r="B8" s="137" t="s">
        <v>39</v>
      </c>
      <c r="C8" s="14">
        <v>296667</v>
      </c>
      <c r="D8" s="14">
        <v>29</v>
      </c>
      <c r="E8" s="7">
        <f>Y75</f>
        <v>61.48931034482758</v>
      </c>
      <c r="F8" s="221">
        <f>1000000/C8</f>
        <v>3.3707827294576074</v>
      </c>
      <c r="G8" s="221">
        <f>(D8*F8)*0.75</f>
        <v>73.314524365702965</v>
      </c>
      <c r="H8" s="221">
        <f>20*G8</f>
        <v>1466.2904873140592</v>
      </c>
      <c r="I8" s="180">
        <f>E8/2</f>
        <v>30.74465517241379</v>
      </c>
      <c r="J8" s="22">
        <f>PI()*(I8^2)</f>
        <v>2969.5396300850562</v>
      </c>
      <c r="K8" s="22">
        <f>(J8*H8)/1000000</f>
        <v>4.3542077112958282</v>
      </c>
      <c r="L8" s="22">
        <f>J8*D8</f>
        <v>86116.649272466631</v>
      </c>
      <c r="M8" s="22">
        <f>(L8/C8)*100</f>
        <v>29.028051408638856</v>
      </c>
      <c r="N8" s="180">
        <f>4*PI()*(I8^2)</f>
        <v>11878.158520340225</v>
      </c>
      <c r="O8" s="180">
        <f>4/3*PI()*(I8^3)</f>
        <v>121729.96259704298</v>
      </c>
      <c r="P8" s="191">
        <f>O8/1000000000</f>
        <v>1.2172996259704298E-4</v>
      </c>
      <c r="Q8" s="22"/>
      <c r="R8" s="180"/>
      <c r="S8" s="137">
        <f>(N8*H8)/1000000</f>
        <v>17.416830845183313</v>
      </c>
    </row>
    <row r="9" spans="1:26" s="137" customFormat="1">
      <c r="A9" s="137" t="s">
        <v>40</v>
      </c>
      <c r="C9" s="14">
        <v>817221</v>
      </c>
      <c r="D9" s="14">
        <v>49</v>
      </c>
      <c r="E9" s="180">
        <f>AC95</f>
        <v>62.643367346938795</v>
      </c>
      <c r="F9" s="221">
        <f>1000000/C9</f>
        <v>1.2236592060164875</v>
      </c>
      <c r="G9" s="221">
        <f>(D9*F9)*0.75</f>
        <v>44.969475821105917</v>
      </c>
      <c r="H9" s="221">
        <f>20*G9</f>
        <v>899.38951642211828</v>
      </c>
      <c r="I9" s="180">
        <f>E9/2</f>
        <v>31.321683673469398</v>
      </c>
      <c r="J9" s="22">
        <f>PI()*(I9^2)</f>
        <v>3082.052775371315</v>
      </c>
      <c r="K9" s="22">
        <f>(J9*H9)/1000000</f>
        <v>2.7719659552286546</v>
      </c>
      <c r="L9" s="22">
        <f>J9*D9</f>
        <v>151020.58599319443</v>
      </c>
      <c r="M9" s="22">
        <f>(L9/C9)*100</f>
        <v>18.479773034857701</v>
      </c>
      <c r="N9" s="180">
        <f>4*PI()*(I9^2)</f>
        <v>12328.21110148526</v>
      </c>
      <c r="O9" s="180">
        <f>4/3*PI()*(I9^3)</f>
        <v>128713.44279349167</v>
      </c>
      <c r="P9" s="191">
        <f>O9/1000000000</f>
        <v>1.2871344279349168E-4</v>
      </c>
      <c r="Q9" s="22"/>
      <c r="R9" s="180"/>
      <c r="S9" s="137">
        <f>(N9*H9)/1000000</f>
        <v>11.087863820914619</v>
      </c>
      <c r="T9" s="14"/>
    </row>
    <row r="10" spans="1:26" s="12" customFormat="1" ht="11.25" customHeight="1">
      <c r="B10" s="217" t="s">
        <v>238</v>
      </c>
      <c r="C10" s="131">
        <f>AVERAGE(C5:C9)</f>
        <v>315465.8</v>
      </c>
      <c r="D10" s="174">
        <f>AVERAGE(D5:D9)</f>
        <v>29.4</v>
      </c>
      <c r="E10" s="131">
        <f>AVERAGE(E5:E9)</f>
        <v>56.027845995869619</v>
      </c>
      <c r="F10" s="131">
        <f>AVERAGE(F5:F9)</f>
        <v>5.3750799469994481</v>
      </c>
      <c r="G10" s="131">
        <f t="shared" ref="G10:P10" si="0">AVERAGE(G5:G9)</f>
        <v>93.813797671054616</v>
      </c>
      <c r="H10" s="222">
        <f t="shared" si="0"/>
        <v>1876.2759534210923</v>
      </c>
      <c r="I10" s="131">
        <f t="shared" si="0"/>
        <v>28.013922997934809</v>
      </c>
      <c r="J10" s="131">
        <f t="shared" si="0"/>
        <v>2498.4834317741042</v>
      </c>
      <c r="K10" s="131">
        <f t="shared" si="0"/>
        <v>4.3925029124997206</v>
      </c>
      <c r="L10" s="174">
        <f t="shared" si="0"/>
        <v>79193.756525699588</v>
      </c>
      <c r="M10" s="131">
        <f t="shared" si="0"/>
        <v>28.898639370695133</v>
      </c>
      <c r="N10" s="131">
        <f t="shared" si="0"/>
        <v>9993.933727096417</v>
      </c>
      <c r="O10" s="131">
        <f t="shared" si="0"/>
        <v>95739.27823004403</v>
      </c>
      <c r="P10" s="131">
        <f t="shared" si="0"/>
        <v>9.5739278230044038E-5</v>
      </c>
      <c r="Q10" s="131"/>
      <c r="R10" s="131">
        <f>H10</f>
        <v>1876.2759534210923</v>
      </c>
      <c r="S10" s="131">
        <f>AVERAGE(S5:S9)</f>
        <v>17.570011649998882</v>
      </c>
      <c r="T10" s="184"/>
      <c r="U10" s="184"/>
      <c r="V10" s="185"/>
      <c r="W10" s="186"/>
      <c r="X10" s="184"/>
      <c r="Y10" s="184"/>
      <c r="Z10" s="184"/>
    </row>
    <row r="12" spans="1:26" s="137" customFormat="1"/>
    <row r="13" spans="1:26" s="137" customFormat="1">
      <c r="B13" s="137" t="s">
        <v>37</v>
      </c>
      <c r="C13" s="14">
        <v>281196</v>
      </c>
      <c r="D13" s="14">
        <v>67</v>
      </c>
      <c r="E13" s="137">
        <v>50</v>
      </c>
      <c r="I13" s="180">
        <f>E13/2</f>
        <v>25</v>
      </c>
      <c r="J13" s="22">
        <f>PI()*(I13^2)</f>
        <v>1963.4954084936207</v>
      </c>
      <c r="K13" s="22"/>
      <c r="L13" s="14">
        <f>J13*D13</f>
        <v>131554.19236907258</v>
      </c>
      <c r="M13" s="181">
        <f>(L13/C13)*100</f>
        <v>46.783806444285332</v>
      </c>
      <c r="T13" s="14"/>
    </row>
    <row r="14" spans="1:26" s="137" customFormat="1">
      <c r="C14" s="14"/>
      <c r="D14" s="14"/>
      <c r="I14" s="180"/>
      <c r="J14" s="22"/>
      <c r="K14" s="22"/>
      <c r="L14" s="14"/>
      <c r="M14" s="181"/>
      <c r="T14" s="14"/>
    </row>
    <row r="15" spans="1:26" s="137" customFormat="1">
      <c r="C15" s="14"/>
      <c r="D15" s="14"/>
      <c r="I15" s="180"/>
      <c r="J15" s="22"/>
      <c r="K15" s="22"/>
      <c r="L15" s="14"/>
      <c r="M15" s="181"/>
      <c r="T15" s="14"/>
    </row>
    <row r="16" spans="1:26" s="137" customFormat="1">
      <c r="C16" s="14"/>
      <c r="D16" s="14"/>
      <c r="I16" s="180"/>
      <c r="J16" s="22"/>
      <c r="K16" s="22"/>
      <c r="L16" s="14"/>
      <c r="M16" s="181"/>
      <c r="T16" s="14"/>
    </row>
    <row r="19" spans="1:26">
      <c r="A19" s="177" t="s">
        <v>47</v>
      </c>
    </row>
    <row r="20" spans="1:26">
      <c r="B20" s="4" t="s">
        <v>149</v>
      </c>
      <c r="C20" s="189" t="s">
        <v>48</v>
      </c>
      <c r="D20" s="4"/>
    </row>
    <row r="21" spans="1:26" ht="37.5" customHeight="1">
      <c r="C21" t="s">
        <v>143</v>
      </c>
      <c r="D21" t="s">
        <v>144</v>
      </c>
      <c r="E21" s="182" t="s">
        <v>49</v>
      </c>
      <c r="F21" s="182"/>
      <c r="G21" s="182"/>
      <c r="H21" s="182"/>
      <c r="I21" s="14" t="s">
        <v>1</v>
      </c>
      <c r="J21" s="14" t="s">
        <v>2</v>
      </c>
      <c r="K21" s="14" t="s">
        <v>8</v>
      </c>
      <c r="M21" s="14"/>
    </row>
    <row r="22" spans="1:26">
      <c r="B22" t="s">
        <v>44</v>
      </c>
      <c r="C22">
        <v>20</v>
      </c>
      <c r="D22">
        <v>35</v>
      </c>
      <c r="E22">
        <f>AVERAGE(C22:D22)</f>
        <v>27.5</v>
      </c>
      <c r="I22">
        <f>E22/2</f>
        <v>13.75</v>
      </c>
      <c r="J22" s="22">
        <f>PI()*(I22^2)</f>
        <v>593.95736106932031</v>
      </c>
    </row>
    <row r="23" spans="1:26">
      <c r="B23" t="s">
        <v>43</v>
      </c>
      <c r="C23">
        <v>31.53</v>
      </c>
      <c r="D23">
        <v>10.75</v>
      </c>
      <c r="E23">
        <f>AVERAGE(C23:D23)</f>
        <v>21.14</v>
      </c>
      <c r="I23">
        <f>E23/2</f>
        <v>10.57</v>
      </c>
      <c r="J23" s="22">
        <f>PI()*(I23^2)</f>
        <v>350.9941250630543</v>
      </c>
    </row>
    <row r="24" spans="1:26">
      <c r="B24" t="s">
        <v>39</v>
      </c>
      <c r="C24">
        <v>37.630000000000003</v>
      </c>
      <c r="D24">
        <v>39.549999999999997</v>
      </c>
      <c r="E24">
        <f>AVERAGE(C24:D24)</f>
        <v>38.590000000000003</v>
      </c>
      <c r="I24">
        <f>E24/2</f>
        <v>19.295000000000002</v>
      </c>
      <c r="J24" s="22">
        <f>PI()*(I24^2)</f>
        <v>1169.6055986933359</v>
      </c>
    </row>
    <row r="25" spans="1:26">
      <c r="B25" s="4" t="s">
        <v>45</v>
      </c>
      <c r="C25" s="4">
        <v>64.5</v>
      </c>
      <c r="D25" s="4">
        <v>42.32</v>
      </c>
      <c r="E25" s="4">
        <f>AVERAGE(C25:D25)</f>
        <v>53.41</v>
      </c>
      <c r="F25" s="4"/>
      <c r="G25" s="4"/>
      <c r="H25" s="4"/>
      <c r="I25" s="4">
        <f>E25/2</f>
        <v>26.704999999999998</v>
      </c>
      <c r="J25" s="190">
        <f>PI()*(I25^2)</f>
        <v>2240.448870595952</v>
      </c>
      <c r="K25" s="4"/>
    </row>
    <row r="26" spans="1:26">
      <c r="B26" s="219" t="s">
        <v>46</v>
      </c>
      <c r="C26" s="211"/>
      <c r="D26" s="132"/>
      <c r="E26" s="211">
        <f>AVERAGE(E22:I25)</f>
        <v>26.370000000000005</v>
      </c>
      <c r="F26" s="211"/>
      <c r="G26" s="211"/>
      <c r="H26" s="211"/>
      <c r="I26" s="132"/>
      <c r="J26" s="211">
        <f>AVERAGE(J22:K25)</f>
        <v>1088.7514888554156</v>
      </c>
      <c r="K26" s="209">
        <f>(J26*H10)/1000000</f>
        <v>2.0427982377908287</v>
      </c>
      <c r="M26" s="223"/>
    </row>
    <row r="29" spans="1:26" s="17" customFormat="1">
      <c r="E29" s="120" t="s">
        <v>18</v>
      </c>
      <c r="F29" s="120" t="s">
        <v>271</v>
      </c>
      <c r="G29" s="120"/>
      <c r="H29" s="120"/>
      <c r="I29" s="21"/>
      <c r="M29" s="21"/>
      <c r="S29" s="21"/>
      <c r="T29" s="121"/>
      <c r="W29" s="21"/>
      <c r="Y29" s="122"/>
      <c r="Z29" s="21"/>
    </row>
    <row r="30" spans="1:26" s="17" customFormat="1">
      <c r="B30" s="17" t="s">
        <v>16</v>
      </c>
      <c r="E30" s="120" t="s">
        <v>19</v>
      </c>
      <c r="F30" s="120">
        <v>30</v>
      </c>
      <c r="G30" s="120"/>
      <c r="H30" s="120"/>
      <c r="I30" s="21"/>
      <c r="M30" s="21"/>
      <c r="S30" s="21"/>
      <c r="T30" s="121"/>
      <c r="W30" s="21"/>
      <c r="Y30" s="122"/>
      <c r="Z30" s="21"/>
    </row>
    <row r="31" spans="1:26" s="17" customFormat="1">
      <c r="B31" s="17" t="s">
        <v>137</v>
      </c>
      <c r="E31" s="120" t="s">
        <v>20</v>
      </c>
      <c r="F31" s="120">
        <v>15</v>
      </c>
      <c r="G31" s="120"/>
      <c r="H31" s="120"/>
      <c r="I31" s="21"/>
      <c r="M31" s="21"/>
      <c r="S31" s="21"/>
      <c r="T31" s="121"/>
      <c r="W31" s="21"/>
      <c r="Y31" s="122"/>
      <c r="Z31" s="21"/>
    </row>
    <row r="32" spans="1:26" s="17" customFormat="1">
      <c r="B32" s="17" t="s">
        <v>17</v>
      </c>
      <c r="E32" s="120"/>
      <c r="F32" s="120">
        <f>(F31*F30)/100</f>
        <v>4.5</v>
      </c>
      <c r="G32" s="120"/>
      <c r="H32" s="120"/>
      <c r="I32" s="21"/>
      <c r="M32" s="21"/>
      <c r="S32" s="21"/>
      <c r="T32" s="121"/>
      <c r="W32" s="21"/>
      <c r="Y32" s="122"/>
      <c r="Z32" s="21"/>
    </row>
    <row r="33" spans="1:30" s="17" customFormat="1">
      <c r="B33" s="17" t="s">
        <v>138</v>
      </c>
      <c r="E33" s="120"/>
      <c r="F33" s="120"/>
      <c r="G33" s="120"/>
      <c r="H33" s="120"/>
      <c r="I33" s="21"/>
      <c r="M33" s="21"/>
      <c r="S33" s="21"/>
      <c r="T33" s="121"/>
      <c r="W33" s="21"/>
      <c r="Y33" s="122"/>
      <c r="Z33" s="21"/>
    </row>
    <row r="34" spans="1:30" s="17" customFormat="1">
      <c r="B34" s="17" t="s">
        <v>21</v>
      </c>
      <c r="E34" s="120"/>
      <c r="F34" s="120">
        <f>4.3*PI()*(I10^2)</f>
        <v>10601.472457907566</v>
      </c>
      <c r="G34" s="120"/>
      <c r="H34" s="120"/>
      <c r="I34" s="21"/>
      <c r="M34" s="21"/>
      <c r="S34" s="21"/>
      <c r="T34" s="121"/>
      <c r="W34" s="21"/>
      <c r="Y34" s="122"/>
      <c r="Z34" s="21"/>
    </row>
    <row r="35" spans="1:30" s="17" customFormat="1">
      <c r="B35" s="17" t="s">
        <v>135</v>
      </c>
      <c r="E35" s="120"/>
      <c r="F35" s="120"/>
      <c r="G35" s="120"/>
      <c r="H35" s="120"/>
      <c r="I35" s="21"/>
      <c r="M35" s="21"/>
      <c r="S35" s="21"/>
      <c r="T35" s="121"/>
      <c r="W35" s="21"/>
      <c r="Y35" s="122"/>
      <c r="Z35" s="21"/>
    </row>
    <row r="36" spans="1:30" s="17" customFormat="1">
      <c r="B36" s="17" t="s">
        <v>136</v>
      </c>
      <c r="E36" s="120"/>
      <c r="F36" s="120">
        <f>(1/F34*1000000000)</f>
        <v>94326.519638704223</v>
      </c>
      <c r="G36" s="120"/>
      <c r="H36" s="120"/>
      <c r="I36" s="21"/>
      <c r="M36" s="21"/>
      <c r="S36" s="21"/>
      <c r="T36" s="121"/>
      <c r="W36" s="21"/>
      <c r="Y36" s="122"/>
      <c r="Z36" s="21"/>
    </row>
    <row r="37" spans="1:30" s="17" customFormat="1">
      <c r="E37" s="120"/>
      <c r="F37" s="120"/>
      <c r="G37" s="120"/>
      <c r="H37" s="120"/>
      <c r="I37" s="21"/>
      <c r="M37" s="21"/>
      <c r="S37" s="21"/>
      <c r="T37" s="121"/>
      <c r="W37" s="21"/>
      <c r="Y37" s="122"/>
      <c r="Z37" s="21"/>
    </row>
    <row r="42" spans="1:30">
      <c r="B42" s="188" t="s">
        <v>3</v>
      </c>
      <c r="C42" s="4"/>
      <c r="D42" s="4"/>
      <c r="E42" s="4"/>
      <c r="F42" s="4"/>
      <c r="G42" s="4"/>
      <c r="H42" s="4"/>
      <c r="I42" s="4"/>
      <c r="J42" s="4"/>
      <c r="K42" s="4"/>
      <c r="L42" s="4"/>
      <c r="M42" s="4"/>
      <c r="S42" s="4"/>
      <c r="T42" s="4"/>
      <c r="U42" s="4"/>
      <c r="V42" s="4"/>
      <c r="W42" s="4"/>
      <c r="X42" s="4"/>
    </row>
    <row r="43" spans="1:30">
      <c r="A43" t="s">
        <v>29</v>
      </c>
      <c r="B43" s="17" t="s">
        <v>149</v>
      </c>
      <c r="C43" t="s">
        <v>145</v>
      </c>
      <c r="I43" t="s">
        <v>29</v>
      </c>
      <c r="J43" t="s">
        <v>149</v>
      </c>
      <c r="L43" t="s">
        <v>151</v>
      </c>
      <c r="S43" t="s">
        <v>149</v>
      </c>
      <c r="T43" t="s">
        <v>151</v>
      </c>
      <c r="X43" t="s">
        <v>149</v>
      </c>
      <c r="Y43" t="s">
        <v>151</v>
      </c>
      <c r="AB43" t="s">
        <v>42</v>
      </c>
      <c r="AC43" t="s">
        <v>151</v>
      </c>
    </row>
    <row r="44" spans="1:30">
      <c r="B44" t="s">
        <v>142</v>
      </c>
      <c r="C44" t="s">
        <v>143</v>
      </c>
      <c r="D44" t="s">
        <v>144</v>
      </c>
      <c r="J44" t="s">
        <v>30</v>
      </c>
      <c r="L44" t="s">
        <v>143</v>
      </c>
      <c r="M44" t="s">
        <v>144</v>
      </c>
      <c r="S44" t="s">
        <v>32</v>
      </c>
      <c r="T44" t="s">
        <v>143</v>
      </c>
      <c r="U44" t="s">
        <v>144</v>
      </c>
      <c r="X44" t="s">
        <v>38</v>
      </c>
      <c r="Y44" t="s">
        <v>143</v>
      </c>
      <c r="Z44" t="s">
        <v>144</v>
      </c>
      <c r="AB44" t="s">
        <v>41</v>
      </c>
      <c r="AC44" t="s">
        <v>143</v>
      </c>
      <c r="AD44" t="s">
        <v>144</v>
      </c>
    </row>
    <row r="45" spans="1:30">
      <c r="B45">
        <v>1</v>
      </c>
      <c r="C45">
        <v>54.09</v>
      </c>
      <c r="D45">
        <v>51.39</v>
      </c>
      <c r="J45">
        <v>1</v>
      </c>
      <c r="L45">
        <v>53.48</v>
      </c>
      <c r="M45">
        <v>25.93</v>
      </c>
      <c r="S45">
        <v>1</v>
      </c>
      <c r="T45">
        <v>52.5</v>
      </c>
      <c r="U45">
        <v>26.72</v>
      </c>
      <c r="X45">
        <v>1</v>
      </c>
      <c r="Y45">
        <v>58.21</v>
      </c>
      <c r="Z45">
        <v>35.43</v>
      </c>
      <c r="AB45">
        <v>1</v>
      </c>
      <c r="AC45">
        <v>91.5</v>
      </c>
      <c r="AD45">
        <v>37.24</v>
      </c>
    </row>
    <row r="46" spans="1:30">
      <c r="B46">
        <v>2</v>
      </c>
      <c r="C46">
        <v>52.39</v>
      </c>
      <c r="D46">
        <v>32.770000000000003</v>
      </c>
      <c r="J46">
        <v>2</v>
      </c>
      <c r="L46">
        <v>47.37</v>
      </c>
      <c r="M46">
        <v>30.83</v>
      </c>
      <c r="S46">
        <v>2</v>
      </c>
      <c r="T46">
        <v>44.52</v>
      </c>
      <c r="U46">
        <v>22.11</v>
      </c>
      <c r="X46">
        <v>2</v>
      </c>
      <c r="Y46">
        <v>63.19</v>
      </c>
      <c r="Z46">
        <v>41.2</v>
      </c>
      <c r="AB46">
        <v>2</v>
      </c>
      <c r="AC46">
        <v>42.06</v>
      </c>
      <c r="AD46">
        <v>63.81</v>
      </c>
    </row>
    <row r="47" spans="1:30">
      <c r="B47">
        <v>3</v>
      </c>
      <c r="C47">
        <v>46.91</v>
      </c>
      <c r="D47">
        <v>42.03</v>
      </c>
      <c r="J47">
        <v>3</v>
      </c>
      <c r="L47">
        <v>58.69</v>
      </c>
      <c r="M47">
        <v>29.53</v>
      </c>
      <c r="S47">
        <v>3</v>
      </c>
      <c r="T47">
        <v>35.47</v>
      </c>
      <c r="U47">
        <v>21.28</v>
      </c>
      <c r="X47">
        <v>3</v>
      </c>
      <c r="Y47">
        <v>31.01</v>
      </c>
      <c r="Z47">
        <v>13.56</v>
      </c>
      <c r="AB47">
        <v>3</v>
      </c>
      <c r="AC47">
        <v>64.23</v>
      </c>
      <c r="AD47">
        <v>34.21</v>
      </c>
    </row>
    <row r="48" spans="1:30">
      <c r="B48">
        <v>4</v>
      </c>
      <c r="C48">
        <v>101.97</v>
      </c>
      <c r="D48">
        <v>18.23</v>
      </c>
      <c r="J48">
        <v>4</v>
      </c>
      <c r="L48">
        <v>45.87</v>
      </c>
      <c r="M48">
        <v>35.1</v>
      </c>
      <c r="S48">
        <v>4</v>
      </c>
      <c r="T48">
        <v>45.18</v>
      </c>
      <c r="U48">
        <v>21.77</v>
      </c>
      <c r="X48">
        <v>4</v>
      </c>
      <c r="Y48">
        <v>60.4</v>
      </c>
      <c r="Z48">
        <v>31.84</v>
      </c>
      <c r="AB48">
        <v>4</v>
      </c>
      <c r="AC48">
        <v>100.01</v>
      </c>
      <c r="AD48">
        <v>53.45</v>
      </c>
    </row>
    <row r="49" spans="2:30">
      <c r="B49">
        <v>5</v>
      </c>
      <c r="C49">
        <v>56.71</v>
      </c>
      <c r="D49">
        <v>23.66</v>
      </c>
      <c r="J49">
        <v>5</v>
      </c>
      <c r="L49">
        <v>109.53</v>
      </c>
      <c r="M49">
        <v>36.630000000000003</v>
      </c>
      <c r="S49">
        <v>5</v>
      </c>
      <c r="T49">
        <v>73.260000000000005</v>
      </c>
      <c r="U49">
        <v>38.29</v>
      </c>
      <c r="X49">
        <v>5</v>
      </c>
      <c r="Y49">
        <v>48.98</v>
      </c>
      <c r="Z49">
        <v>42.28</v>
      </c>
      <c r="AB49">
        <v>5</v>
      </c>
      <c r="AC49">
        <v>90.16</v>
      </c>
      <c r="AD49">
        <v>49.05</v>
      </c>
    </row>
    <row r="50" spans="2:30">
      <c r="B50">
        <v>6</v>
      </c>
      <c r="C50">
        <v>63.06</v>
      </c>
      <c r="D50">
        <v>32.1</v>
      </c>
      <c r="J50">
        <v>6</v>
      </c>
      <c r="L50">
        <v>52.96</v>
      </c>
      <c r="M50">
        <v>38.119999999999997</v>
      </c>
      <c r="S50">
        <v>6</v>
      </c>
      <c r="T50">
        <v>59.47</v>
      </c>
      <c r="U50">
        <v>50</v>
      </c>
      <c r="X50">
        <v>6</v>
      </c>
      <c r="Y50">
        <v>54.68</v>
      </c>
      <c r="Z50">
        <v>50.77</v>
      </c>
      <c r="AB50">
        <v>6</v>
      </c>
      <c r="AC50">
        <v>59.87</v>
      </c>
      <c r="AD50">
        <v>49.35</v>
      </c>
    </row>
    <row r="51" spans="2:30">
      <c r="B51">
        <v>7</v>
      </c>
      <c r="C51">
        <v>69.150000000000006</v>
      </c>
      <c r="D51">
        <v>55.55</v>
      </c>
      <c r="J51">
        <v>7</v>
      </c>
      <c r="L51">
        <v>50.47</v>
      </c>
      <c r="M51">
        <v>36.659999999999997</v>
      </c>
      <c r="S51">
        <v>7</v>
      </c>
      <c r="T51">
        <v>49.39</v>
      </c>
      <c r="U51">
        <v>32.4</v>
      </c>
      <c r="X51">
        <v>7</v>
      </c>
      <c r="Y51">
        <v>75.09</v>
      </c>
      <c r="Z51">
        <v>50.34</v>
      </c>
      <c r="AB51">
        <v>7</v>
      </c>
      <c r="AC51">
        <v>66.77</v>
      </c>
      <c r="AD51">
        <v>52.11</v>
      </c>
    </row>
    <row r="52" spans="2:30">
      <c r="B52">
        <v>8</v>
      </c>
      <c r="C52">
        <v>76.72</v>
      </c>
      <c r="D52">
        <v>29.91</v>
      </c>
      <c r="J52">
        <v>8</v>
      </c>
      <c r="L52">
        <v>47.72</v>
      </c>
      <c r="M52">
        <v>34.369999999999997</v>
      </c>
      <c r="S52">
        <v>8</v>
      </c>
      <c r="T52">
        <v>54.4</v>
      </c>
      <c r="U52">
        <v>54.83</v>
      </c>
      <c r="X52">
        <v>8</v>
      </c>
      <c r="Y52">
        <v>72.959999999999994</v>
      </c>
      <c r="Z52">
        <v>50.36</v>
      </c>
      <c r="AB52">
        <v>8</v>
      </c>
      <c r="AC52">
        <v>75.959999999999994</v>
      </c>
      <c r="AD52">
        <v>35.81</v>
      </c>
    </row>
    <row r="53" spans="2:30">
      <c r="B53">
        <v>9</v>
      </c>
      <c r="C53">
        <v>51.7</v>
      </c>
      <c r="D53">
        <v>47.49</v>
      </c>
      <c r="J53">
        <v>9</v>
      </c>
      <c r="L53">
        <v>53.44</v>
      </c>
      <c r="M53">
        <v>35.299999999999997</v>
      </c>
      <c r="S53">
        <v>9</v>
      </c>
      <c r="T53">
        <v>54.63</v>
      </c>
      <c r="U53">
        <v>56.55</v>
      </c>
      <c r="X53">
        <v>9</v>
      </c>
      <c r="Y53">
        <v>135.71</v>
      </c>
      <c r="Z53">
        <v>31.08</v>
      </c>
      <c r="AB53">
        <v>9</v>
      </c>
      <c r="AC53">
        <v>62.24</v>
      </c>
      <c r="AD53">
        <v>59.87</v>
      </c>
    </row>
    <row r="54" spans="2:30">
      <c r="B54">
        <v>10</v>
      </c>
      <c r="C54">
        <v>55.07</v>
      </c>
      <c r="D54">
        <v>29.77</v>
      </c>
      <c r="J54">
        <v>10</v>
      </c>
      <c r="L54">
        <v>40.74</v>
      </c>
      <c r="M54">
        <v>41</v>
      </c>
      <c r="S54">
        <v>10</v>
      </c>
      <c r="T54">
        <v>74.8</v>
      </c>
      <c r="U54">
        <v>36.71</v>
      </c>
      <c r="X54">
        <v>10</v>
      </c>
      <c r="Y54">
        <v>60.76</v>
      </c>
      <c r="Z54">
        <v>132.83000000000001</v>
      </c>
      <c r="AB54">
        <v>10</v>
      </c>
      <c r="AC54">
        <v>50.39</v>
      </c>
      <c r="AD54">
        <v>37.65</v>
      </c>
    </row>
    <row r="55" spans="2:30">
      <c r="B55">
        <v>11</v>
      </c>
      <c r="C55">
        <v>63.11</v>
      </c>
      <c r="D55">
        <v>32.520000000000003</v>
      </c>
      <c r="J55">
        <v>11</v>
      </c>
      <c r="L55">
        <v>51.53</v>
      </c>
      <c r="M55">
        <v>27.33</v>
      </c>
      <c r="S55">
        <v>11</v>
      </c>
      <c r="T55">
        <v>64.47</v>
      </c>
      <c r="U55">
        <v>86.76</v>
      </c>
      <c r="X55">
        <v>11</v>
      </c>
      <c r="Y55">
        <v>55.91</v>
      </c>
      <c r="Z55">
        <v>48.59</v>
      </c>
      <c r="AB55">
        <v>11</v>
      </c>
      <c r="AC55">
        <v>60.61</v>
      </c>
      <c r="AD55">
        <v>48.39</v>
      </c>
    </row>
    <row r="56" spans="2:30">
      <c r="B56">
        <v>12</v>
      </c>
      <c r="C56">
        <v>49.83</v>
      </c>
      <c r="D56">
        <v>35.75</v>
      </c>
      <c r="J56">
        <v>12</v>
      </c>
      <c r="L56">
        <v>69.2</v>
      </c>
      <c r="M56">
        <v>70.459999999999994</v>
      </c>
      <c r="S56">
        <v>12</v>
      </c>
      <c r="T56">
        <v>46.98</v>
      </c>
      <c r="U56">
        <v>50.98</v>
      </c>
      <c r="X56">
        <v>12</v>
      </c>
      <c r="Y56">
        <v>57.3</v>
      </c>
      <c r="Z56">
        <v>41.24</v>
      </c>
      <c r="AB56">
        <v>12</v>
      </c>
      <c r="AC56">
        <v>67.819999999999993</v>
      </c>
      <c r="AD56">
        <v>44.93</v>
      </c>
    </row>
    <row r="57" spans="2:30">
      <c r="B57">
        <v>13</v>
      </c>
      <c r="C57">
        <v>94.28</v>
      </c>
      <c r="D57">
        <v>24.37</v>
      </c>
      <c r="J57">
        <v>13</v>
      </c>
      <c r="L57">
        <v>42.72</v>
      </c>
      <c r="M57">
        <v>27.32</v>
      </c>
      <c r="S57">
        <v>13</v>
      </c>
      <c r="T57">
        <v>113.26</v>
      </c>
      <c r="U57">
        <v>48.02</v>
      </c>
      <c r="X57">
        <v>13</v>
      </c>
      <c r="Y57">
        <v>67.84</v>
      </c>
      <c r="Z57">
        <v>48.27</v>
      </c>
      <c r="AB57">
        <v>13</v>
      </c>
      <c r="AC57">
        <v>82.43</v>
      </c>
      <c r="AD57">
        <v>88.11</v>
      </c>
    </row>
    <row r="58" spans="2:30">
      <c r="B58">
        <v>14</v>
      </c>
      <c r="C58">
        <v>71.19</v>
      </c>
      <c r="D58">
        <v>45.25</v>
      </c>
      <c r="J58">
        <v>14</v>
      </c>
      <c r="L58">
        <v>50.82</v>
      </c>
      <c r="M58">
        <v>34.96</v>
      </c>
      <c r="S58">
        <v>14</v>
      </c>
      <c r="T58">
        <v>58.54</v>
      </c>
      <c r="U58">
        <v>47.95</v>
      </c>
      <c r="X58">
        <v>14</v>
      </c>
      <c r="Y58">
        <v>70.06</v>
      </c>
      <c r="Z58">
        <v>25.86</v>
      </c>
      <c r="AB58">
        <v>14</v>
      </c>
      <c r="AC58">
        <v>62.74</v>
      </c>
      <c r="AD58">
        <v>51.84</v>
      </c>
    </row>
    <row r="59" spans="2:30">
      <c r="B59">
        <v>15</v>
      </c>
      <c r="C59">
        <v>39.299999999999997</v>
      </c>
      <c r="D59">
        <v>43.3</v>
      </c>
      <c r="J59">
        <v>15</v>
      </c>
      <c r="L59">
        <v>87.26</v>
      </c>
      <c r="M59">
        <v>45.1</v>
      </c>
      <c r="S59">
        <v>15</v>
      </c>
      <c r="T59">
        <v>64.33</v>
      </c>
      <c r="U59">
        <v>44.9</v>
      </c>
      <c r="X59">
        <v>15</v>
      </c>
      <c r="Y59">
        <v>58.14</v>
      </c>
      <c r="Z59">
        <v>38.159999999999997</v>
      </c>
      <c r="AB59">
        <v>15</v>
      </c>
      <c r="AC59">
        <v>80.08</v>
      </c>
      <c r="AD59">
        <v>30.69</v>
      </c>
    </row>
    <row r="60" spans="2:30">
      <c r="B60">
        <v>16</v>
      </c>
      <c r="C60">
        <v>54.2</v>
      </c>
      <c r="D60">
        <v>18.420000000000002</v>
      </c>
      <c r="J60">
        <v>16</v>
      </c>
      <c r="L60">
        <v>63.69</v>
      </c>
      <c r="M60">
        <v>44.95</v>
      </c>
      <c r="S60">
        <v>16</v>
      </c>
      <c r="T60">
        <v>63.72</v>
      </c>
      <c r="U60">
        <v>60.96</v>
      </c>
      <c r="X60">
        <v>16</v>
      </c>
      <c r="Y60">
        <v>75.709999999999994</v>
      </c>
      <c r="Z60">
        <v>57.46</v>
      </c>
      <c r="AB60">
        <v>16</v>
      </c>
      <c r="AC60">
        <v>89.86</v>
      </c>
      <c r="AD60">
        <v>44.61</v>
      </c>
    </row>
    <row r="61" spans="2:30">
      <c r="B61">
        <v>17</v>
      </c>
      <c r="C61">
        <v>44.96</v>
      </c>
      <c r="D61">
        <v>43.58</v>
      </c>
      <c r="J61" s="4">
        <v>17</v>
      </c>
      <c r="K61" s="4"/>
      <c r="L61" s="4">
        <v>58.61</v>
      </c>
      <c r="M61" s="4">
        <v>37.14</v>
      </c>
      <c r="S61">
        <v>17</v>
      </c>
      <c r="T61">
        <v>69.959999999999994</v>
      </c>
      <c r="U61">
        <v>62.96</v>
      </c>
      <c r="X61">
        <v>17</v>
      </c>
      <c r="Y61">
        <v>70.47</v>
      </c>
      <c r="Z61">
        <v>69.099999999999994</v>
      </c>
      <c r="AB61">
        <v>17</v>
      </c>
      <c r="AC61">
        <v>83.89</v>
      </c>
      <c r="AD61">
        <v>49.13</v>
      </c>
    </row>
    <row r="62" spans="2:30">
      <c r="B62">
        <v>18</v>
      </c>
      <c r="C62" s="4">
        <v>73.099999999999994</v>
      </c>
      <c r="D62" s="4">
        <v>36.25</v>
      </c>
      <c r="L62" s="7">
        <f>AVERAGE(L45:L61)</f>
        <v>57.888235294117649</v>
      </c>
      <c r="M62" s="7">
        <f>AVERAGE(M45:M61)</f>
        <v>37.101764705882346</v>
      </c>
      <c r="S62">
        <v>18</v>
      </c>
      <c r="T62">
        <v>58.28</v>
      </c>
      <c r="U62">
        <v>31.6</v>
      </c>
      <c r="X62">
        <v>18</v>
      </c>
      <c r="Y62">
        <v>77.16</v>
      </c>
      <c r="Z62">
        <v>62.4</v>
      </c>
      <c r="AB62">
        <v>18</v>
      </c>
      <c r="AC62">
        <v>56.34</v>
      </c>
      <c r="AD62">
        <v>55.17</v>
      </c>
    </row>
    <row r="63" spans="2:30">
      <c r="C63" s="7">
        <f>AVERAGE(C45:C62)</f>
        <v>62.096666666666664</v>
      </c>
      <c r="D63" s="7">
        <f>AVERAGE(D45:D62)</f>
        <v>35.685555555555553</v>
      </c>
      <c r="S63">
        <v>19</v>
      </c>
      <c r="T63">
        <v>88.78</v>
      </c>
      <c r="U63">
        <v>36.99</v>
      </c>
      <c r="X63">
        <v>19</v>
      </c>
      <c r="Y63">
        <v>205.74</v>
      </c>
      <c r="Z63">
        <v>32.6</v>
      </c>
      <c r="AB63">
        <v>19</v>
      </c>
      <c r="AC63">
        <v>122.26</v>
      </c>
      <c r="AD63">
        <v>49.05</v>
      </c>
    </row>
    <row r="64" spans="2:30">
      <c r="B64" s="177" t="s">
        <v>146</v>
      </c>
      <c r="C64" s="178">
        <f>AVERAGE(C63:D63)</f>
        <v>48.891111111111108</v>
      </c>
      <c r="J64" s="177" t="s">
        <v>146</v>
      </c>
      <c r="K64" s="177"/>
      <c r="L64" s="178">
        <f>AVERAGE(L62:M62)</f>
        <v>47.494999999999997</v>
      </c>
      <c r="S64">
        <v>20</v>
      </c>
      <c r="T64">
        <v>74.290000000000006</v>
      </c>
      <c r="U64">
        <v>38.42</v>
      </c>
      <c r="X64">
        <v>20</v>
      </c>
      <c r="Y64">
        <v>44.33</v>
      </c>
      <c r="Z64">
        <v>57.63</v>
      </c>
      <c r="AB64">
        <v>20</v>
      </c>
      <c r="AC64">
        <v>75.41</v>
      </c>
      <c r="AD64">
        <v>44.99</v>
      </c>
    </row>
    <row r="65" spans="19:30">
      <c r="S65">
        <v>21</v>
      </c>
      <c r="T65">
        <v>79.72</v>
      </c>
      <c r="U65">
        <v>119.5</v>
      </c>
      <c r="X65">
        <v>21</v>
      </c>
      <c r="Y65">
        <v>118.13</v>
      </c>
      <c r="Z65">
        <v>58.77</v>
      </c>
      <c r="AB65">
        <v>21</v>
      </c>
      <c r="AC65">
        <v>118.45</v>
      </c>
      <c r="AD65">
        <v>65.239999999999995</v>
      </c>
    </row>
    <row r="66" spans="19:30">
      <c r="S66">
        <v>22</v>
      </c>
      <c r="T66">
        <v>109.43</v>
      </c>
      <c r="U66">
        <v>27.94</v>
      </c>
      <c r="X66">
        <v>22</v>
      </c>
      <c r="Y66">
        <v>51.56</v>
      </c>
      <c r="Z66">
        <v>54.68</v>
      </c>
      <c r="AB66">
        <v>22</v>
      </c>
      <c r="AC66">
        <v>95.07</v>
      </c>
      <c r="AD66">
        <v>66.31</v>
      </c>
    </row>
    <row r="67" spans="19:30">
      <c r="S67">
        <v>23</v>
      </c>
      <c r="T67">
        <v>95.4</v>
      </c>
      <c r="U67">
        <v>66.3</v>
      </c>
      <c r="X67">
        <v>23</v>
      </c>
      <c r="Y67">
        <v>72.349999999999994</v>
      </c>
      <c r="Z67">
        <v>49.28</v>
      </c>
      <c r="AB67">
        <v>23</v>
      </c>
      <c r="AC67">
        <v>87.88</v>
      </c>
      <c r="AD67">
        <v>58.62</v>
      </c>
    </row>
    <row r="68" spans="19:30">
      <c r="S68">
        <v>24</v>
      </c>
      <c r="T68">
        <v>69.180000000000007</v>
      </c>
      <c r="U68">
        <v>34.869999999999997</v>
      </c>
      <c r="X68">
        <v>24</v>
      </c>
      <c r="Y68">
        <v>45.09</v>
      </c>
      <c r="Z68">
        <v>39.79</v>
      </c>
      <c r="AB68">
        <v>24</v>
      </c>
      <c r="AC68">
        <v>55.55</v>
      </c>
      <c r="AD68">
        <v>66.42</v>
      </c>
    </row>
    <row r="69" spans="19:30">
      <c r="S69">
        <v>25</v>
      </c>
      <c r="T69">
        <v>65.84</v>
      </c>
      <c r="U69">
        <v>37.979999999999997</v>
      </c>
      <c r="X69">
        <v>25</v>
      </c>
      <c r="Y69">
        <v>53.22</v>
      </c>
      <c r="Z69">
        <v>46.1</v>
      </c>
      <c r="AB69">
        <v>25</v>
      </c>
      <c r="AC69">
        <v>66.150000000000006</v>
      </c>
      <c r="AD69">
        <v>38.840000000000003</v>
      </c>
    </row>
    <row r="70" spans="19:30">
      <c r="S70">
        <v>26</v>
      </c>
      <c r="T70">
        <v>75.23</v>
      </c>
      <c r="U70">
        <v>56.32</v>
      </c>
      <c r="X70">
        <v>26</v>
      </c>
      <c r="Y70">
        <v>104.74</v>
      </c>
      <c r="Z70">
        <v>47.96</v>
      </c>
      <c r="AB70">
        <v>26</v>
      </c>
      <c r="AC70">
        <v>72.290000000000006</v>
      </c>
      <c r="AD70">
        <v>46.89</v>
      </c>
    </row>
    <row r="71" spans="19:30">
      <c r="S71">
        <v>27</v>
      </c>
      <c r="T71">
        <v>43.39</v>
      </c>
      <c r="U71">
        <v>56.37</v>
      </c>
      <c r="X71">
        <v>27</v>
      </c>
      <c r="Y71">
        <v>77.040000000000006</v>
      </c>
      <c r="Z71">
        <v>49.15</v>
      </c>
      <c r="AB71">
        <v>27</v>
      </c>
      <c r="AC71">
        <v>69.349999999999994</v>
      </c>
      <c r="AD71">
        <v>22.64</v>
      </c>
    </row>
    <row r="72" spans="19:30">
      <c r="S72">
        <v>28</v>
      </c>
      <c r="T72">
        <v>213.42</v>
      </c>
      <c r="U72">
        <v>32.22</v>
      </c>
      <c r="X72">
        <v>28</v>
      </c>
      <c r="Y72">
        <v>99.1</v>
      </c>
      <c r="Z72">
        <v>84.76</v>
      </c>
      <c r="AB72">
        <v>28</v>
      </c>
      <c r="AC72">
        <v>53.32</v>
      </c>
      <c r="AD72">
        <v>64.540000000000006</v>
      </c>
    </row>
    <row r="73" spans="19:30">
      <c r="S73">
        <v>29</v>
      </c>
      <c r="T73">
        <v>66.45</v>
      </c>
      <c r="U73">
        <v>60.41</v>
      </c>
      <c r="X73" s="4">
        <v>29</v>
      </c>
      <c r="Y73" s="4">
        <v>79.06</v>
      </c>
      <c r="Z73" s="4">
        <v>30.95</v>
      </c>
      <c r="AB73">
        <v>29</v>
      </c>
      <c r="AC73">
        <v>98.6</v>
      </c>
      <c r="AD73">
        <v>101.66</v>
      </c>
    </row>
    <row r="74" spans="19:30">
      <c r="S74">
        <v>30</v>
      </c>
      <c r="T74">
        <v>74.75</v>
      </c>
      <c r="U74">
        <v>69.89</v>
      </c>
      <c r="Y74" s="7">
        <f>AVERAGE(Y45:Y73)</f>
        <v>73.928965517241366</v>
      </c>
      <c r="Z74" s="7">
        <f>AVERAGE(Z45:Z73)</f>
        <v>49.049655172413793</v>
      </c>
      <c r="AB74">
        <v>30</v>
      </c>
      <c r="AC74">
        <v>64.88</v>
      </c>
      <c r="AD74">
        <v>56.54</v>
      </c>
    </row>
    <row r="75" spans="19:30">
      <c r="S75">
        <v>31</v>
      </c>
      <c r="T75">
        <v>67.81</v>
      </c>
      <c r="U75">
        <v>62.48</v>
      </c>
      <c r="X75" s="177" t="s">
        <v>146</v>
      </c>
      <c r="Y75" s="178">
        <f>AVERAGE(Y74:Z74)</f>
        <v>61.48931034482758</v>
      </c>
      <c r="AB75">
        <v>31</v>
      </c>
      <c r="AC75">
        <v>39.24</v>
      </c>
      <c r="AD75">
        <v>58.27</v>
      </c>
    </row>
    <row r="76" spans="19:30">
      <c r="S76">
        <v>32</v>
      </c>
      <c r="T76">
        <v>79.06</v>
      </c>
      <c r="U76">
        <v>44.54</v>
      </c>
      <c r="AB76">
        <v>32</v>
      </c>
      <c r="AC76">
        <v>81.42</v>
      </c>
      <c r="AD76">
        <v>42.95</v>
      </c>
    </row>
    <row r="77" spans="19:30">
      <c r="S77">
        <v>33</v>
      </c>
      <c r="T77">
        <v>74</v>
      </c>
      <c r="U77">
        <v>52.78</v>
      </c>
      <c r="AB77">
        <v>33</v>
      </c>
      <c r="AC77">
        <v>57.28</v>
      </c>
      <c r="AD77">
        <v>39.380000000000003</v>
      </c>
    </row>
    <row r="78" spans="19:30">
      <c r="S78" s="4">
        <v>34</v>
      </c>
      <c r="T78" s="4">
        <v>64.069999999999993</v>
      </c>
      <c r="U78" s="4">
        <v>38.409999999999997</v>
      </c>
      <c r="AB78">
        <v>34</v>
      </c>
      <c r="AC78">
        <v>70.319999999999993</v>
      </c>
      <c r="AD78">
        <v>69.650000000000006</v>
      </c>
    </row>
    <row r="79" spans="19:30">
      <c r="T79" s="7">
        <f>AVERAGE(T45:T78)</f>
        <v>71.293529411764709</v>
      </c>
      <c r="U79" s="7">
        <f>AVERAGE(U45:U78)</f>
        <v>47.947352941176469</v>
      </c>
      <c r="AB79">
        <v>35</v>
      </c>
      <c r="AC79">
        <v>139.94999999999999</v>
      </c>
      <c r="AD79">
        <v>60.46</v>
      </c>
    </row>
    <row r="80" spans="19:30">
      <c r="S80" s="177" t="s">
        <v>146</v>
      </c>
      <c r="T80" s="178">
        <f>AVERAGE(T79:U79)</f>
        <v>59.620441176470592</v>
      </c>
      <c r="AB80">
        <v>36</v>
      </c>
      <c r="AC80">
        <v>88.05</v>
      </c>
      <c r="AD80">
        <v>30.69</v>
      </c>
    </row>
    <row r="81" spans="28:30">
      <c r="AB81">
        <v>37</v>
      </c>
      <c r="AC81">
        <v>105.44</v>
      </c>
      <c r="AD81">
        <v>44.29</v>
      </c>
    </row>
    <row r="82" spans="28:30">
      <c r="AB82">
        <v>38</v>
      </c>
      <c r="AC82">
        <v>79.569999999999993</v>
      </c>
      <c r="AD82">
        <v>48.12</v>
      </c>
    </row>
    <row r="83" spans="28:30">
      <c r="AB83">
        <v>39</v>
      </c>
      <c r="AC83">
        <v>74.209999999999994</v>
      </c>
      <c r="AD83">
        <v>67.91</v>
      </c>
    </row>
    <row r="84" spans="28:30">
      <c r="AB84">
        <v>40</v>
      </c>
      <c r="AC84">
        <v>87.71</v>
      </c>
      <c r="AD84">
        <v>32.619999999999997</v>
      </c>
    </row>
    <row r="85" spans="28:30">
      <c r="AB85">
        <v>41</v>
      </c>
      <c r="AC85">
        <v>51.26</v>
      </c>
      <c r="AD85">
        <v>41.12</v>
      </c>
    </row>
    <row r="86" spans="28:30">
      <c r="AB86">
        <v>42</v>
      </c>
      <c r="AC86">
        <v>71.86</v>
      </c>
      <c r="AD86">
        <v>26.26</v>
      </c>
    </row>
    <row r="87" spans="28:30">
      <c r="AB87">
        <v>43</v>
      </c>
      <c r="AC87">
        <v>73.08</v>
      </c>
      <c r="AD87">
        <v>35.81</v>
      </c>
    </row>
    <row r="88" spans="28:30">
      <c r="AB88">
        <v>44</v>
      </c>
      <c r="AC88">
        <v>104.84</v>
      </c>
      <c r="AD88">
        <v>39.04</v>
      </c>
    </row>
    <row r="89" spans="28:30">
      <c r="AB89">
        <v>45</v>
      </c>
      <c r="AC89">
        <v>77.44</v>
      </c>
      <c r="AD89">
        <v>46.19</v>
      </c>
    </row>
    <row r="90" spans="28:30">
      <c r="AB90">
        <v>46</v>
      </c>
      <c r="AC90">
        <v>45.68</v>
      </c>
      <c r="AD90">
        <v>35.81</v>
      </c>
    </row>
    <row r="91" spans="28:30">
      <c r="AB91">
        <v>47</v>
      </c>
      <c r="AC91">
        <v>63.64</v>
      </c>
      <c r="AD91">
        <v>57.43</v>
      </c>
    </row>
    <row r="92" spans="28:30">
      <c r="AB92">
        <v>48</v>
      </c>
      <c r="AC92">
        <v>79.69</v>
      </c>
      <c r="AD92">
        <v>35.700000000000003</v>
      </c>
    </row>
    <row r="93" spans="28:30">
      <c r="AB93" s="4">
        <v>49</v>
      </c>
      <c r="AC93" s="4">
        <v>56.54</v>
      </c>
      <c r="AD93" s="4">
        <v>46.8</v>
      </c>
    </row>
    <row r="94" spans="28:30">
      <c r="AC94" s="7">
        <f>AVERAGE(AC45:AC93)</f>
        <v>75.783469387755133</v>
      </c>
      <c r="AD94" s="7">
        <f>AVERAGE(AD45:AD93)</f>
        <v>49.503265306122458</v>
      </c>
    </row>
    <row r="95" spans="28:30">
      <c r="AB95" s="177" t="s">
        <v>146</v>
      </c>
      <c r="AC95" s="178">
        <f>AVERAGE(AC94:AD94)</f>
        <v>62.643367346938795</v>
      </c>
    </row>
  </sheetData>
  <phoneticPr fontId="3" type="noConversion"/>
  <pageMargins left="0.75" right="0.75" top="1" bottom="1" header="0.5" footer="0.5"/>
  <pageSetup orientation="portrait" horizontalDpi="300" verticalDpi="300"/>
  <headerFooter alignWithMargins="0"/>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workbookViewId="0">
      <selection activeCell="H13" sqref="H13"/>
    </sheetView>
  </sheetViews>
  <sheetFormatPr defaultColWidth="8.85546875" defaultRowHeight="12.75"/>
  <cols>
    <col min="1" max="1" width="13.7109375" customWidth="1"/>
    <col min="4" max="4" width="11.42578125" customWidth="1"/>
  </cols>
  <sheetData>
    <row r="1" spans="1:12">
      <c r="A1" s="15" t="s">
        <v>154</v>
      </c>
      <c r="B1" s="16"/>
    </row>
    <row r="2" spans="1:12">
      <c r="A2" t="s">
        <v>431</v>
      </c>
    </row>
    <row r="3" spans="1:12">
      <c r="A3" t="s">
        <v>320</v>
      </c>
    </row>
    <row r="4" spans="1:12">
      <c r="A4" s="1" t="s">
        <v>254</v>
      </c>
      <c r="G4" t="s">
        <v>90</v>
      </c>
      <c r="K4" s="1"/>
    </row>
    <row r="5" spans="1:12" ht="63.75">
      <c r="A5" s="128" t="s">
        <v>155</v>
      </c>
      <c r="B5" s="31" t="s">
        <v>130</v>
      </c>
      <c r="C5" s="31" t="s">
        <v>231</v>
      </c>
      <c r="D5" s="31" t="s">
        <v>157</v>
      </c>
      <c r="E5" s="31" t="s">
        <v>88</v>
      </c>
      <c r="F5" s="31" t="s">
        <v>321</v>
      </c>
      <c r="G5" s="31" t="s">
        <v>89</v>
      </c>
      <c r="H5" s="31" t="s">
        <v>129</v>
      </c>
      <c r="I5" s="25" t="s">
        <v>476</v>
      </c>
      <c r="K5" s="344" t="s">
        <v>432</v>
      </c>
    </row>
    <row r="6" spans="1:12">
      <c r="B6" s="7">
        <v>188</v>
      </c>
      <c r="K6" s="246">
        <v>121.71</v>
      </c>
      <c r="L6" s="5"/>
    </row>
    <row r="7" spans="1:12">
      <c r="B7" s="7">
        <v>248</v>
      </c>
      <c r="K7">
        <v>100.36</v>
      </c>
    </row>
    <row r="8" spans="1:12">
      <c r="B8" s="7"/>
      <c r="K8">
        <v>120.62</v>
      </c>
    </row>
    <row r="9" spans="1:12">
      <c r="A9" s="339" t="s">
        <v>280</v>
      </c>
      <c r="B9" s="131">
        <f>AVERAGE(B6:B7)</f>
        <v>218</v>
      </c>
      <c r="C9" s="339">
        <f>B9/2</f>
        <v>109</v>
      </c>
      <c r="D9" s="184">
        <f>PI()*(C9^2)</f>
        <v>37325.26231730033</v>
      </c>
      <c r="E9" s="338">
        <v>8</v>
      </c>
      <c r="F9" s="345">
        <v>4905816</v>
      </c>
      <c r="G9" s="339">
        <f>D9*E9</f>
        <v>298602.09853840264</v>
      </c>
      <c r="H9" s="184">
        <f>(G9/F9)*100</f>
        <v>6.086695843023926</v>
      </c>
      <c r="I9" s="447">
        <f>H9/100</f>
        <v>6.086695843023926E-2</v>
      </c>
      <c r="K9">
        <v>127.6</v>
      </c>
    </row>
    <row r="10" spans="1:12">
      <c r="B10" s="7"/>
      <c r="E10" s="12"/>
      <c r="F10" s="12"/>
      <c r="G10" s="12"/>
      <c r="H10" s="12"/>
      <c r="K10" s="209">
        <f>AVERAGE(K6:K9)</f>
        <v>117.57249999999999</v>
      </c>
    </row>
    <row r="11" spans="1:12">
      <c r="A11" s="87"/>
      <c r="B11" s="90"/>
      <c r="C11" s="87"/>
      <c r="D11" s="87"/>
      <c r="E11" s="87"/>
      <c r="F11" s="87"/>
      <c r="G11" s="87"/>
      <c r="H11" s="87"/>
      <c r="L11" s="1"/>
    </row>
    <row r="12" spans="1:12" ht="38.25">
      <c r="A12" s="88" t="s">
        <v>156</v>
      </c>
      <c r="B12" s="130"/>
      <c r="C12" s="87"/>
      <c r="D12" s="87"/>
      <c r="E12" s="87"/>
      <c r="F12" s="87"/>
      <c r="G12" s="87"/>
      <c r="H12" s="87"/>
    </row>
    <row r="13" spans="1:12">
      <c r="A13" s="129"/>
      <c r="B13" s="86">
        <v>405</v>
      </c>
      <c r="C13" s="110">
        <f>B13/2</f>
        <v>202.5</v>
      </c>
      <c r="D13" s="93">
        <f>PI()*(C13^2)</f>
        <v>128824.93375126645</v>
      </c>
      <c r="E13" s="99">
        <v>8</v>
      </c>
      <c r="F13" s="103">
        <v>4905816</v>
      </c>
      <c r="G13" s="87">
        <f>D13*E13</f>
        <v>1030599.4700101316</v>
      </c>
      <c r="H13" s="92">
        <f>(G13/F13)*100</f>
        <v>21.007707382627714</v>
      </c>
      <c r="I13" s="447">
        <f>H13/100</f>
        <v>0.21007707382627713</v>
      </c>
    </row>
  </sheetData>
  <phoneticPr fontId="3" type="noConversion"/>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workbookViewId="0">
      <selection activeCell="D25" sqref="D25"/>
    </sheetView>
  </sheetViews>
  <sheetFormatPr defaultColWidth="9.140625" defaultRowHeight="12.75"/>
  <cols>
    <col min="1" max="1" width="29.140625" style="299" customWidth="1"/>
    <col min="2" max="2" width="9.5703125" style="299" customWidth="1"/>
    <col min="3" max="3" width="2.42578125" style="299" bestFit="1" customWidth="1"/>
    <col min="4" max="4" width="9.42578125" style="299" bestFit="1" customWidth="1"/>
    <col min="5" max="5" width="2" style="299" bestFit="1" customWidth="1"/>
    <col min="6" max="6" width="8.42578125" style="299" customWidth="1"/>
    <col min="7" max="7" width="7.28515625" style="299" customWidth="1"/>
    <col min="8" max="8" width="12.28515625" style="299" customWidth="1"/>
    <col min="9" max="9" width="12.42578125" style="346" customWidth="1"/>
    <col min="10" max="10" width="1.42578125" style="299" customWidth="1"/>
    <col min="11" max="11" width="10.5703125" style="299" customWidth="1"/>
    <col min="12" max="12" width="11.28515625" style="346" customWidth="1"/>
    <col min="13" max="13" width="1.42578125" style="299" customWidth="1"/>
    <col min="14" max="14" width="11.42578125" style="299" customWidth="1"/>
    <col min="15" max="15" width="10.42578125" style="346" customWidth="1"/>
    <col min="16" max="16" width="8.42578125" style="299" customWidth="1"/>
    <col min="17" max="17" width="12.28515625" style="299" customWidth="1"/>
    <col min="18" max="16384" width="9.140625" style="299"/>
  </cols>
  <sheetData>
    <row r="1" spans="1:17" ht="54" thickBot="1">
      <c r="A1" s="347" t="s">
        <v>350</v>
      </c>
      <c r="B1" s="347" t="s">
        <v>434</v>
      </c>
      <c r="C1" s="347"/>
      <c r="D1" s="347" t="s">
        <v>435</v>
      </c>
      <c r="E1" s="347"/>
      <c r="F1" s="347" t="s">
        <v>359</v>
      </c>
      <c r="G1" s="347" t="s">
        <v>433</v>
      </c>
      <c r="H1" s="348" t="s">
        <v>373</v>
      </c>
      <c r="I1" s="349" t="s">
        <v>438</v>
      </c>
      <c r="J1" s="348"/>
      <c r="K1" s="348" t="s">
        <v>374</v>
      </c>
      <c r="L1" s="349" t="s">
        <v>440</v>
      </c>
      <c r="M1" s="348"/>
      <c r="N1" s="350" t="s">
        <v>437</v>
      </c>
      <c r="O1" s="349" t="s">
        <v>439</v>
      </c>
      <c r="P1" s="347" t="s">
        <v>375</v>
      </c>
      <c r="Q1" s="347" t="s">
        <v>436</v>
      </c>
    </row>
    <row r="2" spans="1:17">
      <c r="A2" s="351" t="str">
        <f>Summary!B12</f>
        <v>Ostia</v>
      </c>
      <c r="B2" s="352">
        <f>Summary!C12</f>
        <v>3.8879539623796582</v>
      </c>
      <c r="C2" s="353" t="str">
        <f>Summary!D12</f>
        <v>a</v>
      </c>
      <c r="D2" s="353">
        <f>Summary!E12</f>
        <v>0.5</v>
      </c>
      <c r="E2" s="353" t="str">
        <f>Summary!F12</f>
        <v>b</v>
      </c>
      <c r="F2" s="354">
        <f>Summary!I12</f>
        <v>0</v>
      </c>
      <c r="G2" s="355">
        <f>Summary!K12</f>
        <v>4.6683077008313951</v>
      </c>
      <c r="H2" s="356">
        <f>Summary!L12</f>
        <v>25.862424662605925</v>
      </c>
      <c r="I2" s="357">
        <v>30</v>
      </c>
      <c r="J2" s="353"/>
      <c r="K2" s="358">
        <f>Summary!M12*1000000</f>
        <v>1107.4549650029442</v>
      </c>
      <c r="L2" s="357">
        <v>400</v>
      </c>
      <c r="M2" s="353"/>
      <c r="N2" s="358">
        <f>'Recalc of mesh DH'!K13</f>
        <v>67936.058143680828</v>
      </c>
      <c r="O2" s="357">
        <v>37</v>
      </c>
      <c r="P2" s="355">
        <f>Summary!Q12*100</f>
        <v>8.3140428268636288</v>
      </c>
      <c r="Q2" s="356">
        <f>Summary!R12</f>
        <v>1902.6689821392183</v>
      </c>
    </row>
    <row r="3" spans="1:17">
      <c r="A3" s="351" t="str">
        <f>Summary!B13</f>
        <v>Subdermal space</v>
      </c>
      <c r="B3" s="352">
        <f>Summary!C13</f>
        <v>90</v>
      </c>
      <c r="C3" s="353" t="str">
        <f>Summary!D13</f>
        <v>c</v>
      </c>
      <c r="D3" s="353">
        <f>Summary!E13</f>
        <v>82.47</v>
      </c>
      <c r="E3" s="353" t="str">
        <f>Summary!F13</f>
        <v>d</v>
      </c>
      <c r="F3" s="354">
        <f>Summary!I13</f>
        <v>8.4627544544213212E-3</v>
      </c>
      <c r="G3" s="355">
        <f>Summary!K13</f>
        <v>16.74620863715678</v>
      </c>
      <c r="H3" s="356">
        <f>Summary!L13</f>
        <v>92.773995849848561</v>
      </c>
      <c r="I3" s="357">
        <v>95</v>
      </c>
      <c r="J3" s="353"/>
      <c r="K3" s="358">
        <f>Summary!M13*1000000</f>
        <v>308.72304612138015</v>
      </c>
      <c r="L3" s="357"/>
      <c r="M3" s="353"/>
      <c r="N3" s="358">
        <f>Summary!P13</f>
        <v>14.804673955427463</v>
      </c>
      <c r="O3" s="357" t="s">
        <v>354</v>
      </c>
      <c r="P3" s="355">
        <f>Summary!Q13*100</f>
        <v>0.71340875106579638</v>
      </c>
      <c r="Q3" s="356">
        <f>Summary!R13</f>
        <v>1887.8643081837909</v>
      </c>
    </row>
    <row r="4" spans="1:17">
      <c r="A4" s="351" t="str">
        <f>Summary!B14</f>
        <v>Large incurrent canal</v>
      </c>
      <c r="B4" s="352">
        <f>Summary!C14</f>
        <v>365.56999999999994</v>
      </c>
      <c r="C4" s="353" t="str">
        <f>Summary!D14</f>
        <v>e</v>
      </c>
      <c r="D4" s="353">
        <f>Summary!E14</f>
        <v>2000</v>
      </c>
      <c r="E4" s="353" t="str">
        <f>Summary!F14</f>
        <v>f</v>
      </c>
      <c r="F4" s="354">
        <f>Summary!I14</f>
        <v>1.4043094741666742</v>
      </c>
      <c r="G4" s="355">
        <f>Summary!K14</f>
        <v>3.0895835620908541</v>
      </c>
      <c r="H4" s="356">
        <f>Summary!L14</f>
        <v>17.116292933983331</v>
      </c>
      <c r="I4" s="357">
        <v>10</v>
      </c>
      <c r="J4" s="353"/>
      <c r="K4" s="358">
        <f>Summary!M14*1000000</f>
        <v>1673.3454323366759</v>
      </c>
      <c r="L4" s="357">
        <v>120</v>
      </c>
      <c r="M4" s="353"/>
      <c r="N4" s="358">
        <f>Summary!P14</f>
        <v>117.94874430241936</v>
      </c>
      <c r="O4" s="357">
        <v>120</v>
      </c>
      <c r="P4" s="355">
        <f>Summary!Q14*100</f>
        <v>5.6837230334086328</v>
      </c>
      <c r="Q4" s="356">
        <f>Summary!R14</f>
        <v>1769.9155638813716</v>
      </c>
    </row>
    <row r="5" spans="1:17" ht="25.5">
      <c r="A5" s="351" t="str">
        <f>Summary!B15</f>
        <v>Medium icurrent canals</v>
      </c>
      <c r="B5" s="352">
        <f>Summary!C15</f>
        <v>182.21499999999997</v>
      </c>
      <c r="C5" s="353" t="str">
        <f>Summary!D15</f>
        <v>e1</v>
      </c>
      <c r="D5" s="353">
        <f>Summary!E15</f>
        <v>528.6825</v>
      </c>
      <c r="E5" s="353" t="str">
        <f>Summary!F15</f>
        <v>f1</v>
      </c>
      <c r="F5" s="354">
        <f>Summary!I15</f>
        <v>35.255327291851955</v>
      </c>
      <c r="G5" s="355">
        <f>Summary!K15</f>
        <v>4.60551657300985</v>
      </c>
      <c r="H5" s="356">
        <f>Summary!L15</f>
        <v>25.514561814474568</v>
      </c>
      <c r="I5" s="357">
        <v>10</v>
      </c>
      <c r="J5" s="353"/>
      <c r="K5" s="358">
        <f>Summary!M15*1000000</f>
        <v>1122.5538893389516</v>
      </c>
      <c r="L5" s="357">
        <v>120</v>
      </c>
      <c r="M5" s="353"/>
      <c r="N5" s="358">
        <f>Summary!P15</f>
        <v>84.188486898613675</v>
      </c>
      <c r="O5" s="357">
        <v>120</v>
      </c>
      <c r="P5" s="355">
        <f>Summary!Q15*100</f>
        <v>4.0568811899056092</v>
      </c>
      <c r="Q5" s="356">
        <f>Summary!R15</f>
        <v>1685.7270769827578</v>
      </c>
    </row>
    <row r="6" spans="1:17" ht="25.5">
      <c r="A6" s="351" t="str">
        <f>Summary!B16</f>
        <v>Small incurrent canals</v>
      </c>
      <c r="B6" s="352">
        <f>Summary!C16</f>
        <v>58.833333333333336</v>
      </c>
      <c r="C6" s="353" t="str">
        <f>Summary!D16</f>
        <v>e2</v>
      </c>
      <c r="D6" s="353">
        <f>Summary!E16</f>
        <v>236.6</v>
      </c>
      <c r="E6" s="353" t="str">
        <f>Summary!F16</f>
        <v>f2</v>
      </c>
      <c r="F6" s="354">
        <f>Summary!I16</f>
        <v>44.203547655551155</v>
      </c>
      <c r="G6" s="355">
        <f>Summary!K16</f>
        <v>5.7615356672028337</v>
      </c>
      <c r="H6" s="356">
        <f>Summary!L16</f>
        <v>31.918907596303697</v>
      </c>
      <c r="I6" s="357">
        <v>10</v>
      </c>
      <c r="J6" s="353"/>
      <c r="K6" s="358">
        <f>Summary!M16*1000000</f>
        <v>897.31988832018476</v>
      </c>
      <c r="L6" s="357">
        <v>120</v>
      </c>
      <c r="M6" s="353"/>
      <c r="N6" s="358">
        <f>Summary!P16</f>
        <v>288.8909551897595</v>
      </c>
      <c r="O6" s="357">
        <v>120</v>
      </c>
      <c r="P6" s="355">
        <f>Summary!Q16*100</f>
        <v>13.921099252616436</v>
      </c>
      <c r="Q6" s="356">
        <f>Summary!R16</f>
        <v>1396.8361217929983</v>
      </c>
    </row>
    <row r="7" spans="1:17">
      <c r="A7" s="351" t="str">
        <f>Summary!B17</f>
        <v xml:space="preserve">Prosopyles </v>
      </c>
      <c r="B7" s="352">
        <f>Summary!C17</f>
        <v>2.1482265858213245</v>
      </c>
      <c r="C7" s="353" t="str">
        <f>Summary!D17</f>
        <v>g</v>
      </c>
      <c r="D7" s="353">
        <f>Summary!E17</f>
        <v>0.5</v>
      </c>
      <c r="E7" s="353" t="str">
        <f>Summary!F17</f>
        <v>h</v>
      </c>
      <c r="F7" s="354">
        <f>Summary!I17</f>
        <v>48.208123063383326</v>
      </c>
      <c r="G7" s="355">
        <f>Summary!K17</f>
        <v>275.06314646668375</v>
      </c>
      <c r="H7" s="356">
        <f>Summary!L17</f>
        <v>1523.849831425428</v>
      </c>
      <c r="I7" s="357">
        <v>207</v>
      </c>
      <c r="J7" s="353"/>
      <c r="K7" s="358">
        <f>Summary!M17*1000000</f>
        <v>18.795467905670169</v>
      </c>
      <c r="L7" s="357">
        <v>60</v>
      </c>
      <c r="M7" s="353"/>
      <c r="N7" s="358">
        <f>Summary!P17</f>
        <v>9.5913953597161878</v>
      </c>
      <c r="O7" s="357">
        <v>115</v>
      </c>
      <c r="P7" s="355">
        <f>Summary!Q17*100</f>
        <v>0.46219088682090681</v>
      </c>
      <c r="Q7" s="356">
        <f>Summary!R17</f>
        <v>1387.244726433282</v>
      </c>
    </row>
    <row r="8" spans="1:17">
      <c r="A8" s="351" t="str">
        <f>Summary!B18</f>
        <v>Pre-collar space</v>
      </c>
      <c r="B8" s="352">
        <f>Summary!C18</f>
        <v>2</v>
      </c>
      <c r="C8" s="353" t="str">
        <f>Summary!D18</f>
        <v>i</v>
      </c>
      <c r="D8" s="353">
        <f>Summary!E18</f>
        <v>1.65</v>
      </c>
      <c r="E8" s="353" t="str">
        <f>Summary!F18</f>
        <v>j</v>
      </c>
      <c r="F8" s="354">
        <f>Summary!I18</f>
        <v>48.216585817837739</v>
      </c>
      <c r="G8" s="355">
        <f>Summary!K18</f>
        <v>160.9844768035297</v>
      </c>
      <c r="H8" s="356">
        <f>Summary!L18</f>
        <v>891.85400149155441</v>
      </c>
      <c r="I8" s="359">
        <v>3500</v>
      </c>
      <c r="J8" s="360"/>
      <c r="K8" s="358">
        <f>Summary!M18*1000000</f>
        <v>32.114528332795459</v>
      </c>
      <c r="L8" s="357">
        <v>3.4</v>
      </c>
      <c r="M8" s="360"/>
      <c r="N8" s="358">
        <f>Summary!P18</f>
        <v>62.394214515749702</v>
      </c>
      <c r="O8" s="357" t="s">
        <v>354</v>
      </c>
      <c r="P8" s="355">
        <f>Summary!Q18*100</f>
        <v>3.0066571398618245</v>
      </c>
      <c r="Q8" s="356">
        <f>Summary!R18</f>
        <v>1324.8505119175322</v>
      </c>
    </row>
    <row r="9" spans="1:17">
      <c r="A9" s="351" t="str">
        <f>Summary!B19</f>
        <v>Glycocalyx mesh pores</v>
      </c>
      <c r="B9" s="352">
        <f>Summary!C19</f>
        <v>4.4999999999999998E-2</v>
      </c>
      <c r="C9" s="353" t="str">
        <f>Summary!D19</f>
        <v>k</v>
      </c>
      <c r="D9" s="353">
        <f>Summary!E19</f>
        <v>9.4999999999999998E-3</v>
      </c>
      <c r="E9" s="353" t="str">
        <f>Summary!F19</f>
        <v>l</v>
      </c>
      <c r="F9" s="354">
        <f>Summary!I19</f>
        <v>48.244512907537334</v>
      </c>
      <c r="G9" s="355">
        <f>Summary!K19</f>
        <v>251.33091651266218</v>
      </c>
      <c r="H9" s="356">
        <f>Summary!L19</f>
        <v>1392.3732774801485</v>
      </c>
      <c r="I9" s="357"/>
      <c r="J9" s="353"/>
      <c r="K9" s="358">
        <f>Summary!M19*1000000</f>
        <v>20.570253008195841</v>
      </c>
      <c r="L9" s="357" t="s">
        <v>354</v>
      </c>
      <c r="M9" s="353"/>
      <c r="N9" s="358">
        <f>Summary!P19</f>
        <v>454.52422199188845</v>
      </c>
      <c r="O9" s="357" t="s">
        <v>354</v>
      </c>
      <c r="P9" s="355">
        <f>Summary!Q19*100</f>
        <v>21.902647671717897</v>
      </c>
      <c r="Q9" s="356">
        <f>Summary!R19</f>
        <v>870.32628992564378</v>
      </c>
    </row>
    <row r="10" spans="1:17">
      <c r="A10" s="351" t="str">
        <f>Summary!B20</f>
        <v>Collar slit</v>
      </c>
      <c r="B10" s="352">
        <f>Summary!C20</f>
        <v>0.11857142857142856</v>
      </c>
      <c r="C10" s="353" t="str">
        <f>Summary!D20</f>
        <v>m</v>
      </c>
      <c r="D10" s="353">
        <f>Summary!E20</f>
        <v>7.0000000000000007E-2</v>
      </c>
      <c r="E10" s="353" t="str">
        <f>Summary!F20</f>
        <v>n</v>
      </c>
      <c r="F10" s="354">
        <f>Summary!I20</f>
        <v>48.244673699871967</v>
      </c>
      <c r="G10" s="355">
        <f>Summary!K20</f>
        <v>721.95660635325169</v>
      </c>
      <c r="H10" s="356">
        <f>Summary!L20</f>
        <v>3999.6395991970139</v>
      </c>
      <c r="I10" s="359">
        <v>5600</v>
      </c>
      <c r="J10" s="360"/>
      <c r="K10" s="358">
        <f>Summary!M20*1000000</f>
        <v>7.1610128586004897</v>
      </c>
      <c r="L10" s="357">
        <v>2.1</v>
      </c>
      <c r="M10" s="360"/>
      <c r="N10" s="358">
        <f>Summary!P20</f>
        <v>167.93112979122262</v>
      </c>
      <c r="O10" s="357">
        <v>122</v>
      </c>
      <c r="P10" s="355">
        <f>Summary!Q20*100</f>
        <v>8.0922780150456308</v>
      </c>
      <c r="Q10" s="356">
        <f>Summary!R20</f>
        <v>702.39516013442119</v>
      </c>
    </row>
    <row r="11" spans="1:17">
      <c r="A11" s="351" t="str">
        <f>Summary!B21</f>
        <v>Glycocalyx mesh pores</v>
      </c>
      <c r="B11" s="352">
        <f>Summary!C21</f>
        <v>4.4999999999999998E-2</v>
      </c>
      <c r="C11" s="353" t="str">
        <f>Summary!D21</f>
        <v>k</v>
      </c>
      <c r="D11" s="353">
        <f>Summary!E21</f>
        <v>9.4999999999999998E-3</v>
      </c>
      <c r="E11" s="353" t="str">
        <f>Summary!F21</f>
        <v>l</v>
      </c>
      <c r="F11" s="354">
        <f>Summary!I21</f>
        <v>48.245858485495596</v>
      </c>
      <c r="G11" s="355">
        <f>Summary!K21</f>
        <v>251.33091651266218</v>
      </c>
      <c r="H11" s="356">
        <f>Summary!L21</f>
        <v>1392.3732774801485</v>
      </c>
      <c r="I11" s="357"/>
      <c r="J11" s="353"/>
      <c r="K11" s="358">
        <f>Summary!M21*1000000</f>
        <v>20.570253008195841</v>
      </c>
      <c r="L11" s="357" t="s">
        <v>354</v>
      </c>
      <c r="M11" s="353"/>
      <c r="N11" s="358">
        <f>Summary!P21</f>
        <v>454.52422199188845</v>
      </c>
      <c r="O11" s="357" t="s">
        <v>354</v>
      </c>
      <c r="P11" s="355">
        <f>Summary!Q21*100</f>
        <v>21.902647671717897</v>
      </c>
      <c r="Q11" s="356">
        <f>Summary!R21</f>
        <v>247.87093814253274</v>
      </c>
    </row>
    <row r="12" spans="1:17">
      <c r="A12" s="351" t="str">
        <f>Summary!B22</f>
        <v>Post-collar space</v>
      </c>
      <c r="B12" s="358">
        <f>Summary!C22</f>
        <v>2</v>
      </c>
      <c r="C12" s="353" t="str">
        <f>Summary!D22</f>
        <v>i</v>
      </c>
      <c r="D12" s="353">
        <f>Summary!E22</f>
        <v>1.65</v>
      </c>
      <c r="E12" s="353" t="str">
        <f>Summary!F22</f>
        <v>j</v>
      </c>
      <c r="F12" s="354">
        <f>Summary!I22</f>
        <v>48.246019277830229</v>
      </c>
      <c r="G12" s="355">
        <f>Summary!K22</f>
        <v>160.9844768035297</v>
      </c>
      <c r="H12" s="356">
        <f>Summary!L22</f>
        <v>891.85400149155441</v>
      </c>
      <c r="I12" s="357"/>
      <c r="J12" s="353"/>
      <c r="K12" s="358">
        <f>Summary!M22*1000000</f>
        <v>32.114528332795459</v>
      </c>
      <c r="L12" s="357" t="s">
        <v>354</v>
      </c>
      <c r="M12" s="353"/>
      <c r="N12" s="358">
        <f>Summary!P22</f>
        <v>62.394214515749702</v>
      </c>
      <c r="O12" s="357" t="s">
        <v>354</v>
      </c>
      <c r="P12" s="355">
        <f>Summary!Q22*100</f>
        <v>3.0066571398618245</v>
      </c>
      <c r="Q12" s="356">
        <f>Summary!R22</f>
        <v>185.47672362678304</v>
      </c>
    </row>
    <row r="13" spans="1:17">
      <c r="A13" s="351" t="str">
        <f>Summary!B23</f>
        <v xml:space="preserve">Collar apertures </v>
      </c>
      <c r="B13" s="358">
        <f>Summary!C23</f>
        <v>2</v>
      </c>
      <c r="C13" s="353" t="str">
        <f>Summary!D23</f>
        <v>o</v>
      </c>
      <c r="D13" s="353">
        <f>Summary!E23</f>
        <v>0.5</v>
      </c>
      <c r="E13" s="353" t="str">
        <f>Summary!F23</f>
        <v>p</v>
      </c>
      <c r="F13" s="354">
        <f>Summary!I23</f>
        <v>48.273946367529824</v>
      </c>
      <c r="G13" s="355">
        <f>Summary!K23</f>
        <v>401.0226371080833</v>
      </c>
      <c r="H13" s="356">
        <f>Summary!L23</f>
        <v>2221.6654095787812</v>
      </c>
      <c r="I13" s="357">
        <v>810</v>
      </c>
      <c r="J13" s="353"/>
      <c r="K13" s="358">
        <f>Summary!M23*1000000</f>
        <v>12.891892035645384</v>
      </c>
      <c r="L13" s="357">
        <v>15</v>
      </c>
      <c r="M13" s="353"/>
      <c r="N13" s="358">
        <f>Summary!P23</f>
        <v>7.5900649761090655</v>
      </c>
      <c r="O13" s="357" t="s">
        <v>354</v>
      </c>
      <c r="P13" s="355">
        <f>Summary!Q23*100</f>
        <v>0.36575062655325241</v>
      </c>
      <c r="Q13" s="356">
        <f>Summary!R23</f>
        <v>177.88665865067398</v>
      </c>
    </row>
    <row r="14" spans="1:17">
      <c r="A14" s="351" t="str">
        <f>Summary!B24</f>
        <v xml:space="preserve">Chamber </v>
      </c>
      <c r="B14" s="358">
        <f>Summary!C24</f>
        <v>56.027845995869619</v>
      </c>
      <c r="C14" s="353" t="str">
        <f>Summary!D24</f>
        <v>q</v>
      </c>
      <c r="D14" s="353">
        <f>Summary!E24</f>
        <v>56.027845995869619</v>
      </c>
      <c r="E14" s="353" t="str">
        <f>Summary!F24</f>
        <v>r</v>
      </c>
      <c r="F14" s="354">
        <f>Summary!I24</f>
        <v>48.282409121984244</v>
      </c>
      <c r="G14" s="355">
        <f>Summary!K24</f>
        <v>439.25029124997207</v>
      </c>
      <c r="H14" s="356">
        <f>Summary!L24</f>
        <v>2433.4466135248454</v>
      </c>
      <c r="I14" s="357"/>
      <c r="J14" s="353"/>
      <c r="K14" s="358">
        <f>Summary!M24*1000000</f>
        <v>11.769919438721683</v>
      </c>
      <c r="L14" s="357" t="s">
        <v>354</v>
      </c>
      <c r="M14" s="353"/>
      <c r="N14" s="358">
        <f>Summary!P24</f>
        <v>0.98943754264754624</v>
      </c>
      <c r="O14" s="357" t="s">
        <v>354</v>
      </c>
      <c r="P14" s="355">
        <f>Summary!Q24*100</f>
        <v>4.7679091325008215E-2</v>
      </c>
      <c r="Q14" s="356">
        <f>Summary!R24</f>
        <v>176.89722110802643</v>
      </c>
    </row>
    <row r="15" spans="1:17">
      <c r="A15" s="351" t="str">
        <f>Summary!B25</f>
        <v>Apopyle</v>
      </c>
      <c r="B15" s="358">
        <f>Summary!C25</f>
        <v>26.370000000000005</v>
      </c>
      <c r="C15" s="353" t="str">
        <f>Summary!D25</f>
        <v>s</v>
      </c>
      <c r="D15" s="353">
        <f>Summary!E25</f>
        <v>2</v>
      </c>
      <c r="E15" s="353" t="str">
        <f>Summary!F25</f>
        <v>t</v>
      </c>
      <c r="F15" s="354">
        <f>Summary!I25</f>
        <v>49.230708928530596</v>
      </c>
      <c r="G15" s="355">
        <f>Summary!K25</f>
        <v>204.27982377908288</v>
      </c>
      <c r="H15" s="356">
        <f>Summary!L25</f>
        <v>1131.7102237361191</v>
      </c>
      <c r="I15" s="357">
        <v>420</v>
      </c>
      <c r="J15" s="353"/>
      <c r="K15" s="358">
        <f>Summary!M25*1000000</f>
        <v>25.30813100288459</v>
      </c>
      <c r="L15" s="357">
        <v>29</v>
      </c>
      <c r="M15" s="353"/>
      <c r="N15" s="358">
        <f>Summary!P25</f>
        <v>0.34283774576693909</v>
      </c>
      <c r="O15" s="357" t="s">
        <v>354</v>
      </c>
      <c r="P15" s="355">
        <f>Summary!Q25*100</f>
        <v>1.6520691287236329E-2</v>
      </c>
      <c r="Q15" s="356">
        <f>Summary!R25</f>
        <v>176.5543833622595</v>
      </c>
    </row>
    <row r="16" spans="1:17" ht="25.5">
      <c r="A16" s="351" t="str">
        <f>Summary!B26</f>
        <v>Small Excurrent canals</v>
      </c>
      <c r="B16" s="358">
        <f>Summary!C26</f>
        <v>218</v>
      </c>
      <c r="C16" s="353" t="str">
        <f>Summary!D26</f>
        <v>u1</v>
      </c>
      <c r="D16" s="353">
        <f>Summary!E26</f>
        <v>117.57249999999999</v>
      </c>
      <c r="E16" s="353" t="str">
        <f>Summary!F26</f>
        <v>v1</v>
      </c>
      <c r="F16" s="354">
        <f>Summary!I26</f>
        <v>49.264559946348278</v>
      </c>
      <c r="G16" s="355">
        <f>Summary!K26</f>
        <v>1.0986815601126221</v>
      </c>
      <c r="H16" s="356">
        <f>Summary!L26</f>
        <v>6.086695843023926</v>
      </c>
      <c r="I16" s="357">
        <v>420</v>
      </c>
      <c r="J16" s="353"/>
      <c r="K16" s="358">
        <f>Summary!M26*1000000</f>
        <v>4705.5859760832382</v>
      </c>
      <c r="L16" s="357">
        <v>29</v>
      </c>
      <c r="M16" s="353"/>
      <c r="N16" s="358">
        <f>Summary!P26</f>
        <v>54.830890530298767</v>
      </c>
      <c r="O16" s="357" t="s">
        <v>354</v>
      </c>
      <c r="P16" s="355">
        <f>Summary!Q26*100</f>
        <v>2.6421951101939283</v>
      </c>
      <c r="Q16" s="356">
        <f>Summary!R26</f>
        <v>121.72349283196073</v>
      </c>
    </row>
    <row r="17" spans="1:17">
      <c r="A17" s="351" t="str">
        <f>Summary!B27</f>
        <v>Large excurrent canals</v>
      </c>
      <c r="B17" s="358">
        <f>Summary!C27</f>
        <v>405</v>
      </c>
      <c r="C17" s="353" t="str">
        <f>Summary!D27</f>
        <v>u</v>
      </c>
      <c r="D17" s="353">
        <f>Summary!E27</f>
        <v>2840</v>
      </c>
      <c r="E17" s="353" t="str">
        <f>Summary!F27</f>
        <v>v</v>
      </c>
      <c r="F17" s="354">
        <f>Summary!I27</f>
        <v>51.254534342533184</v>
      </c>
      <c r="G17" s="355">
        <f>Summary!K27</f>
        <v>3.7920049427125839</v>
      </c>
      <c r="H17" s="356">
        <f>Summary!L27</f>
        <v>21.007707382627714</v>
      </c>
      <c r="I17" s="357">
        <v>3</v>
      </c>
      <c r="J17" s="353"/>
      <c r="K17" s="358">
        <f>Summary!M27*1000000</f>
        <v>1363.3791673670464</v>
      </c>
      <c r="L17" s="359">
        <v>4000</v>
      </c>
      <c r="M17" s="353"/>
      <c r="N17" s="358">
        <f>Summary!P27</f>
        <v>111.18437732328731</v>
      </c>
      <c r="O17" s="357">
        <v>120</v>
      </c>
      <c r="P17" s="355">
        <f>Summary!Q27*100</f>
        <v>5.3577612045387601</v>
      </c>
      <c r="Q17" s="356">
        <f>Summary!R27</f>
        <v>10.539115508673419</v>
      </c>
    </row>
    <row r="18" spans="1:17">
      <c r="A18" s="351" t="str">
        <f>Summary!B28</f>
        <v>Subatrial space</v>
      </c>
      <c r="B18" s="358">
        <f>Summary!C28</f>
        <v>80</v>
      </c>
      <c r="C18" s="353" t="str">
        <f>Summary!D28</f>
        <v>w</v>
      </c>
      <c r="D18" s="353">
        <f>Summary!E28</f>
        <v>40</v>
      </c>
      <c r="E18" s="353" t="str">
        <f>Summary!F28</f>
        <v>x</v>
      </c>
      <c r="F18" s="354">
        <f>Summary!I28</f>
        <v>99.322979643646292</v>
      </c>
      <c r="G18" s="355">
        <f>Summary!K28</f>
        <v>14.440433212996391</v>
      </c>
      <c r="H18" s="356">
        <f>Summary!L28</f>
        <v>80</v>
      </c>
      <c r="I18" s="357"/>
      <c r="J18" s="353"/>
      <c r="K18" s="358">
        <f>Summary!M28*1000000</f>
        <v>358.0183824952191</v>
      </c>
      <c r="L18" s="357"/>
      <c r="M18" s="353"/>
      <c r="N18" s="358">
        <f>Summary!P28</f>
        <v>10.539115508673063</v>
      </c>
      <c r="O18" s="357" t="s">
        <v>354</v>
      </c>
      <c r="P18" s="355">
        <f>Summary!Q28*100</f>
        <v>0.50785969721570434</v>
      </c>
      <c r="Q18" s="356">
        <f>Summary!R28</f>
        <v>3.5527136788005009E-13</v>
      </c>
    </row>
    <row r="19" spans="1:17">
      <c r="A19" s="351" t="str">
        <f>Summary!B29</f>
        <v>Atrial cavity</v>
      </c>
      <c r="B19" s="358">
        <f>Summary!C29</f>
        <v>62000</v>
      </c>
      <c r="C19" s="353"/>
      <c r="D19" s="353">
        <f>Summary!E29</f>
        <v>279000</v>
      </c>
      <c r="E19" s="353"/>
      <c r="F19" s="354">
        <f>Summary!I29</f>
        <v>100</v>
      </c>
      <c r="G19" s="355"/>
      <c r="H19" s="356"/>
      <c r="I19" s="357"/>
      <c r="J19" s="353"/>
      <c r="K19" s="358"/>
      <c r="L19" s="357"/>
      <c r="M19" s="353"/>
      <c r="N19" s="358">
        <f>Summary!P29</f>
        <v>0</v>
      </c>
      <c r="O19" s="357" t="s">
        <v>354</v>
      </c>
      <c r="P19" s="353"/>
      <c r="Q19" s="356">
        <f>Summary!R29</f>
        <v>0</v>
      </c>
    </row>
    <row r="20" spans="1:17" ht="13.5" thickBot="1">
      <c r="A20" s="361" t="str">
        <f>Summary!B30</f>
        <v>Osculum</v>
      </c>
      <c r="B20" s="362">
        <f>Summary!C30</f>
        <v>44733.679854839022</v>
      </c>
      <c r="C20" s="363" t="str">
        <f>Summary!D30</f>
        <v>y</v>
      </c>
      <c r="D20" s="363">
        <f>Summary!E30</f>
        <v>500</v>
      </c>
      <c r="E20" s="363" t="str">
        <f>Summary!F30</f>
        <v>z</v>
      </c>
      <c r="F20" s="364">
        <f>Summary!I30</f>
        <v>4822.2169855670973</v>
      </c>
      <c r="G20" s="365">
        <f>Summary!K30</f>
        <v>0.51326124508952409</v>
      </c>
      <c r="H20" s="366">
        <f>Summary!L30</f>
        <v>2.8434672977959634</v>
      </c>
      <c r="I20" s="367"/>
      <c r="J20" s="363"/>
      <c r="K20" s="363"/>
      <c r="L20" s="367"/>
      <c r="M20" s="363"/>
      <c r="N20" s="363"/>
      <c r="O20" s="367">
        <v>157</v>
      </c>
      <c r="P20" s="363"/>
      <c r="Q20" s="363"/>
    </row>
    <row r="21" spans="1:17" ht="5.25" customHeight="1"/>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9"/>
  <sheetViews>
    <sheetView workbookViewId="0">
      <selection activeCell="K11" sqref="K11"/>
    </sheetView>
  </sheetViews>
  <sheetFormatPr defaultRowHeight="12.75"/>
  <cols>
    <col min="10" max="10" width="14" bestFit="1" customWidth="1"/>
    <col min="11" max="11" width="10.85546875" bestFit="1" customWidth="1"/>
    <col min="12" max="12" width="14.28515625" customWidth="1"/>
    <col min="13" max="13" width="18.140625" bestFit="1" customWidth="1"/>
    <col min="18" max="18" width="11.28515625" bestFit="1" customWidth="1"/>
  </cols>
  <sheetData>
    <row r="2" spans="1:20" ht="13.5" thickBot="1">
      <c r="J2" s="311"/>
      <c r="K2" s="310" t="s">
        <v>405</v>
      </c>
      <c r="L2" s="310" t="s">
        <v>407</v>
      </c>
      <c r="M2" s="310" t="s">
        <v>408</v>
      </c>
      <c r="N2" s="311"/>
      <c r="O2" s="311"/>
      <c r="P2" s="311"/>
      <c r="Q2" s="311"/>
    </row>
    <row r="3" spans="1:20">
      <c r="A3" s="246" t="s">
        <v>393</v>
      </c>
      <c r="J3" s="246" t="s">
        <v>391</v>
      </c>
      <c r="K3" s="268">
        <f>Summary!$M$20</f>
        <v>7.16101285860049E-6</v>
      </c>
      <c r="L3" s="268">
        <f>Summary!$M$19</f>
        <v>2.057025300819584E-5</v>
      </c>
      <c r="M3" s="268">
        <f>Summary!$M$20</f>
        <v>7.16101285860049E-6</v>
      </c>
      <c r="N3" s="246" t="s">
        <v>392</v>
      </c>
      <c r="O3" s="246" t="s">
        <v>409</v>
      </c>
      <c r="R3" s="307"/>
    </row>
    <row r="4" spans="1:20" ht="15.75">
      <c r="J4" s="315" t="s">
        <v>398</v>
      </c>
      <c r="K4" s="316">
        <v>2E-8</v>
      </c>
      <c r="L4" s="316">
        <v>2E-8</v>
      </c>
      <c r="M4" s="316">
        <v>2E-8</v>
      </c>
      <c r="N4" s="315" t="s">
        <v>111</v>
      </c>
      <c r="O4" s="315" t="s">
        <v>384</v>
      </c>
      <c r="P4" s="317"/>
      <c r="Q4" s="317"/>
    </row>
    <row r="5" spans="1:20" ht="15.75">
      <c r="J5" s="315" t="s">
        <v>399</v>
      </c>
      <c r="K5" s="316">
        <v>7.0000000000000005E-8</v>
      </c>
      <c r="L5" s="316">
        <v>7.0000000000000005E-8</v>
      </c>
      <c r="M5" s="316">
        <v>7.0000000000000005E-8</v>
      </c>
      <c r="N5" s="315" t="s">
        <v>111</v>
      </c>
      <c r="O5" s="315" t="s">
        <v>385</v>
      </c>
      <c r="P5" s="317"/>
      <c r="Q5" s="317"/>
    </row>
    <row r="6" spans="1:20">
      <c r="J6" s="324" t="s">
        <v>153</v>
      </c>
      <c r="K6" s="322">
        <v>4.9999999999999998E-8</v>
      </c>
      <c r="L6" s="322">
        <v>5.0000000000000001E-9</v>
      </c>
      <c r="M6" s="322">
        <v>1E-10</v>
      </c>
      <c r="N6" s="324" t="s">
        <v>111</v>
      </c>
      <c r="O6" s="324" t="s">
        <v>410</v>
      </c>
      <c r="P6" s="324"/>
      <c r="Q6" s="317"/>
    </row>
    <row r="7" spans="1:20">
      <c r="J7" s="318" t="s">
        <v>397</v>
      </c>
      <c r="K7" s="319">
        <f>Viscosity</f>
        <v>1.48E-3</v>
      </c>
      <c r="L7" s="319">
        <f>Viscosity</f>
        <v>1.48E-3</v>
      </c>
      <c r="M7" s="319">
        <f>Viscosity</f>
        <v>1.48E-3</v>
      </c>
      <c r="N7" s="320" t="s">
        <v>387</v>
      </c>
      <c r="O7" s="320" t="s">
        <v>386</v>
      </c>
      <c r="P7" s="321"/>
      <c r="Q7" s="321"/>
    </row>
    <row r="8" spans="1:20" ht="15.75">
      <c r="J8" s="308" t="s">
        <v>400</v>
      </c>
      <c r="K8" s="313">
        <f>K4*K5/(K4+K5)</f>
        <v>1.5555555555555554E-8</v>
      </c>
      <c r="L8" s="313">
        <f>L4*L5/(L4+L5)</f>
        <v>1.5555555555555554E-8</v>
      </c>
      <c r="M8" s="313">
        <f>M4*M5/(M4+M5)</f>
        <v>1.5555555555555554E-8</v>
      </c>
      <c r="N8" s="308" t="s">
        <v>111</v>
      </c>
      <c r="O8" s="5"/>
      <c r="P8" s="5"/>
      <c r="Q8" s="5"/>
    </row>
    <row r="9" spans="1:20" ht="14.25">
      <c r="J9" s="306" t="s">
        <v>402</v>
      </c>
      <c r="K9" s="305">
        <f>1-2*LN(K10)+K10^2/6</f>
        <v>39.893552758887438</v>
      </c>
      <c r="L9" s="305">
        <f>1-2*LN(L10)+L10^2/6</f>
        <v>0.46316657368855418</v>
      </c>
      <c r="M9" s="305">
        <f>1-2*LN(M10)+M10^2/6</f>
        <v>7.8425869062757698</v>
      </c>
      <c r="N9" s="246" t="s">
        <v>390</v>
      </c>
      <c r="O9" s="246" t="s">
        <v>411</v>
      </c>
    </row>
    <row r="10" spans="1:20">
      <c r="J10" s="306" t="s">
        <v>388</v>
      </c>
      <c r="K10" s="305">
        <f>2*PI()*K6/K11</f>
        <v>16.336528389635774</v>
      </c>
      <c r="L10" s="305">
        <f>2*PI()*L6/L11</f>
        <v>1.6336528389635772</v>
      </c>
      <c r="M10" s="305">
        <f>2*PI()*M6/M11</f>
        <v>3.2673056779271549E-2</v>
      </c>
      <c r="N10" s="246" t="s">
        <v>389</v>
      </c>
      <c r="O10" t="s">
        <v>383</v>
      </c>
    </row>
    <row r="11" spans="1:20" ht="15.75">
      <c r="J11" s="246" t="s">
        <v>401</v>
      </c>
      <c r="K11" s="305">
        <f>K4*K5/SQRT(K4^2+K5^2)</f>
        <v>1.9230478952816461E-8</v>
      </c>
      <c r="L11" s="305">
        <f>L4*L5/SQRT(L4^2+L5^2)</f>
        <v>1.9230478952816461E-8</v>
      </c>
      <c r="M11" s="305">
        <f>M4*M5/SQRT(M4^2+M5^2)</f>
        <v>1.9230478952816461E-8</v>
      </c>
      <c r="N11" s="246" t="s">
        <v>111</v>
      </c>
      <c r="R11" s="246"/>
      <c r="T11" s="246"/>
    </row>
    <row r="12" spans="1:20">
      <c r="J12" s="6" t="s">
        <v>394</v>
      </c>
      <c r="K12" s="312">
        <f>K7*K3*8*PI()/K8*K9</f>
        <v>683.11404864924668</v>
      </c>
      <c r="L12" s="312">
        <f>L7*L3*8*PI()/L8*L9</f>
        <v>22.782054763329228</v>
      </c>
      <c r="M12" s="312">
        <f>M7*M3*8*PI()/M8*M9</f>
        <v>134.29190741193389</v>
      </c>
      <c r="N12" s="325" t="s">
        <v>344</v>
      </c>
      <c r="O12" s="6"/>
      <c r="P12" s="5"/>
      <c r="Q12" s="5"/>
    </row>
    <row r="13" spans="1:20" ht="15" thickBot="1">
      <c r="J13" s="309" t="s">
        <v>395</v>
      </c>
      <c r="K13" s="326">
        <f>1000000*K12/gamma</f>
        <v>67936.058143680828</v>
      </c>
      <c r="L13" s="326">
        <f>1000000*L12/gamma</f>
        <v>2265.6875526047811</v>
      </c>
      <c r="M13" s="326">
        <f>1000000*M12/gamma</f>
        <v>13355.402144345879</v>
      </c>
      <c r="N13" s="327" t="s">
        <v>396</v>
      </c>
      <c r="O13" s="311"/>
      <c r="P13" s="311"/>
      <c r="Q13" s="311"/>
    </row>
    <row r="14" spans="1:20">
      <c r="J14" s="246" t="s">
        <v>404</v>
      </c>
      <c r="K14" s="323">
        <f>K13/Summary!$P$19</f>
        <v>149.46630972923865</v>
      </c>
      <c r="L14" s="323">
        <f>L13/Summary!$P$19</f>
        <v>4.9847454612555611</v>
      </c>
      <c r="M14" s="323">
        <f>M13/Summary!$P$19</f>
        <v>29.383257257044978</v>
      </c>
    </row>
    <row r="18" spans="1:12">
      <c r="L18" s="246" t="s">
        <v>406</v>
      </c>
    </row>
    <row r="29" spans="1:12">
      <c r="A29" t="s">
        <v>403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34"/>
  <sheetViews>
    <sheetView workbookViewId="0">
      <pane xSplit="1" ySplit="8" topLeftCell="B9" activePane="bottomRight" state="frozen"/>
      <selection pane="topRight" activeCell="B1" sqref="B1"/>
      <selection pane="bottomLeft" activeCell="A9" sqref="A9"/>
      <selection pane="bottomRight" activeCell="B21" sqref="B21"/>
    </sheetView>
  </sheetViews>
  <sheetFormatPr defaultRowHeight="12.75"/>
  <cols>
    <col min="1" max="1" width="24.42578125" customWidth="1"/>
    <col min="2" max="2" width="24.28515625" bestFit="1" customWidth="1"/>
    <col min="3" max="3" width="13.85546875" customWidth="1"/>
    <col min="4" max="5" width="12.42578125" customWidth="1"/>
    <col min="6" max="6" width="16.42578125" customWidth="1"/>
    <col min="7" max="7" width="9.85546875" customWidth="1"/>
    <col min="8" max="8" width="16" customWidth="1"/>
    <col min="9" max="12" width="8.85546875" customWidth="1"/>
    <col min="13" max="13" width="11.85546875" customWidth="1"/>
    <col min="14" max="14" width="14" customWidth="1"/>
    <col min="15" max="16" width="17.85546875" customWidth="1"/>
    <col min="17" max="21" width="15.140625" customWidth="1"/>
    <col min="22" max="22" width="11.28515625" customWidth="1"/>
    <col min="23" max="23" width="12.5703125" bestFit="1" customWidth="1"/>
  </cols>
  <sheetData>
    <row r="1" spans="1:26">
      <c r="A1" t="s">
        <v>216</v>
      </c>
    </row>
    <row r="2" spans="1:26">
      <c r="A2" t="s">
        <v>217</v>
      </c>
    </row>
    <row r="3" spans="1:26">
      <c r="A3" t="s">
        <v>11</v>
      </c>
    </row>
    <row r="6" spans="1:26">
      <c r="B6" s="33"/>
      <c r="C6" s="39"/>
      <c r="D6" s="39"/>
      <c r="E6" s="39" t="s">
        <v>218</v>
      </c>
      <c r="F6" s="39"/>
      <c r="G6" s="39"/>
      <c r="H6" s="39"/>
      <c r="I6" s="39"/>
      <c r="J6" s="51"/>
      <c r="K6" s="72"/>
      <c r="L6" s="72"/>
      <c r="M6" s="72"/>
      <c r="N6" s="47"/>
      <c r="O6" s="47"/>
      <c r="P6" s="41" t="s">
        <v>94</v>
      </c>
      <c r="Q6" s="41"/>
      <c r="R6" s="41"/>
      <c r="S6" s="41"/>
      <c r="T6" s="41"/>
      <c r="U6" s="42"/>
      <c r="V6" s="17"/>
    </row>
    <row r="7" spans="1:26">
      <c r="B7" s="33"/>
      <c r="C7" s="38"/>
      <c r="D7" s="38"/>
      <c r="E7" s="543" t="s">
        <v>204</v>
      </c>
      <c r="F7" s="543"/>
      <c r="G7" s="543"/>
      <c r="H7" s="543"/>
      <c r="I7" s="543"/>
      <c r="J7" s="544"/>
      <c r="K7" s="73"/>
      <c r="L7" s="73"/>
      <c r="M7" s="73"/>
      <c r="N7" s="48"/>
      <c r="O7" s="48"/>
      <c r="P7" s="545" t="s">
        <v>322</v>
      </c>
      <c r="Q7" s="545"/>
      <c r="R7" s="545"/>
      <c r="S7" s="545"/>
      <c r="T7" s="545"/>
      <c r="U7" s="546"/>
      <c r="V7" s="17"/>
    </row>
    <row r="8" spans="1:26" s="14" customFormat="1" ht="76.5">
      <c r="A8" s="14" t="s">
        <v>342</v>
      </c>
      <c r="B8" s="34"/>
      <c r="C8" s="43"/>
      <c r="D8" s="43"/>
      <c r="E8" s="43" t="s">
        <v>219</v>
      </c>
      <c r="F8" s="43"/>
      <c r="G8" s="43" t="s">
        <v>282</v>
      </c>
      <c r="H8" s="61" t="s">
        <v>283</v>
      </c>
      <c r="I8" s="43" t="s">
        <v>228</v>
      </c>
      <c r="J8" s="52" t="s">
        <v>291</v>
      </c>
      <c r="K8" s="52" t="s">
        <v>291</v>
      </c>
      <c r="L8" s="52" t="s">
        <v>291</v>
      </c>
      <c r="M8" s="82"/>
      <c r="N8" s="49" t="s">
        <v>219</v>
      </c>
      <c r="O8" s="49" t="s">
        <v>338</v>
      </c>
      <c r="P8" s="45" t="s">
        <v>172</v>
      </c>
      <c r="Q8" s="45"/>
      <c r="R8" s="61" t="s">
        <v>284</v>
      </c>
      <c r="S8" s="61"/>
      <c r="T8" s="45" t="s">
        <v>227</v>
      </c>
      <c r="U8" s="46" t="s">
        <v>339</v>
      </c>
      <c r="V8" s="238" t="s">
        <v>343</v>
      </c>
    </row>
    <row r="9" spans="1:26">
      <c r="B9" s="33" t="s">
        <v>203</v>
      </c>
      <c r="C9" s="38">
        <v>95</v>
      </c>
      <c r="D9" s="38"/>
      <c r="E9" s="38"/>
      <c r="F9" s="38"/>
      <c r="G9" s="38"/>
      <c r="H9" s="62"/>
      <c r="I9" s="38"/>
      <c r="J9" s="53"/>
      <c r="K9" s="74"/>
      <c r="L9" s="74"/>
      <c r="M9" s="74"/>
      <c r="N9" s="48">
        <v>260</v>
      </c>
      <c r="O9" s="48"/>
      <c r="P9" s="40"/>
      <c r="Q9" s="40"/>
      <c r="R9" s="62"/>
      <c r="S9" s="62"/>
      <c r="T9" s="40"/>
      <c r="U9" s="44"/>
      <c r="V9" s="17"/>
    </row>
    <row r="10" spans="1:26">
      <c r="B10" s="33" t="s">
        <v>201</v>
      </c>
      <c r="C10" s="35">
        <v>12000</v>
      </c>
      <c r="D10" s="35"/>
      <c r="E10" s="33"/>
      <c r="F10" s="33"/>
      <c r="G10" s="33"/>
      <c r="H10" s="63"/>
      <c r="I10" s="33"/>
      <c r="J10" s="54"/>
      <c r="K10" s="75"/>
      <c r="L10" s="75"/>
      <c r="M10" s="75"/>
      <c r="N10" s="50">
        <v>5200</v>
      </c>
      <c r="O10" s="50"/>
      <c r="P10" s="36"/>
      <c r="Q10" s="36"/>
      <c r="R10" s="63"/>
      <c r="S10" s="63"/>
      <c r="T10" s="36"/>
      <c r="U10" s="37"/>
      <c r="V10" s="17"/>
    </row>
    <row r="11" spans="1:26">
      <c r="B11" s="33"/>
      <c r="C11" s="33"/>
      <c r="D11" s="33"/>
      <c r="E11" s="33"/>
      <c r="F11" s="33"/>
      <c r="G11" s="33"/>
      <c r="H11" s="63"/>
      <c r="I11" s="33"/>
      <c r="J11" s="54"/>
      <c r="K11" s="75"/>
      <c r="L11" s="75"/>
      <c r="M11" s="75"/>
      <c r="N11" s="50"/>
      <c r="O11" s="50"/>
      <c r="P11" s="36"/>
      <c r="Q11" s="36"/>
      <c r="R11" s="63"/>
      <c r="S11" s="63"/>
      <c r="T11" s="36"/>
      <c r="U11" s="37"/>
      <c r="V11" s="17"/>
    </row>
    <row r="12" spans="1:26">
      <c r="B12" s="33" t="s">
        <v>95</v>
      </c>
      <c r="C12" s="33"/>
      <c r="D12" s="33"/>
      <c r="E12" s="33"/>
      <c r="F12" s="33"/>
      <c r="G12" s="33">
        <v>43</v>
      </c>
      <c r="H12" s="63">
        <v>1</v>
      </c>
      <c r="I12" s="33">
        <v>100</v>
      </c>
      <c r="J12" s="54"/>
      <c r="K12" s="75"/>
      <c r="L12" s="75"/>
      <c r="M12" s="75"/>
      <c r="N12" s="50"/>
      <c r="O12" s="50"/>
      <c r="P12" s="36"/>
      <c r="Q12" s="36"/>
      <c r="R12" s="63">
        <v>1</v>
      </c>
      <c r="S12" s="63"/>
      <c r="T12" s="36">
        <v>100</v>
      </c>
      <c r="U12" s="37"/>
      <c r="V12" s="17"/>
    </row>
    <row r="13" spans="1:26">
      <c r="B13" s="33" t="s">
        <v>96</v>
      </c>
      <c r="C13" s="33"/>
      <c r="D13" s="33"/>
      <c r="E13" s="33"/>
      <c r="F13" s="33"/>
      <c r="G13" s="33">
        <v>10</v>
      </c>
      <c r="H13" s="63">
        <v>0.23</v>
      </c>
      <c r="I13" s="33">
        <v>23</v>
      </c>
      <c r="J13" s="54"/>
      <c r="K13" s="75"/>
      <c r="L13" s="75"/>
      <c r="M13" s="75"/>
      <c r="N13" s="50"/>
      <c r="O13" s="50"/>
      <c r="P13" s="36"/>
      <c r="Q13" s="36"/>
      <c r="R13" s="63">
        <v>1</v>
      </c>
      <c r="S13" s="63"/>
      <c r="T13" s="36">
        <v>100</v>
      </c>
      <c r="U13" s="37"/>
      <c r="V13" s="17"/>
    </row>
    <row r="14" spans="1:26">
      <c r="B14" s="39" t="s">
        <v>97</v>
      </c>
      <c r="C14" s="39"/>
      <c r="D14" s="39"/>
      <c r="E14" s="39"/>
      <c r="F14" s="39"/>
      <c r="G14" s="39">
        <v>53</v>
      </c>
      <c r="H14" s="64">
        <v>1.23</v>
      </c>
      <c r="I14" s="39">
        <v>123</v>
      </c>
      <c r="J14" s="51"/>
      <c r="K14" s="72"/>
      <c r="L14" s="72"/>
      <c r="M14" s="72"/>
      <c r="R14" s="64">
        <v>2</v>
      </c>
      <c r="S14" s="64"/>
      <c r="T14" s="41">
        <v>200</v>
      </c>
      <c r="U14" s="547" t="s">
        <v>330</v>
      </c>
      <c r="V14" s="548"/>
      <c r="W14" s="548"/>
    </row>
    <row r="15" spans="1:26">
      <c r="B15" s="38"/>
      <c r="C15" s="38" t="s">
        <v>226</v>
      </c>
      <c r="D15" s="38" t="s">
        <v>281</v>
      </c>
      <c r="E15" s="38"/>
      <c r="F15" s="38" t="s">
        <v>125</v>
      </c>
      <c r="G15" s="38" t="s">
        <v>126</v>
      </c>
      <c r="H15" s="62"/>
      <c r="I15" s="38"/>
      <c r="J15" s="53"/>
      <c r="K15" s="76"/>
      <c r="L15" s="76"/>
      <c r="M15" s="76"/>
      <c r="N15" s="47" t="s">
        <v>130</v>
      </c>
      <c r="O15" s="47" t="s">
        <v>170</v>
      </c>
      <c r="P15" s="41" t="s">
        <v>171</v>
      </c>
      <c r="Q15" s="152" t="s">
        <v>341</v>
      </c>
      <c r="R15" s="62" t="s">
        <v>324</v>
      </c>
      <c r="S15" s="62" t="s">
        <v>12</v>
      </c>
      <c r="T15" s="40" t="s">
        <v>150</v>
      </c>
      <c r="U15" s="44" t="s">
        <v>329</v>
      </c>
      <c r="V15" s="67" t="s">
        <v>340</v>
      </c>
      <c r="W15" s="67" t="s">
        <v>13</v>
      </c>
      <c r="X15" s="225"/>
      <c r="Y15" s="12"/>
      <c r="Z15" s="32"/>
    </row>
    <row r="16" spans="1:26">
      <c r="A16" t="str">
        <f>Summary!B12</f>
        <v>Ostia</v>
      </c>
      <c r="B16" s="33" t="s">
        <v>266</v>
      </c>
      <c r="C16" s="33">
        <v>5.0000000000000001E-3</v>
      </c>
      <c r="D16" s="60">
        <v>0</v>
      </c>
      <c r="E16" s="58" t="s">
        <v>202</v>
      </c>
      <c r="F16" s="58">
        <f>(D16/D$31)*100</f>
        <v>0</v>
      </c>
      <c r="G16" s="33">
        <v>13.1</v>
      </c>
      <c r="H16" s="63">
        <v>0.3</v>
      </c>
      <c r="I16" s="33">
        <v>30</v>
      </c>
      <c r="J16" s="54">
        <v>0.56999999999999995</v>
      </c>
      <c r="K16" s="75"/>
      <c r="L16" s="75"/>
      <c r="M16" s="75"/>
      <c r="N16" s="231">
        <f>Summary!C12</f>
        <v>3.8879539623796582</v>
      </c>
      <c r="O16" s="141">
        <f>Summary!E12</f>
        <v>0.5</v>
      </c>
      <c r="P16" s="231">
        <v>0</v>
      </c>
      <c r="Q16" s="231">
        <f>(P16/P$31)*100</f>
        <v>0</v>
      </c>
      <c r="R16" s="135">
        <f>Summary!J12</f>
        <v>0.25862424662605926</v>
      </c>
      <c r="S16" s="135">
        <f>Summary!K12</f>
        <v>4.6683077008313951</v>
      </c>
      <c r="T16" s="135">
        <f>Summary!L12</f>
        <v>25.862424662605925</v>
      </c>
      <c r="U16" s="154">
        <f>$U$31/(T16/$T$31)</f>
        <v>0.1076465194705948</v>
      </c>
      <c r="V16" s="235">
        <f>Summary!M12</f>
        <v>1.1074549650029442E-3</v>
      </c>
      <c r="W16" s="224">
        <f>Summary!O12</f>
        <v>1.7348644391980796</v>
      </c>
      <c r="X16" s="226"/>
      <c r="Y16" s="12"/>
    </row>
    <row r="17" spans="1:25">
      <c r="A17" t="str">
        <f>Summary!B13</f>
        <v>Subdermal space</v>
      </c>
      <c r="B17" s="33" t="s">
        <v>98</v>
      </c>
      <c r="C17" s="33">
        <v>0.115</v>
      </c>
      <c r="D17" s="33">
        <v>5.0000000000000001E-3</v>
      </c>
      <c r="E17" s="58"/>
      <c r="F17" s="153">
        <f t="shared" ref="F17:F31" si="0">(D17/D$31)*100</f>
        <v>0.12820512820512819</v>
      </c>
      <c r="G17" s="33">
        <v>41</v>
      </c>
      <c r="H17" s="63">
        <v>0.95</v>
      </c>
      <c r="I17" s="33">
        <v>95</v>
      </c>
      <c r="J17" s="68">
        <f>$J$31/(I17/I$31)</f>
        <v>0.1782</v>
      </c>
      <c r="K17" s="68">
        <f>$K$31/(I17/I$31)</f>
        <v>0.40294736842105261</v>
      </c>
      <c r="L17" s="68">
        <f>$L$31/(I17/I$31)</f>
        <v>0.60442105263157897</v>
      </c>
      <c r="M17" s="68">
        <f>$M$31/($I17/$I$31)</f>
        <v>0.10073684210526315</v>
      </c>
      <c r="N17" s="231">
        <f>Summary!C13</f>
        <v>90</v>
      </c>
      <c r="O17" s="141">
        <f>Summary!E13</f>
        <v>82.47</v>
      </c>
      <c r="P17" s="231">
        <f>O16</f>
        <v>0.5</v>
      </c>
      <c r="Q17" s="231">
        <f t="shared" ref="Q17:Q31" si="1">(P17/P$31)*100</f>
        <v>1.7604060170547706E-4</v>
      </c>
      <c r="R17" s="135">
        <f>Summary!J13</f>
        <v>0.92773995849848556</v>
      </c>
      <c r="S17" s="135">
        <f>Summary!K13</f>
        <v>16.74620863715678</v>
      </c>
      <c r="T17" s="135">
        <f>Summary!L13</f>
        <v>92.773995849848561</v>
      </c>
      <c r="U17" s="154">
        <f t="shared" ref="U17:U29" si="2">$U$31/(T17/$T$31)</f>
        <v>3.000840887036714E-2</v>
      </c>
      <c r="V17" s="235">
        <f>Summary!M13</f>
        <v>3.0872304612138016E-4</v>
      </c>
      <c r="W17" s="224">
        <f>Summary!O13</f>
        <v>0.148864697790312</v>
      </c>
      <c r="X17" s="226"/>
      <c r="Y17" s="12"/>
    </row>
    <row r="18" spans="1:25">
      <c r="A18" t="str">
        <f>Summary!B14</f>
        <v>Large incurrent canal</v>
      </c>
      <c r="B18" s="33" t="s">
        <v>222</v>
      </c>
      <c r="C18" s="33"/>
      <c r="D18" s="33">
        <f>D17+C17</f>
        <v>0.12000000000000001</v>
      </c>
      <c r="E18" s="58" t="s">
        <v>195</v>
      </c>
      <c r="F18" s="153">
        <f t="shared" si="0"/>
        <v>3.0769230769230771</v>
      </c>
      <c r="G18" s="33">
        <v>4.3</v>
      </c>
      <c r="H18" s="63">
        <v>0.1</v>
      </c>
      <c r="I18" s="33">
        <v>10</v>
      </c>
      <c r="J18" s="68">
        <f>$J$31/(I18/I$31)</f>
        <v>1.6929000000000001</v>
      </c>
      <c r="K18" s="68">
        <f>$K$31/(I18/I$31)</f>
        <v>3.8280000000000003</v>
      </c>
      <c r="L18" s="68">
        <f>$L$31/(I18/I$31)</f>
        <v>5.742</v>
      </c>
      <c r="M18" s="68">
        <f>$M$31/($I18/$I$31)</f>
        <v>0.95699999999999996</v>
      </c>
      <c r="N18" s="231">
        <f>Summary!C14</f>
        <v>365.56999999999994</v>
      </c>
      <c r="O18" s="141">
        <f>Summary!E14</f>
        <v>2000</v>
      </c>
      <c r="P18" s="231">
        <f>P17+O17</f>
        <v>82.97</v>
      </c>
      <c r="Q18" s="231">
        <f t="shared" si="1"/>
        <v>2.9212177447006864E-2</v>
      </c>
      <c r="R18" s="135">
        <f>Summary!J14</f>
        <v>0.17116292933983332</v>
      </c>
      <c r="S18" s="135">
        <f>Summary!K14</f>
        <v>3.0895835620908541</v>
      </c>
      <c r="T18" s="135">
        <f>Summary!L14</f>
        <v>17.116292933983331</v>
      </c>
      <c r="U18" s="154">
        <f t="shared" si="2"/>
        <v>0.16265204216460571</v>
      </c>
      <c r="V18" s="235">
        <f>Summary!M14</f>
        <v>1.6733454323366759E-3</v>
      </c>
      <c r="W18" s="224">
        <f>Summary!O14</f>
        <v>1.1860041111469022</v>
      </c>
      <c r="X18" s="226"/>
      <c r="Y18" s="12"/>
    </row>
    <row r="19" spans="1:25">
      <c r="A19" t="str">
        <f>Summary!B17</f>
        <v xml:space="preserve">Prosopyles </v>
      </c>
      <c r="B19" s="33" t="s">
        <v>196</v>
      </c>
      <c r="C19" s="33"/>
      <c r="D19" s="33">
        <v>1.8</v>
      </c>
      <c r="E19" s="59" t="s">
        <v>197</v>
      </c>
      <c r="F19" s="153">
        <f t="shared" si="0"/>
        <v>46.153846153846153</v>
      </c>
      <c r="G19" s="33">
        <v>89</v>
      </c>
      <c r="H19" s="63">
        <v>2.0699999999999998</v>
      </c>
      <c r="I19" s="33">
        <v>207</v>
      </c>
      <c r="J19" s="68">
        <f>$J$31/(I19/I$31)</f>
        <v>8.1782608695652168E-2</v>
      </c>
      <c r="K19" s="68">
        <f>$K$31/(I19/I$31)</f>
        <v>0.18492753623188407</v>
      </c>
      <c r="L19" s="68">
        <f>$L$31/(I19/I$31)</f>
        <v>0.27739130434782611</v>
      </c>
      <c r="M19" s="68">
        <f>$M$31/($I19/$I$31)</f>
        <v>4.6231884057971011E-2</v>
      </c>
      <c r="N19" s="231">
        <f>Summary!C17</f>
        <v>2.1482265858213245</v>
      </c>
      <c r="O19" s="141">
        <f>Summary!E17</f>
        <v>0.5</v>
      </c>
      <c r="P19" s="231">
        <f t="shared" ref="P19:P31" si="3">P18+O18</f>
        <v>2082.9699999999998</v>
      </c>
      <c r="Q19" s="231">
        <f t="shared" si="1"/>
        <v>0.733374584268915</v>
      </c>
      <c r="R19" s="135">
        <f>Summary!J17</f>
        <v>2.7506314646668373</v>
      </c>
      <c r="S19" s="135">
        <f>Summary!K17</f>
        <v>275.06314646668375</v>
      </c>
      <c r="T19" s="135">
        <f>Summary!L17</f>
        <v>1523.849831425428</v>
      </c>
      <c r="U19" s="154">
        <f t="shared" si="2"/>
        <v>1.8269516737064646E-3</v>
      </c>
      <c r="V19" s="235">
        <f>Summary!M17</f>
        <v>1.8795467905670168E-5</v>
      </c>
      <c r="W19" s="224">
        <f>Summary!O17</f>
        <v>9.6443878190786203E-2</v>
      </c>
      <c r="X19" s="226"/>
      <c r="Y19" s="12"/>
    </row>
    <row r="20" spans="1:25">
      <c r="A20" t="str">
        <f>Summary!B18</f>
        <v>Pre-collar space</v>
      </c>
      <c r="B20" s="33" t="s">
        <v>168</v>
      </c>
      <c r="C20" s="33"/>
      <c r="D20" s="33"/>
      <c r="E20" s="59"/>
      <c r="F20" s="153"/>
      <c r="G20" s="33"/>
      <c r="H20" s="139"/>
      <c r="I20" s="76"/>
      <c r="J20" s="68"/>
      <c r="K20" s="68"/>
      <c r="L20" s="68"/>
      <c r="M20" s="68"/>
      <c r="N20" s="231">
        <f>Summary!C18</f>
        <v>2</v>
      </c>
      <c r="O20" s="141">
        <f>Summary!E18</f>
        <v>1.65</v>
      </c>
      <c r="P20" s="231">
        <f t="shared" si="3"/>
        <v>2083.4699999999998</v>
      </c>
      <c r="Q20" s="231">
        <f t="shared" si="1"/>
        <v>0.7335506248706205</v>
      </c>
      <c r="R20" s="135">
        <f>Summary!J18</f>
        <v>1.609844768035297</v>
      </c>
      <c r="S20" s="135">
        <f>Summary!K18</f>
        <v>160.9844768035297</v>
      </c>
      <c r="T20" s="135">
        <f>Summary!L18</f>
        <v>891.85400149155441</v>
      </c>
      <c r="U20" s="154">
        <f t="shared" si="2"/>
        <v>3.1215871603917041E-3</v>
      </c>
      <c r="V20" s="235">
        <f>Summary!M18</f>
        <v>3.2114528332795459E-5</v>
      </c>
      <c r="W20" s="224">
        <f>Summary!O18</f>
        <v>0.62738942550949217</v>
      </c>
      <c r="X20" s="226"/>
      <c r="Y20" s="12"/>
    </row>
    <row r="21" spans="1:25">
      <c r="A21" t="str">
        <f>Summary!B19</f>
        <v>Glycocalyx mesh pores</v>
      </c>
      <c r="B21" s="33" t="s">
        <v>132</v>
      </c>
      <c r="C21" s="33"/>
      <c r="D21" s="33"/>
      <c r="E21" s="33"/>
      <c r="F21" s="153"/>
      <c r="G21" s="33"/>
      <c r="H21" s="139"/>
      <c r="I21" s="76"/>
      <c r="J21" s="71"/>
      <c r="K21" s="68"/>
      <c r="L21" s="68"/>
      <c r="M21" s="71"/>
      <c r="N21" s="232">
        <f>Summary!C19</f>
        <v>4.4999999999999998E-2</v>
      </c>
      <c r="O21" s="142">
        <f>Summary!E19</f>
        <v>9.4999999999999998E-3</v>
      </c>
      <c r="P21" s="231">
        <f t="shared" si="3"/>
        <v>2085.12</v>
      </c>
      <c r="Q21" s="231">
        <f t="shared" si="1"/>
        <v>0.73413155885624859</v>
      </c>
      <c r="R21" s="135">
        <f>Summary!J19</f>
        <v>2.5133091651266217</v>
      </c>
      <c r="S21" s="135">
        <f>Summary!K19</f>
        <v>251.33091651266218</v>
      </c>
      <c r="T21" s="135">
        <f>Summary!L19</f>
        <v>1392.3732774801485</v>
      </c>
      <c r="U21" s="154">
        <f t="shared" si="2"/>
        <v>1.9994638255614555E-3</v>
      </c>
      <c r="V21" s="235">
        <f>Summary!M19</f>
        <v>2.057025300819584E-5</v>
      </c>
      <c r="W21" s="224">
        <f>Summary!O19</f>
        <v>4.5703546831839361</v>
      </c>
      <c r="X21" s="226"/>
      <c r="Y21" s="12"/>
    </row>
    <row r="22" spans="1:25">
      <c r="A22" t="str">
        <f>Summary!B20</f>
        <v>Collar slit</v>
      </c>
      <c r="B22" s="33" t="s">
        <v>198</v>
      </c>
      <c r="C22" s="33"/>
      <c r="D22" s="33">
        <v>1.8049999999999999</v>
      </c>
      <c r="E22" s="33">
        <v>0.12</v>
      </c>
      <c r="F22" s="153">
        <f t="shared" si="0"/>
        <v>46.282051282051285</v>
      </c>
      <c r="G22" s="33">
        <v>2400</v>
      </c>
      <c r="H22" s="63">
        <v>56</v>
      </c>
      <c r="I22" s="33">
        <v>5600</v>
      </c>
      <c r="J22" s="71">
        <f>$J$31/(I22/I$31)</f>
        <v>3.0230357142857142E-3</v>
      </c>
      <c r="K22" s="68">
        <f>$K$31/(I22/I$31)</f>
        <v>6.8357142857142861E-3</v>
      </c>
      <c r="L22" s="68">
        <f>$L$31/(I22/I$31)</f>
        <v>1.025357142857143E-2</v>
      </c>
      <c r="M22" s="71">
        <f>$M$31/($I22/$I$31)</f>
        <v>1.7089285714285713E-3</v>
      </c>
      <c r="N22" s="233">
        <f>Summary!C20</f>
        <v>0.11857142857142856</v>
      </c>
      <c r="O22" s="143">
        <f>Summary!E20</f>
        <v>7.0000000000000007E-2</v>
      </c>
      <c r="P22" s="231">
        <f t="shared" si="3"/>
        <v>2085.1295</v>
      </c>
      <c r="Q22" s="231">
        <f t="shared" si="1"/>
        <v>0.73413490362768108</v>
      </c>
      <c r="R22" s="135">
        <f>Summary!J20</f>
        <v>7.2195660635325174</v>
      </c>
      <c r="S22" s="135">
        <f>Summary!K20</f>
        <v>721.95660635325169</v>
      </c>
      <c r="T22" s="135">
        <f>Summary!L20</f>
        <v>3999.6395991970139</v>
      </c>
      <c r="U22" s="154">
        <f t="shared" si="2"/>
        <v>6.9606271539038875E-4</v>
      </c>
      <c r="V22" s="235">
        <f>Summary!M20</f>
        <v>7.16101285860049E-6</v>
      </c>
      <c r="W22" s="224">
        <f>Summary!O20</f>
        <v>1.6885894928331913</v>
      </c>
      <c r="X22" s="226"/>
      <c r="Y22" s="12"/>
    </row>
    <row r="23" spans="1:25">
      <c r="A23" t="str">
        <f>Summary!B21</f>
        <v>Glycocalyx mesh pores</v>
      </c>
      <c r="B23" s="33" t="s">
        <v>132</v>
      </c>
      <c r="C23" s="33"/>
      <c r="D23" s="33"/>
      <c r="E23" s="33"/>
      <c r="F23" s="153"/>
      <c r="G23" s="33"/>
      <c r="H23" s="139"/>
      <c r="I23" s="76"/>
      <c r="J23" s="71"/>
      <c r="K23" s="68"/>
      <c r="L23" s="68"/>
      <c r="M23" s="71"/>
      <c r="N23" s="232">
        <f>Summary!C21</f>
        <v>4.4999999999999998E-2</v>
      </c>
      <c r="O23" s="142">
        <f>Summary!E21</f>
        <v>9.4999999999999998E-3</v>
      </c>
      <c r="P23" s="231">
        <f t="shared" si="3"/>
        <v>2085.1995000000002</v>
      </c>
      <c r="Q23" s="231">
        <f t="shared" si="1"/>
        <v>0.73415954931191996</v>
      </c>
      <c r="R23" s="135">
        <f>Summary!J21</f>
        <v>2.5133091651266217</v>
      </c>
      <c r="S23" s="135">
        <f>Summary!K21</f>
        <v>251.33091651266218</v>
      </c>
      <c r="T23" s="135">
        <f>Summary!L21</f>
        <v>1392.3732774801485</v>
      </c>
      <c r="U23" s="154">
        <f t="shared" si="2"/>
        <v>1.9994638255614555E-3</v>
      </c>
      <c r="V23" s="235">
        <f>Summary!M21</f>
        <v>2.057025300819584E-5</v>
      </c>
      <c r="W23" s="224">
        <f>Summary!O21</f>
        <v>4.5703546831839361</v>
      </c>
      <c r="X23" s="226"/>
      <c r="Y23" s="12"/>
    </row>
    <row r="24" spans="1:25">
      <c r="A24" t="str">
        <f>Summary!B22</f>
        <v>Post-collar space</v>
      </c>
      <c r="B24" s="33" t="s">
        <v>169</v>
      </c>
      <c r="C24" s="33"/>
      <c r="D24" s="33"/>
      <c r="E24" s="33"/>
      <c r="F24" s="153"/>
      <c r="G24" s="33"/>
      <c r="H24" s="139"/>
      <c r="I24" s="76"/>
      <c r="J24" s="71"/>
      <c r="K24" s="68"/>
      <c r="L24" s="68"/>
      <c r="M24" s="71"/>
      <c r="N24" s="234">
        <f>Summary!C22</f>
        <v>2</v>
      </c>
      <c r="O24" s="144">
        <f>Summary!E22</f>
        <v>1.65</v>
      </c>
      <c r="P24" s="231">
        <f t="shared" si="3"/>
        <v>2085.2090000000003</v>
      </c>
      <c r="Q24" s="231">
        <f t="shared" si="1"/>
        <v>0.73416289408335234</v>
      </c>
      <c r="R24" s="135">
        <f>Summary!J22</f>
        <v>1.609844768035297</v>
      </c>
      <c r="S24" s="135">
        <f>Summary!K22</f>
        <v>160.9844768035297</v>
      </c>
      <c r="T24" s="135">
        <f>Summary!L22</f>
        <v>891.85400149155441</v>
      </c>
      <c r="U24" s="154">
        <f t="shared" si="2"/>
        <v>3.1215871603917041E-3</v>
      </c>
      <c r="V24" s="235">
        <f>Summary!M22</f>
        <v>3.2114528332795459E-5</v>
      </c>
      <c r="W24" s="224">
        <f>Summary!O22</f>
        <v>0.62738942550949217</v>
      </c>
      <c r="X24" s="226"/>
      <c r="Y24" s="12"/>
    </row>
    <row r="25" spans="1:25">
      <c r="A25" t="str">
        <f>Summary!B23</f>
        <v xml:space="preserve">Collar apertures </v>
      </c>
      <c r="B25" s="33" t="s">
        <v>225</v>
      </c>
      <c r="C25" s="33"/>
      <c r="D25" s="33">
        <v>1.81</v>
      </c>
      <c r="E25" s="33"/>
      <c r="F25" s="153">
        <f t="shared" si="0"/>
        <v>46.410256410256409</v>
      </c>
      <c r="G25" s="33">
        <v>350</v>
      </c>
      <c r="H25" s="10">
        <v>8.1</v>
      </c>
      <c r="I25" s="56">
        <v>810</v>
      </c>
      <c r="J25" s="68">
        <f>$J$31/(I25/I$31)</f>
        <v>2.0899999999999998E-2</v>
      </c>
      <c r="K25" s="68">
        <f>$K$31/(I25/I$31)</f>
        <v>4.7259259259259258E-2</v>
      </c>
      <c r="L25" s="68">
        <f>$L$31/(I25/I$31)</f>
        <v>7.088888888888889E-2</v>
      </c>
      <c r="M25" s="68">
        <f>$M$31/($I25/$I$31)</f>
        <v>1.1814814814814813E-2</v>
      </c>
      <c r="N25" s="231">
        <f>Summary!C23</f>
        <v>2</v>
      </c>
      <c r="O25" s="141">
        <f>Summary!E23</f>
        <v>0.5</v>
      </c>
      <c r="P25" s="231">
        <f t="shared" si="3"/>
        <v>2086.8590000000004</v>
      </c>
      <c r="Q25" s="231">
        <f t="shared" si="1"/>
        <v>0.73474382806898042</v>
      </c>
      <c r="R25" s="135">
        <f>Summary!J23</f>
        <v>4.010226371080833</v>
      </c>
      <c r="S25" s="135">
        <f>Summary!K23</f>
        <v>401.0226371080833</v>
      </c>
      <c r="T25" s="135">
        <f>Summary!L23</f>
        <v>2221.6654095787812</v>
      </c>
      <c r="U25" s="154">
        <f t="shared" si="2"/>
        <v>1.2531139873703282E-3</v>
      </c>
      <c r="V25" s="235">
        <f>Summary!M23</f>
        <v>1.2891892035645383E-5</v>
      </c>
      <c r="W25" s="224">
        <f>Summary!O23</f>
        <v>7.6320000851020683E-2</v>
      </c>
      <c r="X25" s="226"/>
      <c r="Y25" s="12"/>
    </row>
    <row r="26" spans="1:25">
      <c r="A26" t="str">
        <f>Summary!B24</f>
        <v xml:space="preserve">Chamber </v>
      </c>
      <c r="B26" s="55" t="s">
        <v>151</v>
      </c>
      <c r="C26" s="33"/>
      <c r="D26" s="33"/>
      <c r="E26" s="33"/>
      <c r="F26" s="153"/>
      <c r="G26" s="33"/>
      <c r="H26" s="63"/>
      <c r="I26" s="33"/>
      <c r="J26" s="68"/>
      <c r="K26" s="68"/>
      <c r="L26" s="68"/>
      <c r="M26" s="68"/>
      <c r="N26" s="231">
        <f>Summary!C24</f>
        <v>56.027845995869619</v>
      </c>
      <c r="O26" s="231">
        <f>Summary!E24</f>
        <v>56.027845995869619</v>
      </c>
      <c r="P26" s="231">
        <f t="shared" si="3"/>
        <v>2087.3590000000004</v>
      </c>
      <c r="Q26" s="231">
        <f t="shared" si="1"/>
        <v>0.73491986867068593</v>
      </c>
      <c r="R26" s="135">
        <f>Summary!J24</f>
        <v>4.3925029124997206</v>
      </c>
      <c r="S26" s="135">
        <f>Summary!K24</f>
        <v>439.25029124997207</v>
      </c>
      <c r="T26" s="135">
        <f>Summary!L24</f>
        <v>2433.4466135248454</v>
      </c>
      <c r="U26" s="154">
        <f t="shared" si="2"/>
        <v>1.1440563292109285E-3</v>
      </c>
      <c r="V26" s="235">
        <f>Summary!M24</f>
        <v>1.1769919438721683E-5</v>
      </c>
      <c r="W26" s="224">
        <f>Summary!O24</f>
        <v>9.9490418507067382E-3</v>
      </c>
      <c r="X26" s="226"/>
      <c r="Y26" s="12"/>
    </row>
    <row r="27" spans="1:25">
      <c r="A27" t="str">
        <f>Summary!B25</f>
        <v>Apopyle</v>
      </c>
      <c r="B27" s="33" t="s">
        <v>200</v>
      </c>
      <c r="C27" s="33"/>
      <c r="D27" s="33">
        <v>1.85</v>
      </c>
      <c r="E27" s="33">
        <v>14</v>
      </c>
      <c r="F27" s="153">
        <f t="shared" si="0"/>
        <v>47.435897435897438</v>
      </c>
      <c r="G27" s="33">
        <v>180</v>
      </c>
      <c r="H27" s="63">
        <v>4.2</v>
      </c>
      <c r="I27" s="33">
        <v>420</v>
      </c>
      <c r="J27" s="68">
        <f>$J$31/(I27/I$31)</f>
        <v>4.0307142857142854E-2</v>
      </c>
      <c r="K27" s="68">
        <f>$K$31/(I27/I$31)</f>
        <v>9.1142857142857137E-2</v>
      </c>
      <c r="L27" s="68">
        <f>$L$31/(I27/I$31)</f>
        <v>0.1367142857142857</v>
      </c>
      <c r="M27" s="68">
        <f>$M$31/($I27/$I$31)</f>
        <v>2.2785714285714284E-2</v>
      </c>
      <c r="N27" s="231">
        <f>Summary!C25</f>
        <v>26.370000000000005</v>
      </c>
      <c r="O27" s="141">
        <f>Summary!E25</f>
        <v>2</v>
      </c>
      <c r="P27" s="231">
        <f t="shared" si="3"/>
        <v>2143.3868459958699</v>
      </c>
      <c r="Q27" s="231">
        <f t="shared" si="1"/>
        <v>0.7546462201134353</v>
      </c>
      <c r="R27" s="135">
        <f>Summary!J25</f>
        <v>2.0427982377908287</v>
      </c>
      <c r="S27" s="135">
        <f>Summary!K25</f>
        <v>204.27982377908288</v>
      </c>
      <c r="T27" s="135">
        <f>Summary!L25</f>
        <v>1131.7102237361191</v>
      </c>
      <c r="U27" s="154">
        <f t="shared" si="2"/>
        <v>2.4599936817829306E-3</v>
      </c>
      <c r="V27" s="235">
        <f>Summary!M25</f>
        <v>2.5308131002884588E-5</v>
      </c>
      <c r="W27" s="224">
        <f>Summary!O25</f>
        <v>3.4473192431230142E-3</v>
      </c>
      <c r="X27" s="226"/>
      <c r="Y27" s="12"/>
    </row>
    <row r="28" spans="1:25">
      <c r="A28" t="str">
        <f>Summary!B27</f>
        <v>Large excurrent canals</v>
      </c>
      <c r="B28" s="33" t="s">
        <v>199</v>
      </c>
      <c r="C28" s="33"/>
      <c r="D28" s="33">
        <v>3.8</v>
      </c>
      <c r="E28" s="33"/>
      <c r="F28" s="153">
        <f t="shared" si="0"/>
        <v>97.435897435897431</v>
      </c>
      <c r="G28" s="33">
        <v>1.3</v>
      </c>
      <c r="H28" s="63">
        <v>0.03</v>
      </c>
      <c r="I28" s="33">
        <v>3</v>
      </c>
      <c r="J28" s="68">
        <f>$J$31/(I28/I31)</f>
        <v>5.6430000000000007</v>
      </c>
      <c r="K28" s="68">
        <f>$K$31/(I28/I$31)</f>
        <v>12.760000000000002</v>
      </c>
      <c r="L28" s="68">
        <f>$L$31/(I28/I$31)</f>
        <v>19.14</v>
      </c>
      <c r="M28" s="68">
        <f>$M$31/($I28/$I$31)</f>
        <v>3.19</v>
      </c>
      <c r="N28" s="231">
        <f>Summary!C27</f>
        <v>405</v>
      </c>
      <c r="O28" s="141">
        <f>Summary!E27</f>
        <v>2840</v>
      </c>
      <c r="P28" s="231">
        <f t="shared" si="3"/>
        <v>2145.3868459958699</v>
      </c>
      <c r="Q28" s="231">
        <f t="shared" si="1"/>
        <v>0.75535038252025721</v>
      </c>
      <c r="R28" s="135">
        <f>Summary!J27</f>
        <v>0.21007707382627713</v>
      </c>
      <c r="S28" s="135">
        <f>Summary!K27</f>
        <v>3.7920049427125839</v>
      </c>
      <c r="T28" s="135">
        <f>Summary!L27</f>
        <v>21.007707382627714</v>
      </c>
      <c r="U28" s="154">
        <f t="shared" si="2"/>
        <v>0.13252279029277719</v>
      </c>
      <c r="V28" s="235">
        <f>Summary!M27</f>
        <v>1.3633791673670465E-3</v>
      </c>
      <c r="W28" s="224">
        <f>Summary!O27</f>
        <v>1.1179867100799847</v>
      </c>
      <c r="X28" s="226"/>
      <c r="Y28" s="12"/>
    </row>
    <row r="29" spans="1:25">
      <c r="A29" t="str">
        <f>Summary!B28</f>
        <v>Subatrial space</v>
      </c>
      <c r="B29" s="57" t="s">
        <v>224</v>
      </c>
      <c r="C29" s="57"/>
      <c r="D29" s="57"/>
      <c r="E29" s="57"/>
      <c r="F29" s="153"/>
      <c r="G29" s="57"/>
      <c r="H29" s="65"/>
      <c r="I29" s="57"/>
      <c r="J29" s="69"/>
      <c r="K29" s="78"/>
      <c r="L29" s="80"/>
      <c r="M29" s="83"/>
      <c r="N29" s="231">
        <f>Summary!C28</f>
        <v>80</v>
      </c>
      <c r="O29" s="141">
        <f>Summary!E28</f>
        <v>40</v>
      </c>
      <c r="P29" s="231">
        <f t="shared" si="3"/>
        <v>4985.3868459958703</v>
      </c>
      <c r="Q29" s="231">
        <f t="shared" si="1"/>
        <v>1.755261000207367</v>
      </c>
      <c r="R29" s="135">
        <f>Summary!J28</f>
        <v>0.8</v>
      </c>
      <c r="S29" s="135">
        <f>Summary!K28</f>
        <v>14.440433212996391</v>
      </c>
      <c r="T29" s="135">
        <f>Summary!L28</f>
        <v>80</v>
      </c>
      <c r="U29" s="154">
        <f t="shared" si="2"/>
        <v>3.4799999999999998E-2</v>
      </c>
      <c r="V29" s="235">
        <f>Summary!M28</f>
        <v>3.5801838249521908E-4</v>
      </c>
      <c r="W29" s="224">
        <f>Summary!O28</f>
        <v>0.10597344121858482</v>
      </c>
      <c r="X29" s="227"/>
      <c r="Y29" s="12"/>
    </row>
    <row r="30" spans="1:25">
      <c r="A30" t="str">
        <f>Summary!B29</f>
        <v>Atrial cavity</v>
      </c>
      <c r="B30" s="57"/>
      <c r="C30" s="57"/>
      <c r="D30" s="57"/>
      <c r="E30" s="57"/>
      <c r="F30" s="153"/>
      <c r="G30" s="57"/>
      <c r="H30" s="65"/>
      <c r="I30" s="57"/>
      <c r="J30" s="69"/>
      <c r="K30" s="78"/>
      <c r="L30" s="236"/>
      <c r="M30" s="236"/>
      <c r="N30" s="231">
        <f>Summary!C29</f>
        <v>62000</v>
      </c>
      <c r="O30" s="141">
        <f>Summary!E29</f>
        <v>279000</v>
      </c>
      <c r="P30" s="231">
        <f t="shared" si="3"/>
        <v>5025.3868459958703</v>
      </c>
      <c r="Q30" s="231">
        <f t="shared" si="1"/>
        <v>1.7693442483438053</v>
      </c>
      <c r="R30" s="135"/>
      <c r="S30" s="135"/>
      <c r="T30" s="135"/>
      <c r="U30" s="154"/>
      <c r="V30" s="235"/>
      <c r="W30" s="224"/>
      <c r="X30" s="237"/>
      <c r="Y30" s="12"/>
    </row>
    <row r="31" spans="1:25">
      <c r="A31" t="str">
        <f>Summary!B30</f>
        <v>Osculum</v>
      </c>
      <c r="B31" s="39" t="s">
        <v>190</v>
      </c>
      <c r="C31" s="39"/>
      <c r="D31" s="39">
        <v>3.9</v>
      </c>
      <c r="E31" s="39">
        <v>2100</v>
      </c>
      <c r="F31" s="153">
        <f t="shared" si="0"/>
        <v>100</v>
      </c>
      <c r="G31" s="39">
        <v>0.14000000000000001</v>
      </c>
      <c r="H31" s="64">
        <v>3.3E-3</v>
      </c>
      <c r="I31" s="39">
        <v>0.33</v>
      </c>
      <c r="J31" s="70">
        <v>51.3</v>
      </c>
      <c r="K31" s="79">
        <v>116</v>
      </c>
      <c r="L31" s="77">
        <v>174</v>
      </c>
      <c r="M31" s="77">
        <f>50*58%</f>
        <v>28.999999999999996</v>
      </c>
      <c r="N31" s="145">
        <f>Summary!C30</f>
        <v>44733.679854839022</v>
      </c>
      <c r="O31" s="146">
        <f>Summary!E30</f>
        <v>500</v>
      </c>
      <c r="P31" s="231">
        <f t="shared" si="3"/>
        <v>284025.38684599585</v>
      </c>
      <c r="Q31" s="231">
        <f t="shared" si="1"/>
        <v>100</v>
      </c>
      <c r="R31" s="173">
        <f>Summary!J30</f>
        <v>2.8434672977959635E-2</v>
      </c>
      <c r="S31" s="173">
        <f>Summary!K30</f>
        <v>0.51326124508952409</v>
      </c>
      <c r="T31" s="7">
        <v>4.8</v>
      </c>
      <c r="U31" s="155">
        <v>0.57999999999999996</v>
      </c>
      <c r="V31" s="235">
        <v>1E-3</v>
      </c>
      <c r="W31" s="224"/>
      <c r="X31" s="17"/>
      <c r="Y31" s="12"/>
    </row>
    <row r="32" spans="1:25">
      <c r="H32" t="s">
        <v>290</v>
      </c>
      <c r="I32" s="81" t="s">
        <v>287</v>
      </c>
      <c r="J32" s="81" t="s">
        <v>288</v>
      </c>
      <c r="K32" s="81" t="s">
        <v>289</v>
      </c>
      <c r="L32" s="81" t="s">
        <v>286</v>
      </c>
      <c r="T32" s="16" t="s">
        <v>285</v>
      </c>
      <c r="U32" s="16"/>
      <c r="V32" s="16"/>
      <c r="W32" s="12"/>
      <c r="X32" s="12"/>
    </row>
    <row r="33" spans="1:24">
      <c r="W33" s="12"/>
      <c r="X33" s="12"/>
    </row>
    <row r="34" spans="1:24">
      <c r="A34" s="1"/>
    </row>
  </sheetData>
  <mergeCells count="3">
    <mergeCell ref="E7:J7"/>
    <mergeCell ref="P7:U7"/>
    <mergeCell ref="U14:W14"/>
  </mergeCells>
  <phoneticPr fontId="3" type="noConversion"/>
  <pageMargins left="0.75" right="0.75" top="1" bottom="1" header="0.5" footer="0.5"/>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showGridLines="0" workbookViewId="0">
      <selection activeCell="S25" sqref="S25"/>
    </sheetView>
  </sheetViews>
  <sheetFormatPr defaultColWidth="9.140625" defaultRowHeight="12.75"/>
  <cols>
    <col min="1" max="1" width="18.7109375" style="246" customWidth="1"/>
    <col min="2" max="2" width="8" style="246" customWidth="1"/>
    <col min="3" max="3" width="2.42578125" style="246" customWidth="1"/>
    <col min="4" max="4" width="9.28515625" style="246" customWidth="1"/>
    <col min="5" max="5" width="2.5703125" style="246" customWidth="1"/>
    <col min="6" max="6" width="10.5703125" style="246" customWidth="1"/>
    <col min="7" max="7" width="7.28515625" style="246" customWidth="1"/>
    <col min="8" max="8" width="6.5703125" style="246" customWidth="1"/>
    <col min="9" max="9" width="7.7109375" style="246" bestFit="1" customWidth="1"/>
    <col min="10" max="10" width="1.42578125" style="246" customWidth="1"/>
    <col min="11" max="11" width="6.85546875" style="246" customWidth="1"/>
    <col min="12" max="12" width="7.7109375" style="246" bestFit="1" customWidth="1"/>
    <col min="13" max="13" width="1.42578125" style="246" customWidth="1"/>
    <col min="14" max="14" width="7.5703125" style="246" customWidth="1"/>
    <col min="15" max="15" width="11.28515625" style="246" bestFit="1" customWidth="1"/>
    <col min="16" max="16" width="8.42578125" style="246" customWidth="1"/>
    <col min="17" max="17" width="7.7109375" style="246" customWidth="1"/>
    <col min="18" max="16384" width="9.140625" style="246"/>
  </cols>
  <sheetData>
    <row r="1" spans="1:19" ht="7.5" customHeight="1"/>
    <row r="2" spans="1:19" ht="13.15" customHeight="1">
      <c r="A2" s="532" t="s">
        <v>350</v>
      </c>
      <c r="B2" s="528" t="s">
        <v>480</v>
      </c>
      <c r="C2" s="528"/>
      <c r="D2" s="528" t="s">
        <v>481</v>
      </c>
      <c r="E2" s="528"/>
      <c r="F2" s="528" t="s">
        <v>482</v>
      </c>
      <c r="G2" s="528" t="s">
        <v>483</v>
      </c>
      <c r="H2" s="528" t="s">
        <v>351</v>
      </c>
      <c r="I2" s="528"/>
      <c r="J2" s="455"/>
      <c r="K2" s="528" t="s">
        <v>484</v>
      </c>
      <c r="L2" s="528"/>
      <c r="M2" s="455"/>
      <c r="N2" s="528" t="s">
        <v>503</v>
      </c>
      <c r="O2" s="528"/>
      <c r="P2" s="528"/>
      <c r="Q2" s="528" t="s">
        <v>485</v>
      </c>
    </row>
    <row r="3" spans="1:19">
      <c r="A3" s="533"/>
      <c r="B3" s="529"/>
      <c r="C3" s="529"/>
      <c r="D3" s="529"/>
      <c r="E3" s="529"/>
      <c r="F3" s="529"/>
      <c r="G3" s="529"/>
      <c r="H3" s="531"/>
      <c r="I3" s="531"/>
      <c r="J3" s="456"/>
      <c r="K3" s="531"/>
      <c r="L3" s="531"/>
      <c r="M3" s="456"/>
      <c r="N3" s="531"/>
      <c r="O3" s="531"/>
      <c r="P3" s="531"/>
      <c r="Q3" s="529"/>
    </row>
    <row r="4" spans="1:19" ht="26.25" thickBot="1">
      <c r="A4" s="534"/>
      <c r="B4" s="530"/>
      <c r="C4" s="530"/>
      <c r="D4" s="530"/>
      <c r="E4" s="530"/>
      <c r="F4" s="530"/>
      <c r="G4" s="530"/>
      <c r="H4" s="245" t="s">
        <v>352</v>
      </c>
      <c r="I4" s="405" t="s">
        <v>372</v>
      </c>
      <c r="J4" s="245"/>
      <c r="K4" s="245" t="s">
        <v>352</v>
      </c>
      <c r="L4" s="405" t="s">
        <v>486</v>
      </c>
      <c r="M4" s="245"/>
      <c r="N4" s="245" t="s">
        <v>352</v>
      </c>
      <c r="O4" s="405" t="s">
        <v>486</v>
      </c>
      <c r="P4" s="457" t="s">
        <v>353</v>
      </c>
      <c r="Q4" s="530"/>
    </row>
    <row r="5" spans="1:19">
      <c r="A5" s="371" t="str">
        <f>Summary!B12</f>
        <v>Ostia</v>
      </c>
      <c r="B5" s="458">
        <f>Summary!C12</f>
        <v>3.8879539623796582</v>
      </c>
      <c r="C5" s="368" t="str">
        <f>Summary!D12</f>
        <v>a</v>
      </c>
      <c r="D5" s="459">
        <f>Summary!E12</f>
        <v>0.5</v>
      </c>
      <c r="E5" s="368" t="str">
        <f>Summary!F12</f>
        <v>b</v>
      </c>
      <c r="F5" s="460">
        <f>Summary!I12</f>
        <v>0</v>
      </c>
      <c r="G5" s="461">
        <f>Summary!K12</f>
        <v>4.6683077008313951</v>
      </c>
      <c r="H5" s="462">
        <f>Summary!L12</f>
        <v>25.862424662605925</v>
      </c>
      <c r="I5" s="406">
        <v>30</v>
      </c>
      <c r="J5" s="368"/>
      <c r="K5" s="458">
        <f>Summary!M12*1000000</f>
        <v>1107.4549650029442</v>
      </c>
      <c r="L5" s="406">
        <v>400</v>
      </c>
      <c r="M5" s="368"/>
      <c r="N5" s="458">
        <f>Summary!P12</f>
        <v>172.53319800085325</v>
      </c>
      <c r="O5" s="406">
        <v>37</v>
      </c>
      <c r="P5" s="461">
        <f>Summary!Q12*100</f>
        <v>8.3140428268636288</v>
      </c>
      <c r="Q5" s="461">
        <f>$N$24-N5</f>
        <v>1902.6689821392183</v>
      </c>
      <c r="S5" s="295"/>
    </row>
    <row r="6" spans="1:19">
      <c r="A6" s="371" t="str">
        <f>Summary!B13</f>
        <v>Subdermal space</v>
      </c>
      <c r="B6" s="458">
        <f>Summary!C13</f>
        <v>90</v>
      </c>
      <c r="C6" s="368" t="str">
        <f>Summary!D13</f>
        <v>c</v>
      </c>
      <c r="D6" s="458">
        <f>Summary!E13</f>
        <v>82.47</v>
      </c>
      <c r="E6" s="368" t="str">
        <f>Summary!F13</f>
        <v>d</v>
      </c>
      <c r="F6" s="460">
        <f>Summary!I13</f>
        <v>8.4627544544213212E-3</v>
      </c>
      <c r="G6" s="461">
        <f>Summary!K13</f>
        <v>16.74620863715678</v>
      </c>
      <c r="H6" s="462">
        <f>Summary!L13</f>
        <v>92.773995849848561</v>
      </c>
      <c r="I6" s="406">
        <v>95</v>
      </c>
      <c r="J6" s="368"/>
      <c r="K6" s="458">
        <f>Summary!M13*1000000</f>
        <v>308.72304612138015</v>
      </c>
      <c r="L6" s="406"/>
      <c r="M6" s="368"/>
      <c r="N6" s="458">
        <f>Summary!P13</f>
        <v>14.804673955427463</v>
      </c>
      <c r="O6" s="406"/>
      <c r="P6" s="461">
        <f>Summary!Q13*100</f>
        <v>0.71340875106579638</v>
      </c>
      <c r="Q6" s="461">
        <f>Q5-N6</f>
        <v>1887.8643081837909</v>
      </c>
      <c r="S6" s="295"/>
    </row>
    <row r="7" spans="1:19">
      <c r="A7" s="371" t="str">
        <f>Summary!B14</f>
        <v>Large incurrent canal</v>
      </c>
      <c r="B7" s="458">
        <f>Summary!C14</f>
        <v>365.56999999999994</v>
      </c>
      <c r="C7" s="368" t="str">
        <f>Summary!D14</f>
        <v>e</v>
      </c>
      <c r="D7" s="458">
        <f>Summary!E14</f>
        <v>2000</v>
      </c>
      <c r="E7" s="368" t="str">
        <f>Summary!F14</f>
        <v>f</v>
      </c>
      <c r="F7" s="460">
        <f>Summary!I14</f>
        <v>1.4043094741666742</v>
      </c>
      <c r="G7" s="461">
        <f>Summary!K14</f>
        <v>3.0895835620908541</v>
      </c>
      <c r="H7" s="462">
        <f>Summary!L14</f>
        <v>17.116292933983331</v>
      </c>
      <c r="I7" s="406">
        <v>10</v>
      </c>
      <c r="J7" s="368"/>
      <c r="K7" s="458">
        <f>Summary!M14*1000000</f>
        <v>1673.3454323366759</v>
      </c>
      <c r="L7" s="406">
        <v>120</v>
      </c>
      <c r="M7" s="368"/>
      <c r="N7" s="458">
        <f>Summary!P14</f>
        <v>117.94874430241936</v>
      </c>
      <c r="O7" s="406">
        <v>120</v>
      </c>
      <c r="P7" s="461">
        <f>Summary!Q14*100</f>
        <v>5.6837230334086328</v>
      </c>
      <c r="Q7" s="461">
        <f t="shared" ref="Q7:Q22" si="0">Q6-N7</f>
        <v>1769.9155638813716</v>
      </c>
      <c r="S7" s="295"/>
    </row>
    <row r="8" spans="1:19" s="372" customFormat="1">
      <c r="A8" s="371" t="str">
        <f>Summary!B15</f>
        <v>Medium icurrent canals</v>
      </c>
      <c r="B8" s="463">
        <f>Summary!C15</f>
        <v>182.21499999999997</v>
      </c>
      <c r="C8" s="371" t="str">
        <f>Summary!D15</f>
        <v>e1</v>
      </c>
      <c r="D8" s="463">
        <f>Summary!E15</f>
        <v>528.6825</v>
      </c>
      <c r="E8" s="371" t="str">
        <f>Summary!F15</f>
        <v>f1</v>
      </c>
      <c r="F8" s="464">
        <f>Summary!I15</f>
        <v>35.255327291851955</v>
      </c>
      <c r="G8" s="465">
        <f>Summary!K15</f>
        <v>4.60551657300985</v>
      </c>
      <c r="H8" s="466">
        <f>Summary!L15</f>
        <v>25.514561814474568</v>
      </c>
      <c r="I8" s="407"/>
      <c r="J8" s="371"/>
      <c r="K8" s="463">
        <f>Summary!M15*1000000</f>
        <v>1122.5538893389516</v>
      </c>
      <c r="L8" s="407"/>
      <c r="M8" s="371"/>
      <c r="N8" s="463">
        <f>Summary!P15</f>
        <v>84.188486898613675</v>
      </c>
      <c r="O8" s="407"/>
      <c r="P8" s="465">
        <f>Summary!Q15*100</f>
        <v>4.0568811899056092</v>
      </c>
      <c r="Q8" s="461">
        <f t="shared" si="0"/>
        <v>1685.7270769827578</v>
      </c>
      <c r="S8" s="295"/>
    </row>
    <row r="9" spans="1:19">
      <c r="A9" s="371" t="str">
        <f>Summary!B16</f>
        <v>Small incurrent canals</v>
      </c>
      <c r="B9" s="458">
        <f>Summary!C16</f>
        <v>58.833333333333336</v>
      </c>
      <c r="C9" s="368" t="str">
        <f>Summary!D16</f>
        <v>e2</v>
      </c>
      <c r="D9" s="458">
        <f>Summary!E16</f>
        <v>236.6</v>
      </c>
      <c r="E9" s="368" t="str">
        <f>Summary!F16</f>
        <v>f2</v>
      </c>
      <c r="F9" s="460">
        <f>Summary!I16</f>
        <v>44.203547655551155</v>
      </c>
      <c r="G9" s="461">
        <f>Summary!K16</f>
        <v>5.7615356672028337</v>
      </c>
      <c r="H9" s="462">
        <f>Summary!L16</f>
        <v>31.918907596303697</v>
      </c>
      <c r="I9" s="406"/>
      <c r="J9" s="368"/>
      <c r="K9" s="458">
        <f>Summary!M16*1000000</f>
        <v>897.31988832018476</v>
      </c>
      <c r="L9" s="406"/>
      <c r="M9" s="368"/>
      <c r="N9" s="458">
        <f>Summary!P16</f>
        <v>288.8909551897595</v>
      </c>
      <c r="O9" s="406"/>
      <c r="P9" s="461">
        <f>Summary!Q16*100</f>
        <v>13.921099252616436</v>
      </c>
      <c r="Q9" s="461">
        <f t="shared" si="0"/>
        <v>1396.8361217929983</v>
      </c>
      <c r="S9" s="295"/>
    </row>
    <row r="10" spans="1:19">
      <c r="A10" s="371" t="str">
        <f>Summary!B17</f>
        <v xml:space="preserve">Prosopyles </v>
      </c>
      <c r="B10" s="467">
        <f>Summary!C17</f>
        <v>2.1482265858213245</v>
      </c>
      <c r="C10" s="368" t="str">
        <f>Summary!D17</f>
        <v>g</v>
      </c>
      <c r="D10" s="459">
        <f>Summary!E17</f>
        <v>0.5</v>
      </c>
      <c r="E10" s="368" t="str">
        <f>Summary!F17</f>
        <v>h</v>
      </c>
      <c r="F10" s="460">
        <f>Summary!I17</f>
        <v>48.208123063383326</v>
      </c>
      <c r="G10" s="461">
        <f>Summary!K17</f>
        <v>275.06314646668375</v>
      </c>
      <c r="H10" s="462">
        <f>Summary!L17</f>
        <v>1523.849831425428</v>
      </c>
      <c r="I10" s="406">
        <v>207</v>
      </c>
      <c r="J10" s="368"/>
      <c r="K10" s="458">
        <f>Summary!M17*1000000</f>
        <v>18.795467905670169</v>
      </c>
      <c r="L10" s="406">
        <v>60</v>
      </c>
      <c r="M10" s="368"/>
      <c r="N10" s="458">
        <f>Summary!P17</f>
        <v>9.5913953597161878</v>
      </c>
      <c r="O10" s="406">
        <v>115</v>
      </c>
      <c r="P10" s="461">
        <f>Summary!Q17*100</f>
        <v>0.46219088682090681</v>
      </c>
      <c r="Q10" s="461">
        <f t="shared" si="0"/>
        <v>1387.244726433282</v>
      </c>
      <c r="S10" s="295"/>
    </row>
    <row r="11" spans="1:19">
      <c r="A11" s="371" t="str">
        <f>Summary!B18</f>
        <v>Pre-collar space</v>
      </c>
      <c r="B11" s="467">
        <f>Summary!C18</f>
        <v>2</v>
      </c>
      <c r="C11" s="368" t="str">
        <f>Summary!D18</f>
        <v>i</v>
      </c>
      <c r="D11" s="468">
        <f>Summary!E18</f>
        <v>1.65</v>
      </c>
      <c r="E11" s="368" t="str">
        <f>Summary!F18</f>
        <v>j</v>
      </c>
      <c r="F11" s="460">
        <f>Summary!I18</f>
        <v>48.216585817837739</v>
      </c>
      <c r="G11" s="461">
        <f>Summary!K18</f>
        <v>160.9844768035297</v>
      </c>
      <c r="H11" s="462">
        <f>Summary!L18</f>
        <v>891.85400149155441</v>
      </c>
      <c r="I11" s="408">
        <v>3500</v>
      </c>
      <c r="J11" s="369"/>
      <c r="K11" s="458">
        <f>Summary!M18*1000000</f>
        <v>32.114528332795459</v>
      </c>
      <c r="L11" s="406">
        <v>3.4</v>
      </c>
      <c r="M11" s="369"/>
      <c r="N11" s="458">
        <f>Summary!P18</f>
        <v>62.394214515749702</v>
      </c>
      <c r="O11" s="406"/>
      <c r="P11" s="461">
        <f>Summary!Q18*100</f>
        <v>3.0066571398618245</v>
      </c>
      <c r="Q11" s="461">
        <f t="shared" si="0"/>
        <v>1324.8505119175322</v>
      </c>
      <c r="S11" s="295"/>
    </row>
    <row r="12" spans="1:19">
      <c r="A12" s="371" t="str">
        <f>Summary!B19</f>
        <v>Glycocalyx mesh pores</v>
      </c>
      <c r="B12" s="468">
        <f>Summary!C19</f>
        <v>4.4999999999999998E-2</v>
      </c>
      <c r="C12" s="368" t="str">
        <f>Summary!D19</f>
        <v>k</v>
      </c>
      <c r="D12" s="468">
        <f>Summary!E19</f>
        <v>9.4999999999999998E-3</v>
      </c>
      <c r="E12" s="368" t="str">
        <f>Summary!F19</f>
        <v>l</v>
      </c>
      <c r="F12" s="460">
        <f>Summary!I19</f>
        <v>48.244512907537334</v>
      </c>
      <c r="G12" s="461">
        <f>Summary!K19</f>
        <v>251.33091651266218</v>
      </c>
      <c r="H12" s="462">
        <f>Summary!L19</f>
        <v>1392.3732774801485</v>
      </c>
      <c r="I12" s="406"/>
      <c r="J12" s="368"/>
      <c r="K12" s="458">
        <f>Summary!M19*1000000</f>
        <v>20.570253008195841</v>
      </c>
      <c r="L12" s="406"/>
      <c r="M12" s="368"/>
      <c r="N12" s="458">
        <f>Summary!P19</f>
        <v>454.52422199188845</v>
      </c>
      <c r="O12" s="406"/>
      <c r="P12" s="461">
        <f>Summary!Q19*100</f>
        <v>21.902647671717897</v>
      </c>
      <c r="Q12" s="461">
        <f t="shared" si="0"/>
        <v>870.32628992564378</v>
      </c>
      <c r="S12" s="295"/>
    </row>
    <row r="13" spans="1:19">
      <c r="A13" s="371" t="str">
        <f>Summary!B20</f>
        <v>Collar slit</v>
      </c>
      <c r="B13" s="468">
        <f>Summary!C20</f>
        <v>0.11857142857142856</v>
      </c>
      <c r="C13" s="368" t="str">
        <f>Summary!D20</f>
        <v>m</v>
      </c>
      <c r="D13" s="468">
        <f>Summary!E20</f>
        <v>7.0000000000000007E-2</v>
      </c>
      <c r="E13" s="368" t="str">
        <f>Summary!F20</f>
        <v>n</v>
      </c>
      <c r="F13" s="460">
        <f>Summary!I20</f>
        <v>48.244673699871967</v>
      </c>
      <c r="G13" s="461">
        <f>Summary!K20</f>
        <v>721.95660635325169</v>
      </c>
      <c r="H13" s="462">
        <f>Summary!L20</f>
        <v>3999.6395991970139</v>
      </c>
      <c r="I13" s="408">
        <v>5600</v>
      </c>
      <c r="J13" s="369"/>
      <c r="K13" s="458">
        <f>Summary!M20*1000000</f>
        <v>7.1610128586004897</v>
      </c>
      <c r="L13" s="406">
        <v>2.1</v>
      </c>
      <c r="M13" s="369"/>
      <c r="N13" s="458">
        <f>Summary!P20</f>
        <v>167.93112979122262</v>
      </c>
      <c r="O13" s="406">
        <v>122</v>
      </c>
      <c r="P13" s="461">
        <f>Summary!Q20*100</f>
        <v>8.0922780150456308</v>
      </c>
      <c r="Q13" s="461">
        <f t="shared" si="0"/>
        <v>702.39516013442119</v>
      </c>
      <c r="S13" s="295"/>
    </row>
    <row r="14" spans="1:19">
      <c r="A14" s="371" t="str">
        <f>Summary!B21</f>
        <v>Glycocalyx mesh pores</v>
      </c>
      <c r="B14" s="468">
        <f>Summary!C21</f>
        <v>4.4999999999999998E-2</v>
      </c>
      <c r="C14" s="368" t="str">
        <f>Summary!D21</f>
        <v>k</v>
      </c>
      <c r="D14" s="468">
        <f>Summary!E21</f>
        <v>9.4999999999999998E-3</v>
      </c>
      <c r="E14" s="368" t="str">
        <f>Summary!F21</f>
        <v>l</v>
      </c>
      <c r="F14" s="460">
        <f>Summary!I21</f>
        <v>48.245858485495596</v>
      </c>
      <c r="G14" s="461">
        <f>Summary!K21</f>
        <v>251.33091651266218</v>
      </c>
      <c r="H14" s="462">
        <f>Summary!L21</f>
        <v>1392.3732774801485</v>
      </c>
      <c r="I14" s="406"/>
      <c r="J14" s="368"/>
      <c r="K14" s="458">
        <f>Summary!M21*1000000</f>
        <v>20.570253008195841</v>
      </c>
      <c r="L14" s="406"/>
      <c r="M14" s="368"/>
      <c r="N14" s="458">
        <f>Summary!P21</f>
        <v>454.52422199188845</v>
      </c>
      <c r="O14" s="406"/>
      <c r="P14" s="461">
        <f>Summary!Q21*100</f>
        <v>21.902647671717897</v>
      </c>
      <c r="Q14" s="461">
        <f t="shared" si="0"/>
        <v>247.87093814253274</v>
      </c>
      <c r="S14" s="295"/>
    </row>
    <row r="15" spans="1:19">
      <c r="A15" s="371" t="str">
        <f>Summary!B22</f>
        <v>Post-collar space</v>
      </c>
      <c r="B15" s="467">
        <f>Summary!C22</f>
        <v>2</v>
      </c>
      <c r="C15" s="368" t="str">
        <f>Summary!D22</f>
        <v>i</v>
      </c>
      <c r="D15" s="468">
        <f>Summary!E22</f>
        <v>1.65</v>
      </c>
      <c r="E15" s="368" t="str">
        <f>Summary!F22</f>
        <v>j</v>
      </c>
      <c r="F15" s="460">
        <f>Summary!I22</f>
        <v>48.246019277830229</v>
      </c>
      <c r="G15" s="461">
        <f>Summary!K22</f>
        <v>160.9844768035297</v>
      </c>
      <c r="H15" s="462">
        <f>Summary!L22</f>
        <v>891.85400149155441</v>
      </c>
      <c r="I15" s="406"/>
      <c r="J15" s="368"/>
      <c r="K15" s="458">
        <f>Summary!M22*1000000</f>
        <v>32.114528332795459</v>
      </c>
      <c r="L15" s="406"/>
      <c r="M15" s="368"/>
      <c r="N15" s="458">
        <f>Summary!P22</f>
        <v>62.394214515749702</v>
      </c>
      <c r="O15" s="406"/>
      <c r="P15" s="461">
        <f>Summary!Q22*100</f>
        <v>3.0066571398618245</v>
      </c>
      <c r="Q15" s="461">
        <f t="shared" si="0"/>
        <v>185.47672362678304</v>
      </c>
      <c r="S15" s="295"/>
    </row>
    <row r="16" spans="1:19">
      <c r="A16" s="371" t="str">
        <f>Summary!B23</f>
        <v xml:space="preserve">Collar apertures </v>
      </c>
      <c r="B16" s="467">
        <f>Summary!C23</f>
        <v>2</v>
      </c>
      <c r="C16" s="368" t="str">
        <f>Summary!D23</f>
        <v>o</v>
      </c>
      <c r="D16" s="468">
        <f>Summary!E23</f>
        <v>0.5</v>
      </c>
      <c r="E16" s="368" t="str">
        <f>Summary!F23</f>
        <v>p</v>
      </c>
      <c r="F16" s="460">
        <f>Summary!I23</f>
        <v>48.273946367529824</v>
      </c>
      <c r="G16" s="461">
        <f>Summary!K23</f>
        <v>401.0226371080833</v>
      </c>
      <c r="H16" s="462">
        <f>Summary!L23</f>
        <v>2221.6654095787812</v>
      </c>
      <c r="I16" s="406">
        <v>810</v>
      </c>
      <c r="J16" s="368"/>
      <c r="K16" s="458">
        <f>Summary!M23*1000000</f>
        <v>12.891892035645384</v>
      </c>
      <c r="L16" s="406">
        <v>15</v>
      </c>
      <c r="M16" s="368"/>
      <c r="N16" s="458">
        <f>Summary!P23</f>
        <v>7.5900649761090655</v>
      </c>
      <c r="O16" s="406"/>
      <c r="P16" s="461">
        <f>Summary!Q23*100</f>
        <v>0.36575062655325241</v>
      </c>
      <c r="Q16" s="461">
        <f t="shared" si="0"/>
        <v>177.88665865067398</v>
      </c>
      <c r="S16" s="295"/>
    </row>
    <row r="17" spans="1:19">
      <c r="A17" s="371" t="str">
        <f>Summary!B24</f>
        <v xml:space="preserve">Chamber </v>
      </c>
      <c r="B17" s="458">
        <f>Summary!C24</f>
        <v>56.027845995869619</v>
      </c>
      <c r="C17" s="368" t="str">
        <f>Summary!D24</f>
        <v>q</v>
      </c>
      <c r="D17" s="458">
        <f>Summary!E24</f>
        <v>56.027845995869619</v>
      </c>
      <c r="E17" s="368" t="str">
        <f>Summary!F24</f>
        <v>r</v>
      </c>
      <c r="F17" s="460">
        <f>Summary!I24</f>
        <v>48.282409121984244</v>
      </c>
      <c r="G17" s="461">
        <f>Summary!K24</f>
        <v>439.25029124997207</v>
      </c>
      <c r="H17" s="462">
        <f>Summary!L24</f>
        <v>2433.4466135248454</v>
      </c>
      <c r="I17" s="406"/>
      <c r="J17" s="368"/>
      <c r="K17" s="458">
        <f>Summary!M24*1000000</f>
        <v>11.769919438721683</v>
      </c>
      <c r="L17" s="406"/>
      <c r="M17" s="368"/>
      <c r="N17" s="458">
        <f>Summary!P24</f>
        <v>0.98943754264754624</v>
      </c>
      <c r="O17" s="406"/>
      <c r="P17" s="461">
        <f>Summary!Q24*100</f>
        <v>4.7679091325008215E-2</v>
      </c>
      <c r="Q17" s="461">
        <f t="shared" si="0"/>
        <v>176.89722110802643</v>
      </c>
      <c r="S17" s="295"/>
    </row>
    <row r="18" spans="1:19">
      <c r="A18" s="371" t="str">
        <f>Summary!B25</f>
        <v>Apopyle</v>
      </c>
      <c r="B18" s="458">
        <f>Summary!C25</f>
        <v>26.370000000000005</v>
      </c>
      <c r="C18" s="368" t="str">
        <f>Summary!D25</f>
        <v>s</v>
      </c>
      <c r="D18" s="458">
        <f>Summary!E25</f>
        <v>2</v>
      </c>
      <c r="E18" s="368" t="str">
        <f>Summary!F25</f>
        <v>t</v>
      </c>
      <c r="F18" s="460">
        <f>Summary!I25</f>
        <v>49.230708928530596</v>
      </c>
      <c r="G18" s="461">
        <f>Summary!K25</f>
        <v>204.27982377908288</v>
      </c>
      <c r="H18" s="462">
        <f>Summary!L25</f>
        <v>1131.7102237361191</v>
      </c>
      <c r="I18" s="406">
        <v>420</v>
      </c>
      <c r="J18" s="368"/>
      <c r="K18" s="458">
        <f>Summary!M25*1000000</f>
        <v>25.30813100288459</v>
      </c>
      <c r="L18" s="406">
        <v>29</v>
      </c>
      <c r="M18" s="368"/>
      <c r="N18" s="458">
        <f>Summary!P25</f>
        <v>0.34283774576693909</v>
      </c>
      <c r="O18" s="406"/>
      <c r="P18" s="461">
        <f>Summary!Q25*100</f>
        <v>1.6520691287236329E-2</v>
      </c>
      <c r="Q18" s="461">
        <f t="shared" si="0"/>
        <v>176.5543833622595</v>
      </c>
      <c r="S18" s="295"/>
    </row>
    <row r="19" spans="1:19">
      <c r="A19" s="371" t="str">
        <f>Summary!B26</f>
        <v>Small Excurrent canals</v>
      </c>
      <c r="B19" s="458">
        <f>Summary!C26</f>
        <v>218</v>
      </c>
      <c r="C19" s="368" t="str">
        <f>Summary!D26</f>
        <v>u1</v>
      </c>
      <c r="D19" s="458">
        <f>Summary!E26</f>
        <v>117.57249999999999</v>
      </c>
      <c r="E19" s="368" t="str">
        <f>Summary!F26</f>
        <v>v1</v>
      </c>
      <c r="F19" s="460">
        <f>Summary!I26</f>
        <v>49.264559946348278</v>
      </c>
      <c r="G19" s="461">
        <f>Summary!K26</f>
        <v>1.0986815601126221</v>
      </c>
      <c r="H19" s="462">
        <f>Summary!L26</f>
        <v>6.086695843023926</v>
      </c>
      <c r="I19" s="406"/>
      <c r="J19" s="368"/>
      <c r="K19" s="458">
        <f>Summary!M26*1000000</f>
        <v>4705.5859760832382</v>
      </c>
      <c r="L19" s="406"/>
      <c r="M19" s="368"/>
      <c r="N19" s="458">
        <f>Summary!P26</f>
        <v>54.830890530298767</v>
      </c>
      <c r="O19" s="406"/>
      <c r="P19" s="461">
        <f>Summary!Q26*100</f>
        <v>2.6421951101939283</v>
      </c>
      <c r="Q19" s="461">
        <f t="shared" si="0"/>
        <v>121.72349283196073</v>
      </c>
      <c r="S19" s="295"/>
    </row>
    <row r="20" spans="1:19">
      <c r="A20" s="371" t="str">
        <f>Summary!B27</f>
        <v>Large excurrent canals</v>
      </c>
      <c r="B20" s="458">
        <f>Summary!C27</f>
        <v>405</v>
      </c>
      <c r="C20" s="368" t="str">
        <f>Summary!D27</f>
        <v>u</v>
      </c>
      <c r="D20" s="458">
        <f>Summary!E27</f>
        <v>2840</v>
      </c>
      <c r="E20" s="368" t="str">
        <f>Summary!F27</f>
        <v>v</v>
      </c>
      <c r="F20" s="460">
        <f>Summary!I27</f>
        <v>51.254534342533184</v>
      </c>
      <c r="G20" s="461">
        <f>Summary!K27</f>
        <v>3.7920049427125839</v>
      </c>
      <c r="H20" s="462">
        <f>Summary!L27</f>
        <v>21.007707382627714</v>
      </c>
      <c r="I20" s="406">
        <v>3</v>
      </c>
      <c r="J20" s="368"/>
      <c r="K20" s="458">
        <f>Summary!M27*1000000</f>
        <v>1363.3791673670464</v>
      </c>
      <c r="L20" s="408">
        <v>4000</v>
      </c>
      <c r="M20" s="368"/>
      <c r="N20" s="458">
        <f>Summary!P27</f>
        <v>111.18437732328731</v>
      </c>
      <c r="O20" s="406">
        <v>120</v>
      </c>
      <c r="P20" s="461">
        <f>Summary!Q27*100</f>
        <v>5.3577612045387601</v>
      </c>
      <c r="Q20" s="461">
        <f t="shared" si="0"/>
        <v>10.539115508673419</v>
      </c>
      <c r="S20" s="295"/>
    </row>
    <row r="21" spans="1:19">
      <c r="A21" s="371" t="str">
        <f>Summary!B28</f>
        <v>Subatrial space</v>
      </c>
      <c r="B21" s="458">
        <f>Summary!C28</f>
        <v>80</v>
      </c>
      <c r="C21" s="368" t="str">
        <f>Summary!D28</f>
        <v>w</v>
      </c>
      <c r="D21" s="458">
        <f>Summary!E28</f>
        <v>40</v>
      </c>
      <c r="E21" s="368" t="str">
        <f>Summary!F28</f>
        <v>x</v>
      </c>
      <c r="F21" s="460">
        <f>Summary!I28</f>
        <v>99.322979643646292</v>
      </c>
      <c r="G21" s="461">
        <f>Summary!K28</f>
        <v>14.440433212996391</v>
      </c>
      <c r="H21" s="462">
        <f>Summary!L28</f>
        <v>80</v>
      </c>
      <c r="I21" s="406"/>
      <c r="J21" s="368"/>
      <c r="K21" s="458">
        <f>Summary!M28*1000000</f>
        <v>358.0183824952191</v>
      </c>
      <c r="L21" s="406"/>
      <c r="M21" s="368"/>
      <c r="N21" s="458">
        <f>Summary!P28</f>
        <v>10.539115508673063</v>
      </c>
      <c r="O21" s="406"/>
      <c r="P21" s="461">
        <f>Summary!Q28*100</f>
        <v>0.50785969721570434</v>
      </c>
      <c r="Q21" s="461">
        <f t="shared" si="0"/>
        <v>3.5527136788005009E-13</v>
      </c>
      <c r="S21" s="295"/>
    </row>
    <row r="22" spans="1:19">
      <c r="A22" s="371" t="str">
        <f>Summary!B29</f>
        <v>Atrial cavity</v>
      </c>
      <c r="B22" s="458">
        <f>Summary!C29</f>
        <v>62000</v>
      </c>
      <c r="C22" s="368"/>
      <c r="D22" s="458">
        <f>Summary!E29</f>
        <v>279000</v>
      </c>
      <c r="E22" s="368"/>
      <c r="F22" s="460">
        <f>Summary!I29</f>
        <v>100</v>
      </c>
      <c r="G22" s="461"/>
      <c r="H22" s="462"/>
      <c r="I22" s="406"/>
      <c r="J22" s="368"/>
      <c r="K22" s="458"/>
      <c r="L22" s="406"/>
      <c r="M22" s="368"/>
      <c r="N22" s="458"/>
      <c r="O22" s="406"/>
      <c r="P22" s="368"/>
      <c r="Q22" s="461">
        <f t="shared" si="0"/>
        <v>3.5527136788005009E-13</v>
      </c>
      <c r="S22" s="295"/>
    </row>
    <row r="23" spans="1:19">
      <c r="A23" s="480" t="str">
        <f>Summary!B30</f>
        <v>Osculum</v>
      </c>
      <c r="B23" s="469">
        <f>Summary!C30</f>
        <v>44733.679854839022</v>
      </c>
      <c r="C23" s="370" t="str">
        <f>Summary!D30</f>
        <v>y</v>
      </c>
      <c r="D23" s="469">
        <f>Summary!E30</f>
        <v>500</v>
      </c>
      <c r="E23" s="370" t="str">
        <f>Summary!F30</f>
        <v>z</v>
      </c>
      <c r="F23" s="470">
        <f>Summary!I30</f>
        <v>4822.2169855670973</v>
      </c>
      <c r="G23" s="470">
        <f>Summary!K30</f>
        <v>0.51326124508952409</v>
      </c>
      <c r="H23" s="471">
        <f>Summary!L30</f>
        <v>2.8434672977959634</v>
      </c>
      <c r="I23" s="409"/>
      <c r="J23" s="370"/>
      <c r="K23" s="370"/>
      <c r="L23" s="409"/>
      <c r="M23" s="370"/>
      <c r="N23" s="370"/>
      <c r="O23" s="409">
        <v>157</v>
      </c>
      <c r="P23" s="370"/>
      <c r="Q23" s="370"/>
    </row>
    <row r="24" spans="1:19" ht="13.5" thickBot="1">
      <c r="A24" s="472" t="s">
        <v>381</v>
      </c>
      <c r="B24" s="304"/>
      <c r="C24" s="304"/>
      <c r="D24" s="473">
        <f>SUM(D5:D21)</f>
        <v>5908.2418459958699</v>
      </c>
      <c r="E24" s="304"/>
      <c r="F24" s="304"/>
      <c r="G24" s="304"/>
      <c r="H24" s="304"/>
      <c r="I24" s="304"/>
      <c r="J24" s="304"/>
      <c r="K24" s="304"/>
      <c r="L24" s="304"/>
      <c r="M24" s="304"/>
      <c r="N24" s="474">
        <f>SUM(N5:N23)</f>
        <v>2075.2021801400715</v>
      </c>
      <c r="O24" s="474">
        <f>SUM(O5:O23)</f>
        <v>671</v>
      </c>
      <c r="P24" s="304"/>
      <c r="Q24" s="304"/>
    </row>
    <row r="25" spans="1:19" ht="13.5" thickBot="1"/>
    <row r="26" spans="1:19" ht="18">
      <c r="A26" s="410" t="s">
        <v>370</v>
      </c>
      <c r="B26" s="410"/>
      <c r="C26" s="410"/>
      <c r="D26" s="410"/>
      <c r="E26" s="410"/>
      <c r="F26" s="410"/>
      <c r="G26" s="410"/>
      <c r="H26" s="475">
        <v>1876</v>
      </c>
      <c r="I26" s="411">
        <v>12000</v>
      </c>
    </row>
    <row r="27" spans="1:19" ht="15">
      <c r="A27" s="412" t="s">
        <v>203</v>
      </c>
      <c r="B27" s="412"/>
      <c r="C27" s="412"/>
      <c r="D27" s="412"/>
      <c r="E27" s="412"/>
      <c r="F27" s="412"/>
      <c r="G27" s="412"/>
      <c r="H27" s="476">
        <v>260</v>
      </c>
      <c r="I27" s="412">
        <v>95</v>
      </c>
    </row>
    <row r="28" spans="1:19" ht="15.75" thickBot="1">
      <c r="A28" s="413" t="s">
        <v>371</v>
      </c>
      <c r="B28" s="413"/>
      <c r="C28" s="413"/>
      <c r="D28" s="413"/>
      <c r="E28" s="413"/>
      <c r="F28" s="413"/>
      <c r="G28" s="413"/>
      <c r="H28" s="477">
        <v>38</v>
      </c>
      <c r="I28" s="413">
        <v>28</v>
      </c>
      <c r="O28" s="514"/>
    </row>
    <row r="29" spans="1:19" ht="4.9000000000000004" customHeight="1"/>
  </sheetData>
  <mergeCells count="9">
    <mergeCell ref="Q2:Q4"/>
    <mergeCell ref="K2:L3"/>
    <mergeCell ref="A2:A4"/>
    <mergeCell ref="B2:C4"/>
    <mergeCell ref="D2:E4"/>
    <mergeCell ref="F2:F4"/>
    <mergeCell ref="G2:G4"/>
    <mergeCell ref="H2:I3"/>
    <mergeCell ref="N2:P3"/>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showGridLines="0" zoomScale="90" zoomScaleNormal="90" workbookViewId="0">
      <selection activeCell="I12" sqref="I12"/>
    </sheetView>
  </sheetViews>
  <sheetFormatPr defaultColWidth="8.85546875" defaultRowHeight="12.75"/>
  <cols>
    <col min="1" max="1" width="9.28515625" style="239" customWidth="1"/>
    <col min="2" max="2" width="10" style="239" customWidth="1"/>
    <col min="3" max="3" width="10.140625" style="239" customWidth="1"/>
    <col min="4" max="4" width="1.7109375" style="239" customWidth="1"/>
    <col min="5" max="5" width="9.85546875" style="239" customWidth="1"/>
    <col min="6" max="6" width="17" style="239" customWidth="1"/>
    <col min="7" max="7" width="23.140625" style="239" customWidth="1"/>
    <col min="8" max="8" width="9.28515625" style="239" customWidth="1"/>
    <col min="9" max="9" width="13" style="239" customWidth="1"/>
    <col min="10" max="10" width="11.85546875" style="239" customWidth="1"/>
    <col min="11" max="11" width="14.7109375" style="329" customWidth="1"/>
    <col min="12" max="12" width="16.140625" style="329" bestFit="1" customWidth="1"/>
    <col min="13" max="13" width="23" style="239" customWidth="1"/>
    <col min="14" max="14" width="11.28515625" style="239" bestFit="1" customWidth="1"/>
    <col min="15" max="16384" width="8.85546875" style="239"/>
  </cols>
  <sheetData>
    <row r="1" spans="1:12" ht="15.75" thickBot="1">
      <c r="A1" s="483"/>
      <c r="B1" s="484"/>
      <c r="C1" s="494" t="s">
        <v>489</v>
      </c>
      <c r="D1" s="485"/>
      <c r="E1" s="486">
        <f>Summary!$C$30/10000</f>
        <v>4.4733679854839021</v>
      </c>
      <c r="F1" s="487" t="s">
        <v>345</v>
      </c>
      <c r="G1" s="482" t="s">
        <v>490</v>
      </c>
      <c r="H1" s="244">
        <f>Summary!$O$31</f>
        <v>20.866676721853448</v>
      </c>
      <c r="I1" s="243" t="s">
        <v>344</v>
      </c>
    </row>
    <row r="2" spans="1:12" ht="15.75" thickBot="1">
      <c r="A2" s="488"/>
      <c r="B2" s="481"/>
      <c r="C2" s="479" t="s">
        <v>349</v>
      </c>
      <c r="D2" s="479"/>
      <c r="E2" s="495">
        <v>0.30399999999999999</v>
      </c>
      <c r="F2" s="489" t="s">
        <v>348</v>
      </c>
    </row>
    <row r="3" spans="1:12" ht="15.75">
      <c r="A3" s="522" t="s">
        <v>520</v>
      </c>
      <c r="B3" s="242"/>
      <c r="C3" s="490"/>
      <c r="D3" s="490"/>
      <c r="E3" s="491"/>
      <c r="F3" s="492"/>
      <c r="H3" s="329"/>
      <c r="K3" s="239"/>
      <c r="L3" s="239"/>
    </row>
    <row r="4" spans="1:12" ht="5.45" customHeight="1" thickBot="1">
      <c r="A4" s="241"/>
      <c r="B4" s="241"/>
      <c r="C4" s="241"/>
      <c r="D4" s="241"/>
      <c r="E4" s="241"/>
      <c r="F4" s="241"/>
      <c r="G4" s="241"/>
      <c r="H4" s="329"/>
      <c r="K4" s="239"/>
      <c r="L4" s="239"/>
    </row>
    <row r="5" spans="1:12" ht="14.45" customHeight="1">
      <c r="A5" s="535" t="s">
        <v>494</v>
      </c>
      <c r="B5" s="535" t="s">
        <v>517</v>
      </c>
      <c r="C5" s="537"/>
      <c r="D5" s="518"/>
      <c r="E5" s="538" t="s">
        <v>518</v>
      </c>
      <c r="F5" s="538"/>
      <c r="G5" s="538"/>
      <c r="H5" s="329"/>
      <c r="K5" s="239"/>
      <c r="L5" s="239"/>
    </row>
    <row r="6" spans="1:12" ht="46.5">
      <c r="A6" s="536"/>
      <c r="B6" s="524" t="s">
        <v>347</v>
      </c>
      <c r="C6" s="524" t="s">
        <v>346</v>
      </c>
      <c r="D6" s="525"/>
      <c r="E6" s="525" t="s">
        <v>495</v>
      </c>
      <c r="F6" s="525" t="s">
        <v>496</v>
      </c>
      <c r="G6" s="525" t="s">
        <v>497</v>
      </c>
      <c r="H6" s="329"/>
      <c r="K6" s="239"/>
      <c r="L6" s="239"/>
    </row>
    <row r="7" spans="1:12" ht="14.25">
      <c r="A7" s="505">
        <f>Summary!Q36*100</f>
        <v>0</v>
      </c>
      <c r="B7" s="504">
        <f t="shared" ref="B7:B26" si="0">0.5*Density*(A7/100)^2</f>
        <v>0</v>
      </c>
      <c r="C7" s="505">
        <f t="shared" ref="C7:C26" si="1">1000*B7/gamma</f>
        <v>0</v>
      </c>
      <c r="D7" s="506"/>
      <c r="E7" s="507">
        <f>100*Summary!M36</f>
        <v>0</v>
      </c>
      <c r="F7" s="508">
        <f>1000*3600*Summary!N36</f>
        <v>0</v>
      </c>
      <c r="G7" s="507">
        <f t="shared" ref="G7:G26" si="2">F7/SpVol/60</f>
        <v>0</v>
      </c>
      <c r="K7" s="239"/>
      <c r="L7" s="239"/>
    </row>
    <row r="8" spans="1:12" ht="14.25">
      <c r="A8" s="505">
        <f>Summary!Q37*100</f>
        <v>1.1111111111111112</v>
      </c>
      <c r="B8" s="504">
        <f t="shared" si="0"/>
        <v>6.3271604938271608E-2</v>
      </c>
      <c r="C8" s="505">
        <f t="shared" si="1"/>
        <v>6.2923950113892351E-3</v>
      </c>
      <c r="D8" s="506"/>
      <c r="E8" s="507">
        <f>100*Summary!M37</f>
        <v>0.1</v>
      </c>
      <c r="F8" s="508">
        <f>1000*3600*Summary!N37</f>
        <v>5.6579829285598224</v>
      </c>
      <c r="G8" s="507">
        <f t="shared" si="2"/>
        <v>0.30975974112246801</v>
      </c>
      <c r="K8" s="239"/>
      <c r="L8" s="239"/>
    </row>
    <row r="9" spans="1:12" ht="14.25">
      <c r="A9" s="505">
        <f>Summary!Q38*100</f>
        <v>2.2222222222222223</v>
      </c>
      <c r="B9" s="504">
        <f t="shared" si="0"/>
        <v>0.25308641975308643</v>
      </c>
      <c r="C9" s="505">
        <f t="shared" si="1"/>
        <v>2.5169580045556941E-2</v>
      </c>
      <c r="D9" s="506"/>
      <c r="E9" s="507">
        <f>100*Summary!M38</f>
        <v>0.2</v>
      </c>
      <c r="F9" s="508">
        <f>1000*3600*Summary!N38</f>
        <v>11.315965857119645</v>
      </c>
      <c r="G9" s="507">
        <f t="shared" si="2"/>
        <v>0.61951948224493603</v>
      </c>
      <c r="K9" s="239">
        <f>5/3.6</f>
        <v>1.3888888888888888</v>
      </c>
      <c r="L9" s="239"/>
    </row>
    <row r="10" spans="1:12" ht="14.25">
      <c r="A10" s="505">
        <f>Summary!Q39*100</f>
        <v>3.3333333333333335</v>
      </c>
      <c r="B10" s="504">
        <f t="shared" si="0"/>
        <v>0.56944444444444442</v>
      </c>
      <c r="C10" s="505">
        <f t="shared" si="1"/>
        <v>5.6631555102503117E-2</v>
      </c>
      <c r="D10" s="506"/>
      <c r="E10" s="507">
        <f>100*Summary!M39</f>
        <v>0.3</v>
      </c>
      <c r="F10" s="508">
        <f>1000*3600*Summary!N39</f>
        <v>16.973948785679468</v>
      </c>
      <c r="G10" s="507">
        <f t="shared" si="2"/>
        <v>0.92927922336740409</v>
      </c>
      <c r="K10" s="239"/>
      <c r="L10" s="239"/>
    </row>
    <row r="11" spans="1:12" ht="14.25">
      <c r="A11" s="505">
        <f>Summary!Q40*100</f>
        <v>4.4444444444444446</v>
      </c>
      <c r="B11" s="504">
        <f t="shared" si="0"/>
        <v>1.0123456790123457</v>
      </c>
      <c r="C11" s="505">
        <f t="shared" si="1"/>
        <v>0.10067832018222776</v>
      </c>
      <c r="D11" s="506"/>
      <c r="E11" s="507">
        <f>100*Summary!M40</f>
        <v>0.4</v>
      </c>
      <c r="F11" s="508">
        <f>1000*3600*Summary!N40</f>
        <v>22.63193171423929</v>
      </c>
      <c r="G11" s="507">
        <f t="shared" si="2"/>
        <v>1.2390389644898721</v>
      </c>
      <c r="K11" s="239"/>
      <c r="L11" s="239"/>
    </row>
    <row r="12" spans="1:12" ht="14.25">
      <c r="A12" s="505">
        <f>Summary!Q41*100</f>
        <v>5.5555555555555562</v>
      </c>
      <c r="B12" s="504">
        <f t="shared" si="0"/>
        <v>1.5817901234567902</v>
      </c>
      <c r="C12" s="505">
        <f t="shared" si="1"/>
        <v>0.15730987528473087</v>
      </c>
      <c r="D12" s="506"/>
      <c r="E12" s="507">
        <f>100*Summary!M41</f>
        <v>0.5</v>
      </c>
      <c r="F12" s="508">
        <f>1000*3600*Summary!N41</f>
        <v>28.289914642799118</v>
      </c>
      <c r="G12" s="507">
        <f t="shared" si="2"/>
        <v>1.5487987056123407</v>
      </c>
      <c r="K12" s="239"/>
      <c r="L12" s="239"/>
    </row>
    <row r="13" spans="1:12" ht="14.25">
      <c r="A13" s="505">
        <f>Summary!Q42*100</f>
        <v>11.111111111111112</v>
      </c>
      <c r="B13" s="504">
        <f t="shared" si="0"/>
        <v>6.3271604938271606</v>
      </c>
      <c r="C13" s="505">
        <f t="shared" si="1"/>
        <v>0.62923950113892346</v>
      </c>
      <c r="D13" s="506"/>
      <c r="E13" s="507">
        <f>100*Summary!M42</f>
        <v>1</v>
      </c>
      <c r="F13" s="508">
        <f>1000*3600*Summary!N42</f>
        <v>56.579829285598237</v>
      </c>
      <c r="G13" s="507">
        <f t="shared" si="2"/>
        <v>3.0975974112246814</v>
      </c>
      <c r="K13" s="239"/>
      <c r="L13" s="239"/>
    </row>
    <row r="14" spans="1:12" ht="14.25">
      <c r="A14" s="505">
        <f>Summary!Q43*100</f>
        <v>16.666666666666664</v>
      </c>
      <c r="B14" s="504">
        <f t="shared" si="0"/>
        <v>14.236111111111105</v>
      </c>
      <c r="C14" s="505">
        <f t="shared" si="1"/>
        <v>1.4157888775625773</v>
      </c>
      <c r="D14" s="506"/>
      <c r="E14" s="507">
        <f>100*Summary!M43</f>
        <v>1.5</v>
      </c>
      <c r="F14" s="508">
        <f>1000*3600*Summary!N43</f>
        <v>84.869743928397341</v>
      </c>
      <c r="G14" s="507">
        <f t="shared" si="2"/>
        <v>4.6463961168370211</v>
      </c>
      <c r="K14" s="239"/>
      <c r="L14" s="239"/>
    </row>
    <row r="15" spans="1:12" ht="14.25">
      <c r="A15" s="505">
        <f>Summary!Q44*100</f>
        <v>22.222222222222225</v>
      </c>
      <c r="B15" s="504">
        <f t="shared" si="0"/>
        <v>25.308641975308642</v>
      </c>
      <c r="C15" s="505">
        <f t="shared" si="1"/>
        <v>2.5169580045556939</v>
      </c>
      <c r="D15" s="506"/>
      <c r="E15" s="507">
        <f>100*Summary!M44</f>
        <v>2</v>
      </c>
      <c r="F15" s="508">
        <f>1000*3600*Summary!N44</f>
        <v>113.15965857119647</v>
      </c>
      <c r="G15" s="507">
        <f t="shared" si="2"/>
        <v>6.1951948224493627</v>
      </c>
      <c r="K15" s="239"/>
      <c r="L15" s="239"/>
    </row>
    <row r="16" spans="1:12" ht="14.25">
      <c r="A16" s="505">
        <f>Summary!Q45*100</f>
        <v>27.777777777777779</v>
      </c>
      <c r="B16" s="504">
        <f t="shared" si="0"/>
        <v>39.54475308641976</v>
      </c>
      <c r="C16" s="505">
        <f t="shared" si="1"/>
        <v>3.9327468821182725</v>
      </c>
      <c r="D16" s="506"/>
      <c r="E16" s="507">
        <f>100*Summary!M45</f>
        <v>2.5</v>
      </c>
      <c r="F16" s="508">
        <f>1000*3600*Summary!N45</f>
        <v>141.44957321399556</v>
      </c>
      <c r="G16" s="507">
        <f t="shared" si="2"/>
        <v>7.7439935280617016</v>
      </c>
      <c r="K16" s="239"/>
      <c r="L16" s="239"/>
    </row>
    <row r="17" spans="1:13" ht="14.25">
      <c r="A17" s="505">
        <f>Summary!Q46*100</f>
        <v>33.333333333333329</v>
      </c>
      <c r="B17" s="504">
        <f t="shared" si="0"/>
        <v>56.944444444444422</v>
      </c>
      <c r="C17" s="505">
        <f t="shared" si="1"/>
        <v>5.6631555102503093</v>
      </c>
      <c r="D17" s="506"/>
      <c r="E17" s="507">
        <f>100*Summary!M46</f>
        <v>3</v>
      </c>
      <c r="F17" s="508">
        <f>1000*3600*Summary!N46</f>
        <v>169.73948785679468</v>
      </c>
      <c r="G17" s="507">
        <f t="shared" si="2"/>
        <v>9.2927922336740423</v>
      </c>
      <c r="I17" s="500"/>
      <c r="K17" s="239"/>
      <c r="L17" s="239"/>
    </row>
    <row r="18" spans="1:13" ht="14.25">
      <c r="A18" s="505">
        <f>Summary!Q47*100</f>
        <v>38.888888888888893</v>
      </c>
      <c r="B18" s="504">
        <f t="shared" si="0"/>
        <v>77.507716049382751</v>
      </c>
      <c r="C18" s="505">
        <f t="shared" si="1"/>
        <v>7.7081838889518171</v>
      </c>
      <c r="D18" s="506"/>
      <c r="E18" s="507">
        <f>100*Summary!M47</f>
        <v>3.5000000000000004</v>
      </c>
      <c r="F18" s="508">
        <f>1000*3600*Summary!N47</f>
        <v>198.02940249959383</v>
      </c>
      <c r="G18" s="507">
        <f t="shared" si="2"/>
        <v>10.841590939286384</v>
      </c>
      <c r="K18" s="493" t="s">
        <v>488</v>
      </c>
      <c r="L18" s="239"/>
      <c r="M18" s="239" t="s">
        <v>413</v>
      </c>
    </row>
    <row r="19" spans="1:13" ht="14.25">
      <c r="A19" s="505">
        <f>Summary!Q48*100</f>
        <v>44.44444444444445</v>
      </c>
      <c r="B19" s="504">
        <f t="shared" si="0"/>
        <v>101.23456790123457</v>
      </c>
      <c r="C19" s="505">
        <f t="shared" si="1"/>
        <v>10.067832018222775</v>
      </c>
      <c r="D19" s="506"/>
      <c r="E19" s="507">
        <f>100*Summary!M48</f>
        <v>4</v>
      </c>
      <c r="F19" s="508">
        <f>1000*3600*Summary!N48</f>
        <v>226.31931714239295</v>
      </c>
      <c r="G19" s="507">
        <f t="shared" si="2"/>
        <v>12.390389644898725</v>
      </c>
      <c r="K19" s="331">
        <f>1000000*1/22414</f>
        <v>44.614972784866602</v>
      </c>
      <c r="L19" s="239" t="s">
        <v>415</v>
      </c>
    </row>
    <row r="20" spans="1:13" ht="14.25">
      <c r="A20" s="505">
        <f>Summary!Q49*100</f>
        <v>55.555555555555557</v>
      </c>
      <c r="B20" s="504">
        <f t="shared" si="0"/>
        <v>158.17901234567904</v>
      </c>
      <c r="C20" s="505">
        <f t="shared" si="1"/>
        <v>15.73098752847309</v>
      </c>
      <c r="D20" s="506"/>
      <c r="E20" s="507">
        <f>100*Summary!M49</f>
        <v>5</v>
      </c>
      <c r="F20" s="508">
        <f>1000*3600*Summary!N49</f>
        <v>282.89914642799113</v>
      </c>
      <c r="G20" s="507">
        <f t="shared" si="2"/>
        <v>15.487987056123403</v>
      </c>
      <c r="K20" s="330">
        <f>19.2/K19</f>
        <v>0.43034879999999998</v>
      </c>
      <c r="L20" s="239" t="s">
        <v>414</v>
      </c>
    </row>
    <row r="21" spans="1:13" ht="14.25">
      <c r="A21" s="505">
        <f>Summary!Q50*100</f>
        <v>66.666666666666657</v>
      </c>
      <c r="B21" s="504">
        <f t="shared" si="0"/>
        <v>227.77777777777769</v>
      </c>
      <c r="C21" s="505">
        <f t="shared" si="1"/>
        <v>22.652622041001237</v>
      </c>
      <c r="D21" s="506"/>
      <c r="E21" s="507">
        <f>100*Summary!M50</f>
        <v>6</v>
      </c>
      <c r="F21" s="508">
        <f>1000*3600*Summary!N50</f>
        <v>339.47897571358936</v>
      </c>
      <c r="G21" s="507">
        <f t="shared" si="2"/>
        <v>18.585584467348085</v>
      </c>
      <c r="K21" s="500">
        <f>0.53*K20</f>
        <v>0.228084864</v>
      </c>
      <c r="L21" s="239"/>
    </row>
    <row r="22" spans="1:13" ht="14.25">
      <c r="A22" s="505">
        <f>Summary!Q51*100</f>
        <v>77.777777777777786</v>
      </c>
      <c r="B22" s="504">
        <f t="shared" si="0"/>
        <v>310.030864197531</v>
      </c>
      <c r="C22" s="505">
        <f t="shared" si="1"/>
        <v>30.832735555807268</v>
      </c>
      <c r="D22" s="506"/>
      <c r="E22" s="507">
        <f>100*Summary!M51</f>
        <v>7.0000000000000009</v>
      </c>
      <c r="F22" s="508">
        <f>1000*3600*Summary!N51</f>
        <v>396.05880499918766</v>
      </c>
      <c r="G22" s="507">
        <f t="shared" si="2"/>
        <v>21.683181878572768</v>
      </c>
      <c r="K22" s="239"/>
      <c r="L22" s="239"/>
    </row>
    <row r="23" spans="1:13" ht="14.25">
      <c r="A23" s="505">
        <f>Summary!Q52*100</f>
        <v>88.8888888888889</v>
      </c>
      <c r="B23" s="504">
        <f t="shared" si="0"/>
        <v>404.93827160493828</v>
      </c>
      <c r="C23" s="505">
        <f t="shared" si="1"/>
        <v>40.271328072891102</v>
      </c>
      <c r="D23" s="506"/>
      <c r="E23" s="507">
        <f>100*Summary!M52</f>
        <v>8</v>
      </c>
      <c r="F23" s="508">
        <f>1000*3600*Summary!N52</f>
        <v>452.63863428478589</v>
      </c>
      <c r="G23" s="507">
        <f t="shared" si="2"/>
        <v>24.780779289797451</v>
      </c>
      <c r="K23" s="239"/>
      <c r="L23" s="239"/>
    </row>
    <row r="24" spans="1:13" ht="15.75">
      <c r="A24" s="505">
        <f>Summary!Q53*100</f>
        <v>100</v>
      </c>
      <c r="B24" s="504">
        <f t="shared" si="0"/>
        <v>512.5</v>
      </c>
      <c r="C24" s="505">
        <f t="shared" si="1"/>
        <v>50.968399592252801</v>
      </c>
      <c r="D24" s="506"/>
      <c r="E24" s="507">
        <f>100*Summary!M53</f>
        <v>9</v>
      </c>
      <c r="F24" s="508">
        <f>1000*3600*Summary!N53</f>
        <v>509.21846357038402</v>
      </c>
      <c r="G24" s="507">
        <f t="shared" si="2"/>
        <v>27.878376701022123</v>
      </c>
      <c r="K24" s="446">
        <f>44.61/0.53</f>
        <v>84.169811320754718</v>
      </c>
      <c r="L24" s="493" t="s">
        <v>491</v>
      </c>
    </row>
    <row r="25" spans="1:13" ht="14.25">
      <c r="A25" s="505">
        <f>Summary!Q54*100</f>
        <v>111.11111111111111</v>
      </c>
      <c r="B25" s="504">
        <f t="shared" si="0"/>
        <v>632.71604938271616</v>
      </c>
      <c r="C25" s="505">
        <f t="shared" si="1"/>
        <v>62.92395011389236</v>
      </c>
      <c r="D25" s="506"/>
      <c r="E25" s="507">
        <f>100*Summary!M54</f>
        <v>10</v>
      </c>
      <c r="F25" s="508">
        <f>1000*3600*Summary!N54</f>
        <v>565.79829285598225</v>
      </c>
      <c r="G25" s="507">
        <f t="shared" si="2"/>
        <v>30.975974112246806</v>
      </c>
      <c r="K25" s="239">
        <f>2.8*38.2/1000</f>
        <v>0.10696000000000001</v>
      </c>
      <c r="L25" s="499">
        <f>K25*3600</f>
        <v>385.05600000000004</v>
      </c>
    </row>
    <row r="26" spans="1:13" ht="15" thickBot="1">
      <c r="A26" s="510">
        <f>Summary!Q55*100</f>
        <v>133.33333333333331</v>
      </c>
      <c r="B26" s="509">
        <f t="shared" si="0"/>
        <v>911.11111111111074</v>
      </c>
      <c r="C26" s="510">
        <f t="shared" si="1"/>
        <v>90.610488164004948</v>
      </c>
      <c r="D26" s="511"/>
      <c r="E26" s="512">
        <f>100*Summary!M55</f>
        <v>12</v>
      </c>
      <c r="F26" s="513">
        <f>1000*3600*Summary!N55</f>
        <v>678.95795142717873</v>
      </c>
      <c r="G26" s="512">
        <f t="shared" si="2"/>
        <v>37.171168934696169</v>
      </c>
      <c r="K26" s="239">
        <f>2.8*PI()*25/1000</f>
        <v>0.21991148575128552</v>
      </c>
      <c r="L26" s="499">
        <f>K26*3600</f>
        <v>791.68134870462791</v>
      </c>
    </row>
    <row r="27" spans="1:13">
      <c r="K27" s="239">
        <f>SQRT(38.2/PI())*2</f>
        <v>6.9740770435150212</v>
      </c>
      <c r="L27" s="239"/>
    </row>
    <row r="28" spans="1:13">
      <c r="K28" s="239"/>
      <c r="L28" s="239"/>
    </row>
    <row r="29" spans="1:13">
      <c r="K29" s="239"/>
      <c r="L29" s="239"/>
    </row>
    <row r="30" spans="1:13">
      <c r="K30" s="493">
        <f>1000*0.46/12.011</f>
        <v>38.298226625593209</v>
      </c>
      <c r="L30" s="499">
        <f>K19/K30</f>
        <v>1.1649357350413754</v>
      </c>
    </row>
    <row r="31" spans="1:13" ht="4.1500000000000004" customHeight="1">
      <c r="K31" s="239"/>
      <c r="L31" s="239"/>
    </row>
    <row r="32" spans="1:13">
      <c r="K32" s="239"/>
      <c r="L32" s="239"/>
    </row>
  </sheetData>
  <mergeCells count="3">
    <mergeCell ref="A5:A6"/>
    <mergeCell ref="B5:C5"/>
    <mergeCell ref="E5:G5"/>
  </mergeCell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1"/>
  <sheetViews>
    <sheetView showGridLines="0" workbookViewId="0">
      <selection activeCell="O18" sqref="O18"/>
    </sheetView>
  </sheetViews>
  <sheetFormatPr defaultColWidth="8.85546875" defaultRowHeight="12.75"/>
  <cols>
    <col min="2" max="2" width="11.7109375" customWidth="1"/>
    <col min="3" max="3" width="14.28515625" customWidth="1"/>
    <col min="4" max="4" width="9" customWidth="1"/>
    <col min="5" max="5" width="14" customWidth="1"/>
    <col min="7" max="7" width="13.7109375" customWidth="1"/>
    <col min="8" max="8" width="16.7109375" customWidth="1"/>
    <col min="9" max="9" width="17.140625" customWidth="1"/>
  </cols>
  <sheetData>
    <row r="1" spans="1:15">
      <c r="A1" s="519" t="s">
        <v>520</v>
      </c>
    </row>
    <row r="2" spans="1:15" ht="48.6" customHeight="1">
      <c r="A2" s="539" t="s">
        <v>505</v>
      </c>
      <c r="B2" s="540"/>
      <c r="C2" s="540"/>
      <c r="D2" s="540"/>
      <c r="E2" s="540"/>
      <c r="F2" s="540"/>
      <c r="G2" s="540"/>
      <c r="H2" s="540"/>
      <c r="I2" s="540"/>
    </row>
    <row r="5" spans="1:15" ht="4.1500000000000004" customHeight="1"/>
    <row r="6" spans="1:15" ht="51" thickBot="1">
      <c r="A6" s="380" t="s">
        <v>441</v>
      </c>
      <c r="B6" s="380" t="s">
        <v>447</v>
      </c>
      <c r="C6" s="380" t="s">
        <v>448</v>
      </c>
      <c r="D6" s="380" t="s">
        <v>451</v>
      </c>
      <c r="E6" s="380" t="s">
        <v>452</v>
      </c>
      <c r="F6" s="380" t="s">
        <v>450</v>
      </c>
      <c r="G6" s="380" t="s">
        <v>442</v>
      </c>
      <c r="H6" s="381" t="s">
        <v>446</v>
      </c>
      <c r="I6" s="381" t="s">
        <v>449</v>
      </c>
    </row>
    <row r="7" spans="1:15" ht="15.75">
      <c r="A7" s="375">
        <v>1</v>
      </c>
      <c r="B7" s="376">
        <v>29.5</v>
      </c>
      <c r="C7" s="376">
        <v>28.599999999999998</v>
      </c>
      <c r="D7" s="382">
        <f t="shared" ref="D7:D16" si="0">PI()*(E7/2)^2</f>
        <v>13.180965696708977</v>
      </c>
      <c r="E7" s="382">
        <f t="shared" ref="E7:E16" si="1">0.45*C7/PI()</f>
        <v>4.0966482351853859</v>
      </c>
      <c r="F7" s="376">
        <v>0.36699999999999999</v>
      </c>
      <c r="G7" s="377">
        <v>143000000000</v>
      </c>
      <c r="H7" s="382">
        <f>D7*1*3600/1000</f>
        <v>47.451476508152318</v>
      </c>
      <c r="I7" s="382">
        <f>D7*2*3600/1000</f>
        <v>94.902953016304636</v>
      </c>
    </row>
    <row r="8" spans="1:15" ht="15.75">
      <c r="A8" s="375">
        <v>2</v>
      </c>
      <c r="B8" s="376">
        <v>40.5</v>
      </c>
      <c r="C8" s="376">
        <v>36.4</v>
      </c>
      <c r="D8" s="382">
        <f t="shared" si="0"/>
        <v>21.350985756652562</v>
      </c>
      <c r="E8" s="382">
        <f t="shared" si="1"/>
        <v>5.2139159356904914</v>
      </c>
      <c r="F8" s="376">
        <v>0.55300000000000005</v>
      </c>
      <c r="G8" s="377">
        <v>216000000000</v>
      </c>
      <c r="H8" s="382">
        <f t="shared" ref="H8:H16" si="2">D8*1*3600/1000</f>
        <v>76.863548723949222</v>
      </c>
      <c r="I8" s="382">
        <f t="shared" ref="I8:I16" si="3">D8*2*3600/1000</f>
        <v>153.72709744789844</v>
      </c>
      <c r="O8">
        <f t="shared" ref="O8:O17" si="4">D7*1*3600/1000</f>
        <v>47.451476508152318</v>
      </c>
    </row>
    <row r="9" spans="1:15" ht="15.75">
      <c r="A9" s="375">
        <v>3</v>
      </c>
      <c r="B9" s="376">
        <v>19.2</v>
      </c>
      <c r="C9" s="376">
        <v>19.5</v>
      </c>
      <c r="D9" s="382">
        <f t="shared" si="0"/>
        <v>6.1275150449576872</v>
      </c>
      <c r="E9" s="382">
        <f t="shared" si="1"/>
        <v>2.7931692512627633</v>
      </c>
      <c r="F9" s="376">
        <v>0.16700000000000001</v>
      </c>
      <c r="G9" s="377">
        <v>65000000000</v>
      </c>
      <c r="H9" s="382">
        <f t="shared" si="2"/>
        <v>22.059054161847676</v>
      </c>
      <c r="I9" s="382">
        <f t="shared" si="3"/>
        <v>44.118108323695353</v>
      </c>
      <c r="O9">
        <f t="shared" si="4"/>
        <v>76.863548723949222</v>
      </c>
    </row>
    <row r="10" spans="1:15" ht="15.75">
      <c r="A10" s="375">
        <v>4</v>
      </c>
      <c r="B10" s="376">
        <v>24.6</v>
      </c>
      <c r="C10" s="376">
        <v>41.4</v>
      </c>
      <c r="D10" s="382">
        <f t="shared" si="0"/>
        <v>27.619502134005721</v>
      </c>
      <c r="E10" s="382">
        <f t="shared" si="1"/>
        <v>5.9301131796040201</v>
      </c>
      <c r="F10" s="376">
        <v>0.25700000000000001</v>
      </c>
      <c r="G10" s="377">
        <v>100000000000</v>
      </c>
      <c r="H10" s="382">
        <f t="shared" si="2"/>
        <v>99.430207682420601</v>
      </c>
      <c r="I10" s="382">
        <f t="shared" si="3"/>
        <v>198.8604153648412</v>
      </c>
      <c r="O10">
        <f t="shared" si="4"/>
        <v>22.059054161847676</v>
      </c>
    </row>
    <row r="11" spans="1:15" ht="15.75">
      <c r="A11" s="375">
        <v>5</v>
      </c>
      <c r="B11" s="376">
        <v>29.5</v>
      </c>
      <c r="C11" s="376">
        <v>35</v>
      </c>
      <c r="D11" s="382">
        <f t="shared" si="0"/>
        <v>19.740186535366647</v>
      </c>
      <c r="E11" s="382">
        <f t="shared" si="1"/>
        <v>5.0133807073947034</v>
      </c>
      <c r="F11" s="376">
        <v>0.36599999999999999</v>
      </c>
      <c r="G11" s="377">
        <v>143000000000</v>
      </c>
      <c r="H11" s="382">
        <f t="shared" si="2"/>
        <v>71.064671527319916</v>
      </c>
      <c r="I11" s="382">
        <f t="shared" si="3"/>
        <v>142.12934305463983</v>
      </c>
      <c r="O11">
        <f t="shared" si="4"/>
        <v>99.430207682420601</v>
      </c>
    </row>
    <row r="12" spans="1:15" ht="15.75">
      <c r="A12" s="375">
        <v>6</v>
      </c>
      <c r="B12" s="376">
        <v>14.499999999999998</v>
      </c>
      <c r="C12" s="376">
        <v>18.899999999999999</v>
      </c>
      <c r="D12" s="382">
        <f t="shared" si="0"/>
        <v>5.7562383937129118</v>
      </c>
      <c r="E12" s="382">
        <f t="shared" si="1"/>
        <v>2.7072255819931392</v>
      </c>
      <c r="F12" s="376">
        <v>0.11799999999999999</v>
      </c>
      <c r="G12" s="377">
        <v>46200000000</v>
      </c>
      <c r="H12" s="382">
        <f t="shared" si="2"/>
        <v>20.722458217366484</v>
      </c>
      <c r="I12" s="382">
        <f t="shared" si="3"/>
        <v>41.444916434732967</v>
      </c>
      <c r="O12">
        <f t="shared" si="4"/>
        <v>71.064671527319916</v>
      </c>
    </row>
    <row r="13" spans="1:15" ht="15.75">
      <c r="A13" s="375">
        <v>7</v>
      </c>
      <c r="B13" s="376">
        <v>21</v>
      </c>
      <c r="C13" s="376">
        <v>17</v>
      </c>
      <c r="D13" s="382">
        <f t="shared" si="0"/>
        <v>4.6570725785477238</v>
      </c>
      <c r="E13" s="382">
        <f t="shared" si="1"/>
        <v>2.4350706293059989</v>
      </c>
      <c r="F13" s="376">
        <v>0.30299999999999999</v>
      </c>
      <c r="G13" s="377">
        <v>118000000000</v>
      </c>
      <c r="H13" s="382">
        <f t="shared" si="2"/>
        <v>16.765461282771806</v>
      </c>
      <c r="I13" s="382">
        <f t="shared" si="3"/>
        <v>33.530922565543612</v>
      </c>
      <c r="O13">
        <f t="shared" si="4"/>
        <v>20.722458217366484</v>
      </c>
    </row>
    <row r="14" spans="1:15" ht="15.75">
      <c r="A14" s="375">
        <v>8</v>
      </c>
      <c r="B14" s="376">
        <v>43</v>
      </c>
      <c r="C14" s="376">
        <v>45.5</v>
      </c>
      <c r="D14" s="382">
        <f t="shared" si="0"/>
        <v>33.360915244769636</v>
      </c>
      <c r="E14" s="382">
        <f t="shared" si="1"/>
        <v>6.5173949196131149</v>
      </c>
      <c r="F14" s="374"/>
      <c r="G14" s="374"/>
      <c r="H14" s="382">
        <f t="shared" si="2"/>
        <v>120.09929488117069</v>
      </c>
      <c r="I14" s="382">
        <f t="shared" si="3"/>
        <v>240.19858976234138</v>
      </c>
      <c r="O14">
        <f t="shared" si="4"/>
        <v>16.765461282771806</v>
      </c>
    </row>
    <row r="15" spans="1:15" ht="15.75">
      <c r="A15" s="375">
        <v>9</v>
      </c>
      <c r="B15" s="376">
        <v>31.5</v>
      </c>
      <c r="C15" s="376">
        <v>28.999999999999996</v>
      </c>
      <c r="D15" s="382">
        <f t="shared" si="0"/>
        <v>13.552242347953753</v>
      </c>
      <c r="E15" s="382">
        <f t="shared" si="1"/>
        <v>4.1539440146984683</v>
      </c>
      <c r="F15" s="374"/>
      <c r="G15" s="374"/>
      <c r="H15" s="382">
        <f t="shared" si="2"/>
        <v>48.788072452633507</v>
      </c>
      <c r="I15" s="382">
        <f t="shared" si="3"/>
        <v>97.576144905267014</v>
      </c>
      <c r="O15">
        <f t="shared" si="4"/>
        <v>120.09929488117069</v>
      </c>
    </row>
    <row r="16" spans="1:15" ht="15.75">
      <c r="A16" s="386">
        <v>10</v>
      </c>
      <c r="B16" s="387">
        <v>26</v>
      </c>
      <c r="C16" s="387">
        <v>41</v>
      </c>
      <c r="D16" s="392">
        <f t="shared" si="0"/>
        <v>27.088370257919451</v>
      </c>
      <c r="E16" s="392">
        <f t="shared" si="1"/>
        <v>5.8728174000909377</v>
      </c>
      <c r="F16" s="388"/>
      <c r="G16" s="388"/>
      <c r="H16" s="392">
        <f t="shared" si="2"/>
        <v>97.518132928510028</v>
      </c>
      <c r="I16" s="392">
        <f t="shared" si="3"/>
        <v>195.03626585702006</v>
      </c>
      <c r="O16">
        <f t="shared" si="4"/>
        <v>48.788072452633507</v>
      </c>
    </row>
    <row r="17" spans="1:15" ht="15.75">
      <c r="A17" s="383" t="s">
        <v>238</v>
      </c>
      <c r="B17" s="384">
        <f>AVERAGE(B7:B16)</f>
        <v>27.93</v>
      </c>
      <c r="C17" s="384">
        <f t="shared" ref="C17:I17" si="5">AVERAGE(C7:C16)</f>
        <v>31.23</v>
      </c>
      <c r="D17" s="384">
        <f>AVERAGE(D7:D16)</f>
        <v>17.243399399059506</v>
      </c>
      <c r="E17" s="384">
        <f>AVERAGE(E7:E16)</f>
        <v>4.4733679854839021</v>
      </c>
      <c r="F17" s="435">
        <f t="shared" si="5"/>
        <v>0.30442857142857138</v>
      </c>
      <c r="G17" s="385">
        <f t="shared" si="5"/>
        <v>118742857142.85715</v>
      </c>
      <c r="H17" s="384">
        <f t="shared" si="5"/>
        <v>62.076237836614226</v>
      </c>
      <c r="I17" s="384">
        <f t="shared" si="5"/>
        <v>124.15247567322845</v>
      </c>
      <c r="O17">
        <f t="shared" si="4"/>
        <v>97.518132928510028</v>
      </c>
    </row>
    <row r="18" spans="1:15" ht="15.75">
      <c r="A18" s="378" t="s">
        <v>443</v>
      </c>
      <c r="B18" s="382">
        <f>STDEV(B7:B16)</f>
        <v>8.9579325491742487</v>
      </c>
      <c r="C18" s="382">
        <f t="shared" ref="C18:I18" si="6">STDEV(C7:C16)</f>
        <v>10.260284813027569</v>
      </c>
      <c r="D18" s="382">
        <f>STDEV(D7:D16)</f>
        <v>10.173652636071314</v>
      </c>
      <c r="E18" s="382">
        <f>STDEV(E7:E16)</f>
        <v>1.4696775409716385</v>
      </c>
      <c r="F18" s="436">
        <f t="shared" si="6"/>
        <v>0.14456124093598677</v>
      </c>
      <c r="G18" s="377">
        <f t="shared" si="6"/>
        <v>56477690496.421021</v>
      </c>
      <c r="H18" s="382">
        <f t="shared" si="6"/>
        <v>36.625149489856724</v>
      </c>
      <c r="I18" s="382">
        <f t="shared" si="6"/>
        <v>73.250298979713449</v>
      </c>
    </row>
    <row r="19" spans="1:15" ht="15.75">
      <c r="A19" s="378" t="s">
        <v>444</v>
      </c>
      <c r="B19" s="379">
        <f>B18/B17</f>
        <v>0.32072798242657535</v>
      </c>
      <c r="C19" s="379">
        <f t="shared" ref="C19:I19" si="7">C18/C17</f>
        <v>0.32853937921958276</v>
      </c>
      <c r="D19" s="379">
        <f>D18/D17</f>
        <v>0.59000272513702878</v>
      </c>
      <c r="E19" s="379">
        <f>E18/E17</f>
        <v>0.32853937921958315</v>
      </c>
      <c r="F19" s="379">
        <f t="shared" si="7"/>
        <v>0.47486095098634795</v>
      </c>
      <c r="G19" s="379">
        <f t="shared" si="7"/>
        <v>0.47563021351653889</v>
      </c>
      <c r="H19" s="379">
        <f t="shared" si="7"/>
        <v>0.59000272513702867</v>
      </c>
      <c r="I19" s="379">
        <f t="shared" si="7"/>
        <v>0.59000272513702867</v>
      </c>
    </row>
    <row r="20" spans="1:15" ht="16.5" thickBot="1">
      <c r="A20" s="389" t="s">
        <v>445</v>
      </c>
      <c r="B20" s="390">
        <f>TINV(0.05,COUNT(B7:B16)-1)*B18/SQRT(COUNT(B7:B16))</f>
        <v>6.4081189122712008</v>
      </c>
      <c r="C20" s="390">
        <f t="shared" ref="C20:I20" si="8">TINV(0.05,COUNT(C7:C16)-1)*C18/SQRT(COUNT(C7:C16))</f>
        <v>7.3397655982252026</v>
      </c>
      <c r="D20" s="390">
        <f>TINV(0.05,COUNT(D7:D16)-1)*D18/SQRT(COUNT(D7:D16))</f>
        <v>7.277792672160273</v>
      </c>
      <c r="E20" s="390">
        <f>TINV(0.05,COUNT(E7:E16)-1)*E18/SQRT(COUNT(E7:E16))</f>
        <v>1.0513439784840461</v>
      </c>
      <c r="F20" s="437">
        <f t="shared" si="8"/>
        <v>0.13369684905122733</v>
      </c>
      <c r="G20" s="391">
        <f t="shared" si="8"/>
        <v>52233151930.437218</v>
      </c>
      <c r="H20" s="390">
        <f t="shared" si="8"/>
        <v>26.20005361977698</v>
      </c>
      <c r="I20" s="390">
        <f t="shared" si="8"/>
        <v>52.400107239553961</v>
      </c>
    </row>
    <row r="21" spans="1:15" ht="15.75">
      <c r="G21" s="377"/>
    </row>
  </sheetData>
  <mergeCells count="1">
    <mergeCell ref="A2:I2"/>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32"/>
  <sheetViews>
    <sheetView showGridLines="0" topLeftCell="G1" zoomScale="90" zoomScaleNormal="90" workbookViewId="0">
      <selection activeCell="U32" sqref="U32"/>
    </sheetView>
  </sheetViews>
  <sheetFormatPr defaultColWidth="8.85546875" defaultRowHeight="12.75"/>
  <cols>
    <col min="1" max="1" width="9.28515625" style="239" customWidth="1"/>
    <col min="2" max="2" width="8.42578125" style="239" customWidth="1"/>
    <col min="3" max="3" width="7.7109375" style="239" customWidth="1"/>
    <col min="4" max="4" width="1.7109375" style="239" customWidth="1"/>
    <col min="5" max="5" width="9.85546875" style="239" customWidth="1"/>
    <col min="6" max="6" width="17" style="239" customWidth="1"/>
    <col min="7" max="7" width="23.140625" style="239" customWidth="1"/>
    <col min="8" max="8" width="9.28515625" style="239" customWidth="1"/>
    <col min="9" max="9" width="13" style="239" customWidth="1"/>
    <col min="10" max="10" width="11.85546875" style="239" customWidth="1"/>
    <col min="11" max="11" width="14.7109375" style="329" customWidth="1"/>
    <col min="12" max="12" width="16.140625" style="329" bestFit="1" customWidth="1"/>
    <col min="13" max="13" width="4.7109375" style="239" customWidth="1"/>
    <col min="14" max="14" width="13" style="239" customWidth="1"/>
    <col min="15" max="15" width="11.85546875" style="239" customWidth="1"/>
    <col min="16" max="16" width="14.7109375" style="329" customWidth="1"/>
    <col min="17" max="17" width="16.140625" style="329" bestFit="1" customWidth="1"/>
    <col min="18" max="16384" width="8.85546875" style="239"/>
  </cols>
  <sheetData>
    <row r="1" spans="1:22" ht="15.75" thickBot="1">
      <c r="A1" s="483"/>
      <c r="B1" s="484"/>
      <c r="C1" s="494" t="s">
        <v>489</v>
      </c>
      <c r="D1" s="485"/>
      <c r="E1" s="486">
        <f>Summary!$C$30/10000</f>
        <v>4.4733679854839021</v>
      </c>
      <c r="F1" s="487" t="s">
        <v>345</v>
      </c>
      <c r="G1" s="482" t="s">
        <v>490</v>
      </c>
      <c r="H1" s="244">
        <f>Summary!$O$31</f>
        <v>20.866676721853448</v>
      </c>
      <c r="I1" s="243" t="s">
        <v>344</v>
      </c>
      <c r="O1" s="329"/>
      <c r="Q1" s="239"/>
    </row>
    <row r="2" spans="1:22" ht="15.75" thickBot="1">
      <c r="A2" s="488"/>
      <c r="B2" s="481"/>
      <c r="C2" s="479" t="s">
        <v>349</v>
      </c>
      <c r="D2" s="479"/>
      <c r="E2" s="495">
        <v>0.30399999999999999</v>
      </c>
      <c r="F2" s="489" t="s">
        <v>348</v>
      </c>
      <c r="G2" s="482">
        <v>0.43034879999999998</v>
      </c>
      <c r="H2" s="244" t="s">
        <v>414</v>
      </c>
      <c r="I2" s="243"/>
      <c r="O2" s="329"/>
      <c r="Q2" s="239"/>
    </row>
    <row r="3" spans="1:22" ht="15">
      <c r="B3" s="242"/>
      <c r="C3" s="490"/>
      <c r="D3" s="490"/>
      <c r="E3" s="491"/>
      <c r="F3" s="492"/>
      <c r="H3" s="329"/>
      <c r="O3" s="329"/>
      <c r="Q3" s="239"/>
    </row>
    <row r="4" spans="1:22" ht="5.45" customHeight="1" thickBot="1">
      <c r="A4" s="241"/>
      <c r="B4" s="241"/>
      <c r="C4" s="241"/>
      <c r="D4" s="241"/>
      <c r="E4" s="241"/>
      <c r="F4" s="241"/>
      <c r="G4" s="241"/>
      <c r="H4" s="329"/>
      <c r="I4" s="241"/>
      <c r="J4" s="241"/>
      <c r="K4" s="241"/>
      <c r="L4" s="241"/>
      <c r="N4" s="241"/>
      <c r="O4" s="241"/>
      <c r="P4" s="241"/>
      <c r="Q4" s="241"/>
    </row>
    <row r="5" spans="1:22" ht="14.45" customHeight="1">
      <c r="A5" s="535" t="s">
        <v>494</v>
      </c>
      <c r="B5" s="535" t="s">
        <v>477</v>
      </c>
      <c r="C5" s="537"/>
      <c r="D5" s="501"/>
      <c r="E5" s="538" t="s">
        <v>493</v>
      </c>
      <c r="F5" s="538"/>
      <c r="G5" s="538"/>
      <c r="H5" s="329"/>
      <c r="I5" s="542" t="s">
        <v>498</v>
      </c>
      <c r="J5" s="542"/>
      <c r="K5" s="542"/>
      <c r="L5" s="542"/>
      <c r="N5" s="542" t="s">
        <v>499</v>
      </c>
      <c r="O5" s="542"/>
      <c r="P5" s="542"/>
      <c r="Q5" s="542"/>
    </row>
    <row r="6" spans="1:22" ht="47.25" thickBot="1">
      <c r="A6" s="541"/>
      <c r="B6" s="502" t="s">
        <v>347</v>
      </c>
      <c r="C6" s="502" t="s">
        <v>346</v>
      </c>
      <c r="D6" s="503"/>
      <c r="E6" s="503" t="s">
        <v>495</v>
      </c>
      <c r="F6" s="503" t="s">
        <v>496</v>
      </c>
      <c r="G6" s="503" t="s">
        <v>497</v>
      </c>
      <c r="H6" s="329"/>
      <c r="I6" s="498" t="s">
        <v>478</v>
      </c>
      <c r="J6" s="498" t="s">
        <v>479</v>
      </c>
      <c r="K6" s="498" t="s">
        <v>500</v>
      </c>
      <c r="L6" s="498" t="s">
        <v>492</v>
      </c>
      <c r="N6" s="498" t="s">
        <v>478</v>
      </c>
      <c r="O6" s="498" t="s">
        <v>479</v>
      </c>
      <c r="P6" s="498" t="s">
        <v>500</v>
      </c>
      <c r="Q6" s="498" t="s">
        <v>492</v>
      </c>
    </row>
    <row r="7" spans="1:22" ht="14.25">
      <c r="A7" s="504">
        <f>Summary!Q36*100</f>
        <v>0</v>
      </c>
      <c r="B7" s="504">
        <f t="shared" ref="B7:B30" si="0">0.5*Density*(A7/100)^2</f>
        <v>0</v>
      </c>
      <c r="C7" s="505">
        <f t="shared" ref="C7:C30" si="1">1000*B7/gamma</f>
        <v>0</v>
      </c>
      <c r="D7" s="506"/>
      <c r="E7" s="507">
        <f>100*Summary!M36</f>
        <v>0</v>
      </c>
      <c r="F7" s="508">
        <f>1000*3600*Summary!N36</f>
        <v>0</v>
      </c>
      <c r="G7" s="507">
        <f t="shared" ref="G7:G30" si="2">F7/SpVol/60</f>
        <v>0</v>
      </c>
      <c r="I7" s="448">
        <f>Summary!R36</f>
        <v>0</v>
      </c>
      <c r="J7" s="449">
        <f t="shared" ref="J7:J30" si="3">I7/(SpVol*1000)</f>
        <v>0</v>
      </c>
      <c r="K7" s="448"/>
      <c r="L7" s="451"/>
      <c r="N7" s="448">
        <f>0.1*1000000*F7/3600</f>
        <v>0</v>
      </c>
      <c r="O7" s="449">
        <f t="shared" ref="O7:O30" si="4">N7/(SpVol*1000)</f>
        <v>0</v>
      </c>
      <c r="P7" s="448"/>
      <c r="Q7" s="451"/>
      <c r="T7" s="493" t="s">
        <v>488</v>
      </c>
      <c r="V7" s="239" t="s">
        <v>413</v>
      </c>
    </row>
    <row r="8" spans="1:22" ht="14.25">
      <c r="A8" s="504">
        <f>Summary!Q37*100</f>
        <v>1.1111111111111112</v>
      </c>
      <c r="B8" s="504">
        <f t="shared" si="0"/>
        <v>6.3271604938271608E-2</v>
      </c>
      <c r="C8" s="505">
        <f t="shared" si="1"/>
        <v>6.2923950113892351E-3</v>
      </c>
      <c r="D8" s="506"/>
      <c r="E8" s="507">
        <f>100*Summary!M37</f>
        <v>0.1</v>
      </c>
      <c r="F8" s="508">
        <f>1000*3600*Summary!N37</f>
        <v>5.6579829285598224</v>
      </c>
      <c r="G8" s="507">
        <f t="shared" si="2"/>
        <v>0.30975974112246801</v>
      </c>
      <c r="I8" s="450">
        <f>Summary!R37</f>
        <v>3.279536129667318</v>
      </c>
      <c r="J8" s="449">
        <f t="shared" si="3"/>
        <v>1.077276063241259E-2</v>
      </c>
      <c r="K8" s="448">
        <f>J8/(G8/60)</f>
        <v>2.086667672185345</v>
      </c>
      <c r="L8" s="496">
        <f>K8/$G$2/1000</f>
        <v>4.8487823648755268E-3</v>
      </c>
      <c r="N8" s="448">
        <f t="shared" ref="N8:N30" si="5">0.1*1000000*F8/3600</f>
        <v>157.16619245999505</v>
      </c>
      <c r="O8" s="449">
        <f t="shared" si="4"/>
        <v>0.5162662352041133</v>
      </c>
      <c r="P8" s="448">
        <f>O8/(G8/60)</f>
        <v>99.999999999999986</v>
      </c>
      <c r="Q8" s="496">
        <f t="shared" ref="Q8:Q30" si="6">P8/$T$9/1000</f>
        <v>0.23236964992118017</v>
      </c>
      <c r="T8" s="331">
        <f>1000000*1/22414</f>
        <v>44.614972784866602</v>
      </c>
      <c r="U8" s="239" t="s">
        <v>415</v>
      </c>
    </row>
    <row r="9" spans="1:22" ht="14.25">
      <c r="A9" s="504">
        <f>Summary!Q38*100</f>
        <v>2.2222222222222223</v>
      </c>
      <c r="B9" s="504">
        <f t="shared" si="0"/>
        <v>0.25308641975308643</v>
      </c>
      <c r="C9" s="505">
        <f t="shared" si="1"/>
        <v>2.5169580045556941E-2</v>
      </c>
      <c r="D9" s="506"/>
      <c r="E9" s="507">
        <f>100*Summary!M38</f>
        <v>0.2</v>
      </c>
      <c r="F9" s="508">
        <f>1000*3600*Summary!N38</f>
        <v>11.315965857119645</v>
      </c>
      <c r="G9" s="507">
        <f t="shared" si="2"/>
        <v>0.61951948224493603</v>
      </c>
      <c r="I9" s="450">
        <f>Summary!R38</f>
        <v>13.118144518669272</v>
      </c>
      <c r="J9" s="449">
        <f t="shared" si="3"/>
        <v>4.3091042529650361E-2</v>
      </c>
      <c r="K9" s="448">
        <f t="shared" ref="K9:K30" si="7">(J9/(G9/60))</f>
        <v>4.17333534437069</v>
      </c>
      <c r="L9" s="496">
        <f t="shared" ref="L9:L30" si="8">K9/$G$2/1000</f>
        <v>9.6975647297510535E-3</v>
      </c>
      <c r="N9" s="448">
        <f t="shared" si="5"/>
        <v>314.33238491999009</v>
      </c>
      <c r="O9" s="449">
        <f t="shared" si="4"/>
        <v>1.0325324704082266</v>
      </c>
      <c r="P9" s="448">
        <f t="shared" ref="P9:P30" si="9">O9/(G9/60)</f>
        <v>99.999999999999986</v>
      </c>
      <c r="Q9" s="496">
        <f t="shared" si="6"/>
        <v>0.23236964992118017</v>
      </c>
      <c r="T9" s="330">
        <f>19.2/T8</f>
        <v>0.43034879999999998</v>
      </c>
      <c r="U9" s="239" t="s">
        <v>414</v>
      </c>
    </row>
    <row r="10" spans="1:22" ht="14.25">
      <c r="A10" s="504">
        <f>Summary!Q39*100</f>
        <v>3.3333333333333335</v>
      </c>
      <c r="B10" s="504">
        <f t="shared" si="0"/>
        <v>0.56944444444444442</v>
      </c>
      <c r="C10" s="505">
        <f t="shared" si="1"/>
        <v>5.6631555102503117E-2</v>
      </c>
      <c r="D10" s="506"/>
      <c r="E10" s="507">
        <f>100*Summary!M39</f>
        <v>0.3</v>
      </c>
      <c r="F10" s="508">
        <f>1000*3600*Summary!N39</f>
        <v>16.973948785679468</v>
      </c>
      <c r="G10" s="507">
        <f t="shared" si="2"/>
        <v>0.92927922336740409</v>
      </c>
      <c r="I10" s="450">
        <f>Summary!R39</f>
        <v>29.515825167005861</v>
      </c>
      <c r="J10" s="449">
        <f t="shared" si="3"/>
        <v>9.6954845691713309E-2</v>
      </c>
      <c r="K10" s="448">
        <f t="shared" si="7"/>
        <v>6.260003016556035</v>
      </c>
      <c r="L10" s="496">
        <f t="shared" si="8"/>
        <v>1.4546347094626582E-2</v>
      </c>
      <c r="N10" s="448">
        <f t="shared" si="5"/>
        <v>471.49857737998525</v>
      </c>
      <c r="O10" s="449">
        <f t="shared" si="4"/>
        <v>1.5487987056123402</v>
      </c>
      <c r="P10" s="448">
        <f t="shared" si="9"/>
        <v>100.00000000000001</v>
      </c>
      <c r="Q10" s="496">
        <f t="shared" si="6"/>
        <v>0.23236964992118028</v>
      </c>
      <c r="T10" s="500">
        <f>0.53*T9</f>
        <v>0.228084864</v>
      </c>
      <c r="U10" s="493" t="s">
        <v>511</v>
      </c>
    </row>
    <row r="11" spans="1:22" ht="14.25">
      <c r="A11" s="504">
        <f>Summary!Q40*100</f>
        <v>4.4444444444444446</v>
      </c>
      <c r="B11" s="504">
        <f t="shared" si="0"/>
        <v>1.0123456790123457</v>
      </c>
      <c r="C11" s="505">
        <f t="shared" si="1"/>
        <v>0.10067832018222776</v>
      </c>
      <c r="D11" s="506"/>
      <c r="E11" s="507">
        <f>100*Summary!M40</f>
        <v>0.4</v>
      </c>
      <c r="F11" s="508">
        <f>1000*3600*Summary!N40</f>
        <v>22.63193171423929</v>
      </c>
      <c r="G11" s="507">
        <f t="shared" si="2"/>
        <v>1.2390389644898721</v>
      </c>
      <c r="I11" s="450">
        <f>Summary!R40</f>
        <v>52.472578074677088</v>
      </c>
      <c r="J11" s="449">
        <f t="shared" si="3"/>
        <v>0.17236417011860145</v>
      </c>
      <c r="K11" s="448">
        <f t="shared" si="7"/>
        <v>8.34667068874138</v>
      </c>
      <c r="L11" s="496">
        <f t="shared" si="8"/>
        <v>1.9395129459502107E-2</v>
      </c>
      <c r="N11" s="448">
        <f t="shared" si="5"/>
        <v>628.66476983998018</v>
      </c>
      <c r="O11" s="449">
        <f t="shared" si="4"/>
        <v>2.0650649408164532</v>
      </c>
      <c r="P11" s="448">
        <f t="shared" si="9"/>
        <v>99.999999999999986</v>
      </c>
      <c r="Q11" s="496">
        <f t="shared" si="6"/>
        <v>0.23236964992118017</v>
      </c>
      <c r="T11" s="493" t="s">
        <v>515</v>
      </c>
    </row>
    <row r="12" spans="1:22" ht="14.25">
      <c r="A12" s="504">
        <f>Summary!Q41*100</f>
        <v>5.5555555555555562</v>
      </c>
      <c r="B12" s="504">
        <f t="shared" si="0"/>
        <v>1.5817901234567902</v>
      </c>
      <c r="C12" s="505">
        <f t="shared" si="1"/>
        <v>0.15730987528473087</v>
      </c>
      <c r="D12" s="506"/>
      <c r="E12" s="507">
        <f>100*Summary!M41</f>
        <v>0.5</v>
      </c>
      <c r="F12" s="508">
        <f>1000*3600*Summary!N41</f>
        <v>28.289914642799118</v>
      </c>
      <c r="G12" s="507">
        <f t="shared" si="2"/>
        <v>1.5487987056123407</v>
      </c>
      <c r="I12" s="450">
        <f>Summary!R41</f>
        <v>81.988403241682974</v>
      </c>
      <c r="J12" s="449">
        <f t="shared" si="3"/>
        <v>0.26931901581031481</v>
      </c>
      <c r="K12" s="448">
        <f t="shared" si="7"/>
        <v>10.433338360926722</v>
      </c>
      <c r="L12" s="496">
        <f t="shared" si="8"/>
        <v>2.4243911824377625E-2</v>
      </c>
      <c r="N12" s="448">
        <f t="shared" si="5"/>
        <v>785.83096229997557</v>
      </c>
      <c r="O12" s="449">
        <f t="shared" si="4"/>
        <v>2.5813311760205675</v>
      </c>
      <c r="P12" s="448">
        <f t="shared" si="9"/>
        <v>99.999999999999986</v>
      </c>
      <c r="Q12" s="496">
        <f t="shared" si="6"/>
        <v>0.23236964992118017</v>
      </c>
    </row>
    <row r="13" spans="1:22" ht="15.75">
      <c r="A13" s="504">
        <f>Summary!Q42*100</f>
        <v>11.111111111111112</v>
      </c>
      <c r="B13" s="504">
        <f t="shared" si="0"/>
        <v>6.3271604938271606</v>
      </c>
      <c r="C13" s="505">
        <f t="shared" si="1"/>
        <v>0.62923950113892346</v>
      </c>
      <c r="D13" s="506"/>
      <c r="E13" s="507">
        <f>100*Summary!M42</f>
        <v>1</v>
      </c>
      <c r="F13" s="508">
        <f>1000*3600*Summary!N42</f>
        <v>56.579829285598237</v>
      </c>
      <c r="G13" s="507">
        <f t="shared" si="2"/>
        <v>3.0975974112246814</v>
      </c>
      <c r="I13" s="450">
        <f>Summary!R42</f>
        <v>327.9536129667319</v>
      </c>
      <c r="J13" s="449">
        <f t="shared" si="3"/>
        <v>1.0772760632412592</v>
      </c>
      <c r="K13" s="448">
        <f t="shared" si="7"/>
        <v>20.866676721853445</v>
      </c>
      <c r="L13" s="496">
        <f t="shared" si="8"/>
        <v>4.848782364875525E-2</v>
      </c>
      <c r="N13" s="448">
        <f t="shared" si="5"/>
        <v>1571.6619245999511</v>
      </c>
      <c r="O13" s="449">
        <f t="shared" si="4"/>
        <v>5.162662352041135</v>
      </c>
      <c r="P13" s="448">
        <f t="shared" si="9"/>
        <v>99.999999999999986</v>
      </c>
      <c r="Q13" s="496">
        <f t="shared" si="6"/>
        <v>0.23236964992118017</v>
      </c>
      <c r="T13" s="446">
        <f>44.61/0.53</f>
        <v>84.169811320754718</v>
      </c>
      <c r="U13" s="493" t="s">
        <v>491</v>
      </c>
    </row>
    <row r="14" spans="1:22" ht="14.25">
      <c r="A14" s="504">
        <f>Summary!Q43*100</f>
        <v>16.666666666666664</v>
      </c>
      <c r="B14" s="504">
        <f t="shared" si="0"/>
        <v>14.236111111111105</v>
      </c>
      <c r="C14" s="505">
        <f t="shared" si="1"/>
        <v>1.4157888775625773</v>
      </c>
      <c r="D14" s="506"/>
      <c r="E14" s="507">
        <f>100*Summary!M43</f>
        <v>1.5</v>
      </c>
      <c r="F14" s="508">
        <f>1000*3600*Summary!N43</f>
        <v>84.869743928397341</v>
      </c>
      <c r="G14" s="507">
        <f t="shared" si="2"/>
        <v>4.6463961168370211</v>
      </c>
      <c r="I14" s="450">
        <f>Summary!R43</f>
        <v>737.89562917514638</v>
      </c>
      <c r="J14" s="449">
        <f t="shared" si="3"/>
        <v>2.4238711422928323</v>
      </c>
      <c r="K14" s="448">
        <f t="shared" si="7"/>
        <v>31.300015082780163</v>
      </c>
      <c r="L14" s="496">
        <f t="shared" si="8"/>
        <v>7.2731735473132872E-2</v>
      </c>
      <c r="N14" s="448">
        <f t="shared" si="5"/>
        <v>2357.4928868999259</v>
      </c>
      <c r="O14" s="449">
        <f t="shared" si="4"/>
        <v>7.7439935280617007</v>
      </c>
      <c r="P14" s="448">
        <f t="shared" si="9"/>
        <v>99.999999999999986</v>
      </c>
      <c r="Q14" s="496">
        <f t="shared" si="6"/>
        <v>0.23236964992118017</v>
      </c>
      <c r="T14" s="239">
        <f>2.8*38.2/1000</f>
        <v>0.10696000000000001</v>
      </c>
      <c r="U14" s="499">
        <f>T14*3600</f>
        <v>385.05600000000004</v>
      </c>
    </row>
    <row r="15" spans="1:22" ht="14.25">
      <c r="A15" s="504">
        <f>Summary!Q44*100</f>
        <v>22.222222222222225</v>
      </c>
      <c r="B15" s="504">
        <f t="shared" si="0"/>
        <v>25.308641975308642</v>
      </c>
      <c r="C15" s="505">
        <f t="shared" si="1"/>
        <v>2.5169580045556939</v>
      </c>
      <c r="D15" s="506"/>
      <c r="E15" s="507">
        <f>100*Summary!M44</f>
        <v>2</v>
      </c>
      <c r="F15" s="508">
        <f>1000*3600*Summary!N44</f>
        <v>113.15965857119647</v>
      </c>
      <c r="G15" s="507">
        <f t="shared" si="2"/>
        <v>6.1951948224493627</v>
      </c>
      <c r="I15" s="450">
        <f>Summary!R44</f>
        <v>1311.8144518669276</v>
      </c>
      <c r="J15" s="449">
        <f t="shared" si="3"/>
        <v>4.309104252965037</v>
      </c>
      <c r="K15" s="448">
        <f t="shared" si="7"/>
        <v>41.733353443706889</v>
      </c>
      <c r="L15" s="496">
        <f t="shared" si="8"/>
        <v>9.69756472975105E-2</v>
      </c>
      <c r="N15" s="448">
        <f t="shared" si="5"/>
        <v>3143.3238491999023</v>
      </c>
      <c r="O15" s="449">
        <f t="shared" si="4"/>
        <v>10.32532470408227</v>
      </c>
      <c r="P15" s="448">
        <f t="shared" si="9"/>
        <v>99.999999999999986</v>
      </c>
      <c r="Q15" s="496">
        <f t="shared" si="6"/>
        <v>0.23236964992118017</v>
      </c>
      <c r="T15" s="239">
        <f>2.8*PI()*25/1000</f>
        <v>0.21991148575128552</v>
      </c>
      <c r="U15" s="499">
        <f>T15*3600</f>
        <v>791.68134870462791</v>
      </c>
    </row>
    <row r="16" spans="1:22" ht="14.25">
      <c r="A16" s="504">
        <f>Summary!Q45*100</f>
        <v>27.777777777777779</v>
      </c>
      <c r="B16" s="504">
        <f t="shared" si="0"/>
        <v>39.54475308641976</v>
      </c>
      <c r="C16" s="505">
        <f t="shared" si="1"/>
        <v>3.9327468821182725</v>
      </c>
      <c r="D16" s="506"/>
      <c r="E16" s="507">
        <f>100*Summary!M45</f>
        <v>2.5</v>
      </c>
      <c r="F16" s="508">
        <f>1000*3600*Summary!N45</f>
        <v>141.44957321399556</v>
      </c>
      <c r="G16" s="507">
        <f t="shared" si="2"/>
        <v>7.7439935280617016</v>
      </c>
      <c r="I16" s="450">
        <f>Summary!R45</f>
        <v>2049.7100810420739</v>
      </c>
      <c r="J16" s="449">
        <f t="shared" si="3"/>
        <v>6.7329753952578688</v>
      </c>
      <c r="K16" s="448">
        <f t="shared" si="7"/>
        <v>52.166691804633622</v>
      </c>
      <c r="L16" s="496">
        <f t="shared" si="8"/>
        <v>0.12121955912188817</v>
      </c>
      <c r="N16" s="448">
        <f t="shared" si="5"/>
        <v>3929.1548114998768</v>
      </c>
      <c r="O16" s="449">
        <f t="shared" si="4"/>
        <v>12.906655880102836</v>
      </c>
      <c r="P16" s="448">
        <f t="shared" si="9"/>
        <v>100</v>
      </c>
      <c r="Q16" s="496">
        <f t="shared" si="6"/>
        <v>0.23236964992118023</v>
      </c>
      <c r="T16" s="239">
        <f>SQRT(38.2/PI())*2</f>
        <v>6.9740770435150212</v>
      </c>
    </row>
    <row r="17" spans="1:22" ht="14.25">
      <c r="A17" s="504">
        <f>Summary!Q46*100</f>
        <v>33.333333333333329</v>
      </c>
      <c r="B17" s="504">
        <f t="shared" si="0"/>
        <v>56.944444444444422</v>
      </c>
      <c r="C17" s="505">
        <f t="shared" si="1"/>
        <v>5.6631555102503093</v>
      </c>
      <c r="D17" s="506"/>
      <c r="E17" s="507">
        <f>100*Summary!M46</f>
        <v>3</v>
      </c>
      <c r="F17" s="508">
        <f>1000*3600*Summary!N46</f>
        <v>169.73948785679468</v>
      </c>
      <c r="G17" s="507">
        <f t="shared" si="2"/>
        <v>9.2927922336740423</v>
      </c>
      <c r="I17" s="450">
        <f>Summary!R46</f>
        <v>2951.5825167005855</v>
      </c>
      <c r="J17" s="449">
        <f t="shared" si="3"/>
        <v>9.6954845691713292</v>
      </c>
      <c r="K17" s="448">
        <f t="shared" si="7"/>
        <v>62.600030165560327</v>
      </c>
      <c r="L17" s="521">
        <f t="shared" si="8"/>
        <v>0.14546347094626574</v>
      </c>
      <c r="N17" s="448">
        <f t="shared" si="5"/>
        <v>4714.9857737998518</v>
      </c>
      <c r="O17" s="449">
        <f t="shared" si="4"/>
        <v>15.487987056123401</v>
      </c>
      <c r="P17" s="448">
        <f t="shared" si="9"/>
        <v>99.999999999999986</v>
      </c>
      <c r="Q17" s="496">
        <f t="shared" si="6"/>
        <v>0.23236964992118017</v>
      </c>
    </row>
    <row r="18" spans="1:22" ht="14.25">
      <c r="A18" s="504">
        <f>Summary!Q47*100</f>
        <v>38.888888888888893</v>
      </c>
      <c r="B18" s="504">
        <f t="shared" si="0"/>
        <v>77.507716049382751</v>
      </c>
      <c r="C18" s="505">
        <f t="shared" si="1"/>
        <v>7.7081838889518171</v>
      </c>
      <c r="D18" s="506"/>
      <c r="E18" s="507">
        <f>100*Summary!M47</f>
        <v>3.5000000000000004</v>
      </c>
      <c r="F18" s="508">
        <f>1000*3600*Summary!N47</f>
        <v>198.02940249959383</v>
      </c>
      <c r="G18" s="507">
        <f t="shared" si="2"/>
        <v>10.841590939286384</v>
      </c>
      <c r="I18" s="450">
        <f>Summary!R47</f>
        <v>4017.4317588424651</v>
      </c>
      <c r="J18" s="449">
        <f t="shared" si="3"/>
        <v>13.196631774705425</v>
      </c>
      <c r="K18" s="448">
        <f t="shared" si="7"/>
        <v>73.033368526487052</v>
      </c>
      <c r="L18" s="496">
        <f t="shared" si="8"/>
        <v>0.1697073827706434</v>
      </c>
      <c r="N18" s="448">
        <f t="shared" si="5"/>
        <v>5500.8167360998286</v>
      </c>
      <c r="O18" s="449">
        <f t="shared" si="4"/>
        <v>18.069318232143974</v>
      </c>
      <c r="P18" s="448">
        <f t="shared" si="9"/>
        <v>100</v>
      </c>
      <c r="Q18" s="496">
        <f t="shared" si="6"/>
        <v>0.23236964992118023</v>
      </c>
    </row>
    <row r="19" spans="1:22" ht="14.25">
      <c r="A19" s="504">
        <f>Summary!Q48*100</f>
        <v>44.44444444444445</v>
      </c>
      <c r="B19" s="504">
        <f t="shared" si="0"/>
        <v>101.23456790123457</v>
      </c>
      <c r="C19" s="505">
        <f t="shared" si="1"/>
        <v>10.067832018222775</v>
      </c>
      <c r="D19" s="506"/>
      <c r="E19" s="507">
        <f>100*Summary!M48</f>
        <v>4</v>
      </c>
      <c r="F19" s="508">
        <f>1000*3600*Summary!N48</f>
        <v>226.31931714239295</v>
      </c>
      <c r="G19" s="507">
        <f t="shared" si="2"/>
        <v>12.390389644898725</v>
      </c>
      <c r="I19" s="450">
        <f>Summary!R48</f>
        <v>5247.2578074677103</v>
      </c>
      <c r="J19" s="449">
        <f t="shared" si="3"/>
        <v>17.236417011860148</v>
      </c>
      <c r="K19" s="448">
        <f t="shared" si="7"/>
        <v>83.466706887413778</v>
      </c>
      <c r="L19" s="496">
        <f t="shared" si="8"/>
        <v>0.193951294595021</v>
      </c>
      <c r="N19" s="448">
        <f t="shared" si="5"/>
        <v>6286.6476983998045</v>
      </c>
      <c r="O19" s="449">
        <f t="shared" si="4"/>
        <v>20.65064940816454</v>
      </c>
      <c r="P19" s="448">
        <f t="shared" si="9"/>
        <v>99.999999999999986</v>
      </c>
      <c r="Q19" s="496">
        <f t="shared" si="6"/>
        <v>0.23236964992118017</v>
      </c>
      <c r="T19" s="493">
        <f>1000*0.46/12.011</f>
        <v>38.298226625593209</v>
      </c>
      <c r="U19" s="499">
        <f>T8/T19</f>
        <v>1.1649357350413754</v>
      </c>
    </row>
    <row r="20" spans="1:22" ht="14.25">
      <c r="A20" s="504">
        <f>Summary!Q49*100</f>
        <v>55.555555555555557</v>
      </c>
      <c r="B20" s="504">
        <f t="shared" si="0"/>
        <v>158.17901234567904</v>
      </c>
      <c r="C20" s="505">
        <f t="shared" si="1"/>
        <v>15.73098752847309</v>
      </c>
      <c r="D20" s="506"/>
      <c r="E20" s="507">
        <f>100*Summary!M49</f>
        <v>5</v>
      </c>
      <c r="F20" s="508">
        <f>1000*3600*Summary!N49</f>
        <v>282.89914642799113</v>
      </c>
      <c r="G20" s="507">
        <f t="shared" si="2"/>
        <v>15.487987056123403</v>
      </c>
      <c r="I20" s="450">
        <f>Summary!R49</f>
        <v>8198.8403241682954</v>
      </c>
      <c r="J20" s="449">
        <f t="shared" si="3"/>
        <v>26.931901581031475</v>
      </c>
      <c r="K20" s="448">
        <f t="shared" si="7"/>
        <v>104.33338360926724</v>
      </c>
      <c r="L20" s="496">
        <f t="shared" si="8"/>
        <v>0.24243911824377634</v>
      </c>
      <c r="N20" s="448">
        <f t="shared" si="5"/>
        <v>7858.3096229997536</v>
      </c>
      <c r="O20" s="449">
        <f t="shared" si="4"/>
        <v>25.813311760205671</v>
      </c>
      <c r="P20" s="448">
        <f t="shared" si="9"/>
        <v>100</v>
      </c>
      <c r="Q20" s="496">
        <f t="shared" si="6"/>
        <v>0.23236964992118023</v>
      </c>
    </row>
    <row r="21" spans="1:22" ht="14.25">
      <c r="A21" s="504">
        <f>Summary!Q50*100</f>
        <v>66.666666666666657</v>
      </c>
      <c r="B21" s="504">
        <f t="shared" si="0"/>
        <v>227.77777777777769</v>
      </c>
      <c r="C21" s="505">
        <f t="shared" si="1"/>
        <v>22.652622041001237</v>
      </c>
      <c r="D21" s="506"/>
      <c r="E21" s="507">
        <f>100*Summary!M50</f>
        <v>6</v>
      </c>
      <c r="F21" s="508">
        <f>1000*3600*Summary!N50</f>
        <v>339.47897571358936</v>
      </c>
      <c r="G21" s="507">
        <f t="shared" si="2"/>
        <v>18.585584467348085</v>
      </c>
      <c r="I21" s="450">
        <f>Summary!R50</f>
        <v>11806.330066802342</v>
      </c>
      <c r="J21" s="449">
        <f t="shared" si="3"/>
        <v>38.781938276685317</v>
      </c>
      <c r="K21" s="448">
        <f t="shared" si="7"/>
        <v>125.20006033112065</v>
      </c>
      <c r="L21" s="496">
        <f t="shared" si="8"/>
        <v>0.29092694189253149</v>
      </c>
      <c r="N21" s="448">
        <f t="shared" si="5"/>
        <v>9429.9715475997036</v>
      </c>
      <c r="O21" s="449">
        <f t="shared" si="4"/>
        <v>30.975974112246803</v>
      </c>
      <c r="P21" s="448">
        <f>O21/(G21/60)</f>
        <v>99.999999999999986</v>
      </c>
      <c r="Q21" s="496">
        <f t="shared" si="6"/>
        <v>0.23236964992118017</v>
      </c>
    </row>
    <row r="22" spans="1:22" ht="14.25">
      <c r="A22" s="504">
        <f>Summary!Q51*100</f>
        <v>77.777777777777786</v>
      </c>
      <c r="B22" s="504">
        <f t="shared" si="0"/>
        <v>310.030864197531</v>
      </c>
      <c r="C22" s="505">
        <f t="shared" si="1"/>
        <v>30.832735555807268</v>
      </c>
      <c r="D22" s="506"/>
      <c r="E22" s="507">
        <f>100*Summary!M51</f>
        <v>7.0000000000000009</v>
      </c>
      <c r="F22" s="508">
        <f>1000*3600*Summary!N51</f>
        <v>396.05880499918766</v>
      </c>
      <c r="G22" s="507">
        <f t="shared" si="2"/>
        <v>21.683181878572768</v>
      </c>
      <c r="I22" s="450">
        <f>Summary!R51</f>
        <v>16069.72703536986</v>
      </c>
      <c r="J22" s="449">
        <f t="shared" si="3"/>
        <v>52.786527098821701</v>
      </c>
      <c r="K22" s="448">
        <f>(J22/(G22/60))</f>
        <v>146.0667370529741</v>
      </c>
      <c r="L22" s="496">
        <f t="shared" si="8"/>
        <v>0.3394147655412868</v>
      </c>
      <c r="N22" s="448">
        <f t="shared" si="5"/>
        <v>11001.633472199657</v>
      </c>
      <c r="O22" s="449">
        <f t="shared" si="4"/>
        <v>36.138636464287949</v>
      </c>
      <c r="P22" s="448">
        <f t="shared" si="9"/>
        <v>100</v>
      </c>
      <c r="Q22" s="496">
        <f t="shared" si="6"/>
        <v>0.23236964992118023</v>
      </c>
      <c r="T22" s="493" t="s">
        <v>509</v>
      </c>
    </row>
    <row r="23" spans="1:22" ht="14.25">
      <c r="A23" s="504">
        <f>Summary!Q52*100</f>
        <v>88.8888888888889</v>
      </c>
      <c r="B23" s="504">
        <f t="shared" si="0"/>
        <v>404.93827160493828</v>
      </c>
      <c r="C23" s="505">
        <f t="shared" si="1"/>
        <v>40.271328072891102</v>
      </c>
      <c r="D23" s="506"/>
      <c r="E23" s="507">
        <f>100*Summary!M52</f>
        <v>8</v>
      </c>
      <c r="F23" s="508">
        <f>1000*3600*Summary!N52</f>
        <v>452.63863428478589</v>
      </c>
      <c r="G23" s="507">
        <f t="shared" si="2"/>
        <v>24.780779289797451</v>
      </c>
      <c r="I23" s="450">
        <f>Summary!R52</f>
        <v>20989.031229870841</v>
      </c>
      <c r="J23" s="449">
        <f t="shared" si="3"/>
        <v>68.945668047440591</v>
      </c>
      <c r="K23" s="448">
        <f t="shared" si="7"/>
        <v>166.93341377482756</v>
      </c>
      <c r="L23" s="496">
        <f t="shared" si="8"/>
        <v>0.387902589190042</v>
      </c>
      <c r="N23" s="448">
        <f t="shared" si="5"/>
        <v>12573.295396799609</v>
      </c>
      <c r="O23" s="449">
        <f t="shared" si="4"/>
        <v>41.30129881632908</v>
      </c>
      <c r="P23" s="448">
        <f t="shared" si="9"/>
        <v>99.999999999999986</v>
      </c>
      <c r="Q23" s="496">
        <f t="shared" si="6"/>
        <v>0.23236964992118017</v>
      </c>
      <c r="U23" s="493" t="s">
        <v>507</v>
      </c>
    </row>
    <row r="24" spans="1:22" ht="14.25">
      <c r="A24" s="504">
        <f>Summary!Q53*100</f>
        <v>100</v>
      </c>
      <c r="B24" s="504">
        <f t="shared" si="0"/>
        <v>512.5</v>
      </c>
      <c r="C24" s="505">
        <f t="shared" si="1"/>
        <v>50.968399592252801</v>
      </c>
      <c r="D24" s="506"/>
      <c r="E24" s="507">
        <f>100*Summary!M53</f>
        <v>9</v>
      </c>
      <c r="F24" s="508">
        <f>1000*3600*Summary!N53</f>
        <v>509.21846357038402</v>
      </c>
      <c r="G24" s="507">
        <f t="shared" si="2"/>
        <v>27.878376701022123</v>
      </c>
      <c r="I24" s="450">
        <f>Summary!R53</f>
        <v>26564.242650305274</v>
      </c>
      <c r="J24" s="449">
        <f t="shared" si="3"/>
        <v>87.259361122541975</v>
      </c>
      <c r="K24" s="448">
        <f t="shared" si="7"/>
        <v>187.80009049668104</v>
      </c>
      <c r="L24" s="496">
        <f t="shared" si="8"/>
        <v>0.43639041283879737</v>
      </c>
      <c r="N24" s="448">
        <f t="shared" si="5"/>
        <v>14144.957321399555</v>
      </c>
      <c r="O24" s="449">
        <f t="shared" si="4"/>
        <v>46.463961168370204</v>
      </c>
      <c r="P24" s="448">
        <f t="shared" si="9"/>
        <v>100</v>
      </c>
      <c r="Q24" s="496">
        <f t="shared" si="6"/>
        <v>0.23236964992118023</v>
      </c>
    </row>
    <row r="25" spans="1:22" ht="14.25">
      <c r="A25" s="504">
        <f>Summary!Q54*100</f>
        <v>111.11111111111111</v>
      </c>
      <c r="B25" s="504">
        <f t="shared" si="0"/>
        <v>632.71604938271616</v>
      </c>
      <c r="C25" s="505">
        <f t="shared" si="1"/>
        <v>62.92395011389236</v>
      </c>
      <c r="D25" s="506"/>
      <c r="E25" s="507">
        <f>100*Summary!M54</f>
        <v>10</v>
      </c>
      <c r="F25" s="508">
        <f>1000*3600*Summary!N54</f>
        <v>565.79829285598225</v>
      </c>
      <c r="G25" s="507">
        <f t="shared" si="2"/>
        <v>30.975974112246806</v>
      </c>
      <c r="I25" s="450">
        <f>Summary!R54</f>
        <v>32795.361296673182</v>
      </c>
      <c r="J25" s="449">
        <f t="shared" si="3"/>
        <v>107.7276063241259</v>
      </c>
      <c r="K25" s="448">
        <f t="shared" si="7"/>
        <v>208.66676721853449</v>
      </c>
      <c r="L25" s="496">
        <f t="shared" si="8"/>
        <v>0.48487823648755268</v>
      </c>
      <c r="N25" s="448">
        <f t="shared" si="5"/>
        <v>15716.619245999507</v>
      </c>
      <c r="O25" s="449">
        <f t="shared" si="4"/>
        <v>51.626623520411343</v>
      </c>
      <c r="P25" s="448">
        <f t="shared" si="9"/>
        <v>100</v>
      </c>
      <c r="Q25" s="496">
        <f t="shared" si="6"/>
        <v>0.23236964992118023</v>
      </c>
      <c r="U25" s="239">
        <v>4.0000000000000001E-3</v>
      </c>
      <c r="V25" s="493" t="s">
        <v>508</v>
      </c>
    </row>
    <row r="26" spans="1:22" ht="14.25">
      <c r="A26" s="504">
        <f>Summary!Q55*100</f>
        <v>133.33333333333331</v>
      </c>
      <c r="B26" s="504">
        <f t="shared" si="0"/>
        <v>911.11111111111074</v>
      </c>
      <c r="C26" s="505">
        <f t="shared" si="1"/>
        <v>90.610488164004948</v>
      </c>
      <c r="D26" s="506"/>
      <c r="E26" s="507">
        <f>100*Summary!M55</f>
        <v>12</v>
      </c>
      <c r="F26" s="508">
        <f>1000*3600*Summary!N55</f>
        <v>678.95795142717873</v>
      </c>
      <c r="G26" s="507">
        <f t="shared" si="2"/>
        <v>37.171168934696169</v>
      </c>
      <c r="I26" s="450">
        <f>Summary!R55</f>
        <v>47225.320267209368</v>
      </c>
      <c r="J26" s="449">
        <f t="shared" si="3"/>
        <v>155.12775310674127</v>
      </c>
      <c r="K26" s="448">
        <f t="shared" si="7"/>
        <v>250.40012066224131</v>
      </c>
      <c r="L26" s="496">
        <f t="shared" si="8"/>
        <v>0.58185388378506298</v>
      </c>
      <c r="N26" s="448">
        <f t="shared" si="5"/>
        <v>18859.943095199407</v>
      </c>
      <c r="O26" s="449">
        <f t="shared" si="4"/>
        <v>61.951948224493606</v>
      </c>
      <c r="P26" s="448">
        <f t="shared" si="9"/>
        <v>99.999999999999986</v>
      </c>
      <c r="Q26" s="496">
        <f t="shared" si="6"/>
        <v>0.23236964992118017</v>
      </c>
      <c r="U26" s="239">
        <f>U25*1000</f>
        <v>4</v>
      </c>
      <c r="V26" s="493" t="s">
        <v>510</v>
      </c>
    </row>
    <row r="27" spans="1:22" ht="14.25">
      <c r="A27" s="504">
        <f>Summary!Q56*100</f>
        <v>155.55555555555557</v>
      </c>
      <c r="B27" s="504">
        <f t="shared" si="0"/>
        <v>1240.123456790124</v>
      </c>
      <c r="C27" s="505">
        <f t="shared" si="1"/>
        <v>123.33094222322907</v>
      </c>
      <c r="D27" s="506"/>
      <c r="E27" s="507">
        <f>100*Summary!M56</f>
        <v>14.000000000000002</v>
      </c>
      <c r="F27" s="508">
        <f>1000*3600*Summary!N56</f>
        <v>792.11760999837531</v>
      </c>
      <c r="G27" s="507">
        <f t="shared" si="2"/>
        <v>43.366363757145535</v>
      </c>
      <c r="I27" s="450">
        <f>Summary!R56</f>
        <v>64278.908141479442</v>
      </c>
      <c r="J27" s="449">
        <f t="shared" si="3"/>
        <v>211.1461083952868</v>
      </c>
      <c r="K27" s="448">
        <f t="shared" si="7"/>
        <v>292.13347410594821</v>
      </c>
      <c r="L27" s="496">
        <f t="shared" si="8"/>
        <v>0.6788295310825736</v>
      </c>
      <c r="N27" s="448">
        <f t="shared" si="5"/>
        <v>22003.266944399315</v>
      </c>
      <c r="O27" s="449">
        <f t="shared" si="4"/>
        <v>72.277272928575897</v>
      </c>
      <c r="P27" s="448">
        <f t="shared" si="9"/>
        <v>100</v>
      </c>
      <c r="Q27" s="496">
        <f t="shared" si="6"/>
        <v>0.23236964992118023</v>
      </c>
    </row>
    <row r="28" spans="1:22" ht="14.25">
      <c r="A28" s="504">
        <f>Summary!Q57*100</f>
        <v>177.7777777777778</v>
      </c>
      <c r="B28" s="504">
        <f t="shared" si="0"/>
        <v>1619.7530864197531</v>
      </c>
      <c r="C28" s="505">
        <f t="shared" si="1"/>
        <v>161.08531229156441</v>
      </c>
      <c r="D28" s="506"/>
      <c r="E28" s="507">
        <f>100*Summary!M57</f>
        <v>16</v>
      </c>
      <c r="F28" s="508">
        <f>1000*3600*Summary!N57</f>
        <v>905.27726856957179</v>
      </c>
      <c r="G28" s="507">
        <f t="shared" si="2"/>
        <v>49.561558579594902</v>
      </c>
      <c r="I28" s="450">
        <f>Summary!R57</f>
        <v>83956.124919483365</v>
      </c>
      <c r="J28" s="449">
        <f t="shared" si="3"/>
        <v>275.78267218976237</v>
      </c>
      <c r="K28" s="448">
        <f t="shared" si="7"/>
        <v>333.86682754965511</v>
      </c>
      <c r="L28" s="496">
        <f t="shared" si="8"/>
        <v>0.775805178380084</v>
      </c>
      <c r="N28" s="448">
        <f t="shared" si="5"/>
        <v>25146.590793599218</v>
      </c>
      <c r="O28" s="449">
        <f t="shared" si="4"/>
        <v>82.60259763265816</v>
      </c>
      <c r="P28" s="448">
        <f t="shared" si="9"/>
        <v>99.999999999999986</v>
      </c>
      <c r="Q28" s="496">
        <f t="shared" si="6"/>
        <v>0.23236964992118017</v>
      </c>
    </row>
    <row r="29" spans="1:22" ht="14.25">
      <c r="A29" s="504">
        <f>Summary!Q58*100</f>
        <v>200</v>
      </c>
      <c r="B29" s="504">
        <f t="shared" si="0"/>
        <v>2050</v>
      </c>
      <c r="C29" s="505">
        <f t="shared" si="1"/>
        <v>203.87359836901121</v>
      </c>
      <c r="D29" s="506"/>
      <c r="E29" s="507">
        <f>100*Summary!M58</f>
        <v>18</v>
      </c>
      <c r="F29" s="508">
        <f>1000*3600*Summary!N58</f>
        <v>1018.436927140768</v>
      </c>
      <c r="G29" s="507">
        <f t="shared" si="2"/>
        <v>55.756753402044247</v>
      </c>
      <c r="I29" s="450">
        <f>Summary!R58</f>
        <v>106256.9706012211</v>
      </c>
      <c r="J29" s="449">
        <f t="shared" si="3"/>
        <v>349.0374444901679</v>
      </c>
      <c r="K29" s="448">
        <f t="shared" si="7"/>
        <v>375.60018099336207</v>
      </c>
      <c r="L29" s="496">
        <f t="shared" si="8"/>
        <v>0.87278082567759474</v>
      </c>
      <c r="N29" s="448">
        <f t="shared" si="5"/>
        <v>28289.914642799111</v>
      </c>
      <c r="O29" s="449">
        <f t="shared" si="4"/>
        <v>92.927922336740409</v>
      </c>
      <c r="P29" s="448">
        <f t="shared" si="9"/>
        <v>100</v>
      </c>
      <c r="Q29" s="496">
        <f t="shared" si="6"/>
        <v>0.23236964992118023</v>
      </c>
      <c r="T29" s="493" t="s">
        <v>512</v>
      </c>
    </row>
    <row r="30" spans="1:22" ht="15" thickBot="1">
      <c r="A30" s="509">
        <f>Summary!Q59*100</f>
        <v>222.22222222222223</v>
      </c>
      <c r="B30" s="509">
        <f t="shared" si="0"/>
        <v>2530.8641975308647</v>
      </c>
      <c r="C30" s="510">
        <f t="shared" si="1"/>
        <v>251.69580045556944</v>
      </c>
      <c r="D30" s="511"/>
      <c r="E30" s="512">
        <f>100*Summary!M59</f>
        <v>20</v>
      </c>
      <c r="F30" s="513">
        <f>1000*3600*Summary!N59</f>
        <v>1131.5965857119645</v>
      </c>
      <c r="G30" s="512">
        <f t="shared" si="2"/>
        <v>61.951948224493613</v>
      </c>
      <c r="I30" s="453">
        <f>Summary!R59</f>
        <v>131181.44518669273</v>
      </c>
      <c r="J30" s="454">
        <f t="shared" si="3"/>
        <v>430.9104252965036</v>
      </c>
      <c r="K30" s="452">
        <f t="shared" si="7"/>
        <v>417.33353443706898</v>
      </c>
      <c r="L30" s="497">
        <f t="shared" si="8"/>
        <v>0.96975647297510537</v>
      </c>
      <c r="N30" s="452">
        <f t="shared" si="5"/>
        <v>31433.238491999015</v>
      </c>
      <c r="O30" s="454">
        <f t="shared" si="4"/>
        <v>103.25324704082269</v>
      </c>
      <c r="P30" s="452">
        <f t="shared" si="9"/>
        <v>100</v>
      </c>
      <c r="Q30" s="497">
        <f t="shared" si="6"/>
        <v>0.23236964992118023</v>
      </c>
      <c r="T30" s="493" t="s">
        <v>513</v>
      </c>
    </row>
    <row r="31" spans="1:22" ht="4.1500000000000004" customHeight="1">
      <c r="K31" s="239"/>
      <c r="P31" s="239"/>
    </row>
    <row r="32" spans="1:22">
      <c r="T32" s="239">
        <f>T8/20</f>
        <v>2.23074863924333</v>
      </c>
      <c r="U32" s="493" t="s">
        <v>514</v>
      </c>
    </row>
  </sheetData>
  <mergeCells count="5">
    <mergeCell ref="A5:A6"/>
    <mergeCell ref="B5:C5"/>
    <mergeCell ref="E5:G5"/>
    <mergeCell ref="I5:L5"/>
    <mergeCell ref="N5:Q5"/>
  </mergeCells>
  <pageMargins left="0.75" right="0.75" top="1" bottom="1" header="0.5" footer="0.5"/>
  <pageSetup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344"/>
  <sheetViews>
    <sheetView zoomScaleNormal="100" workbookViewId="0">
      <selection activeCell="I22" sqref="I22"/>
    </sheetView>
  </sheetViews>
  <sheetFormatPr defaultRowHeight="12.75"/>
  <cols>
    <col min="1" max="5" width="11.42578125" customWidth="1"/>
    <col min="6" max="6" width="13.42578125" customWidth="1"/>
    <col min="7" max="7" width="11.42578125" customWidth="1"/>
    <col min="8" max="8" width="13.42578125" customWidth="1"/>
    <col min="9" max="9" width="20.7109375" customWidth="1"/>
    <col min="10" max="10" width="13.140625" customWidth="1"/>
    <col min="11" max="11" width="21.85546875" customWidth="1"/>
    <col min="12" max="12" width="11.140625" customWidth="1"/>
  </cols>
  <sheetData>
    <row r="1" spans="1:12">
      <c r="A1" s="2" t="s">
        <v>236</v>
      </c>
    </row>
    <row r="2" spans="1:12">
      <c r="A2" s="2"/>
    </row>
    <row r="3" spans="1:12">
      <c r="A3" t="s">
        <v>333</v>
      </c>
    </row>
    <row r="4" spans="1:12">
      <c r="A4" s="2"/>
    </row>
    <row r="5" spans="1:12">
      <c r="A5" s="66" t="s">
        <v>243</v>
      </c>
    </row>
    <row r="6" spans="1:12">
      <c r="A6" t="s">
        <v>240</v>
      </c>
    </row>
    <row r="7" spans="1:12">
      <c r="A7" t="s">
        <v>241</v>
      </c>
    </row>
    <row r="8" spans="1:12">
      <c r="A8" t="s">
        <v>242</v>
      </c>
    </row>
    <row r="9" spans="1:12">
      <c r="A9" t="s">
        <v>246</v>
      </c>
    </row>
    <row r="10" spans="1:12">
      <c r="A10" t="s">
        <v>257</v>
      </c>
    </row>
    <row r="13" spans="1:12">
      <c r="A13" s="161" t="s">
        <v>244</v>
      </c>
      <c r="B13" s="162"/>
      <c r="C13" s="162"/>
      <c r="D13" s="162"/>
      <c r="I13" t="s">
        <v>261</v>
      </c>
      <c r="K13" t="s">
        <v>262</v>
      </c>
    </row>
    <row r="14" spans="1:12">
      <c r="I14" t="s">
        <v>263</v>
      </c>
      <c r="K14" t="s">
        <v>264</v>
      </c>
    </row>
    <row r="15" spans="1:12">
      <c r="A15" t="s">
        <v>275</v>
      </c>
      <c r="C15" t="s">
        <v>130</v>
      </c>
      <c r="D15" t="s">
        <v>269</v>
      </c>
      <c r="E15" t="s">
        <v>270</v>
      </c>
      <c r="F15" t="s">
        <v>248</v>
      </c>
      <c r="G15" t="s">
        <v>186</v>
      </c>
      <c r="H15" t="s">
        <v>187</v>
      </c>
      <c r="I15" s="84" t="s">
        <v>260</v>
      </c>
      <c r="J15" t="s">
        <v>245</v>
      </c>
      <c r="K15" s="84" t="s">
        <v>259</v>
      </c>
      <c r="L15" s="117" t="s">
        <v>265</v>
      </c>
    </row>
    <row r="16" spans="1:12">
      <c r="A16" s="87"/>
      <c r="B16" s="87"/>
      <c r="C16" s="99"/>
      <c r="D16" s="87"/>
      <c r="E16" s="90"/>
      <c r="F16" s="87"/>
      <c r="G16" s="97"/>
      <c r="H16" s="87"/>
      <c r="I16" s="98"/>
      <c r="J16" s="93"/>
      <c r="K16" s="129" t="s">
        <v>293</v>
      </c>
      <c r="L16" s="87"/>
    </row>
    <row r="17" spans="1:24">
      <c r="A17" s="87" t="s">
        <v>249</v>
      </c>
      <c r="B17" s="87"/>
      <c r="C17" s="100">
        <f>2*D17</f>
        <v>5.2527231922509472</v>
      </c>
      <c r="D17" s="101">
        <f>SQRT(E17/PI())</f>
        <v>2.6263615961254736</v>
      </c>
      <c r="E17" s="87">
        <v>21.67</v>
      </c>
      <c r="F17" s="94">
        <v>5855</v>
      </c>
      <c r="G17" s="87">
        <v>126868</v>
      </c>
      <c r="H17" s="87">
        <v>377879</v>
      </c>
      <c r="I17" s="98">
        <f>(G17/H17)*1</f>
        <v>0.33573710102969467</v>
      </c>
      <c r="J17" s="159">
        <f>(G17/H17)*100</f>
        <v>33.573710102969464</v>
      </c>
      <c r="K17" s="157">
        <f>I17*20.25</f>
        <v>6.7986762958513172</v>
      </c>
      <c r="L17" s="90">
        <f>(K17/20.25)*100</f>
        <v>33.573710102969464</v>
      </c>
    </row>
    <row r="18" spans="1:24">
      <c r="A18" s="87" t="s">
        <v>250</v>
      </c>
      <c r="B18" s="99"/>
      <c r="C18" s="100">
        <f>2*D18</f>
        <v>1.5553633450087505</v>
      </c>
      <c r="D18" s="101">
        <f>SQRT(E18/PI())</f>
        <v>0.77768167250437525</v>
      </c>
      <c r="E18" s="87">
        <v>1.9</v>
      </c>
      <c r="F18" s="87">
        <v>4016</v>
      </c>
      <c r="G18" s="87">
        <v>7194</v>
      </c>
      <c r="H18" s="87">
        <v>28574</v>
      </c>
      <c r="I18" s="98">
        <f>(G18/H18)*1</f>
        <v>0.25176734093931546</v>
      </c>
      <c r="J18" s="159">
        <f>(G18/H18)*100</f>
        <v>25.176734093931547</v>
      </c>
      <c r="K18" s="157">
        <f>I18*20.25</f>
        <v>5.0982886540211378</v>
      </c>
      <c r="L18" s="90">
        <f>(K18/20.25)*100</f>
        <v>25.176734093931547</v>
      </c>
    </row>
    <row r="19" spans="1:24">
      <c r="A19" s="87" t="s">
        <v>251</v>
      </c>
      <c r="B19" s="87"/>
      <c r="C19" s="100">
        <f>2*D19</f>
        <v>4.0243765988077298</v>
      </c>
      <c r="D19" s="101">
        <f>SQRT(E19/PI())</f>
        <v>2.0121882994038649</v>
      </c>
      <c r="E19" s="87">
        <v>12.72</v>
      </c>
      <c r="F19" s="87">
        <v>3315</v>
      </c>
      <c r="G19" s="87">
        <v>42166</v>
      </c>
      <c r="H19" s="87">
        <v>166450</v>
      </c>
      <c r="I19" s="98">
        <f>(G19/H19)*1</f>
        <v>0.25332532291979576</v>
      </c>
      <c r="J19" s="159">
        <f>(G19/H19)*100</f>
        <v>25.332532291979575</v>
      </c>
      <c r="K19" s="157">
        <f>I19*20.25</f>
        <v>5.1298377891258644</v>
      </c>
      <c r="L19" s="90">
        <f>(K19/20.25)*100</f>
        <v>25.332532291979575</v>
      </c>
    </row>
    <row r="20" spans="1:24">
      <c r="A20" s="87" t="s">
        <v>252</v>
      </c>
      <c r="B20" s="87"/>
      <c r="C20" s="100">
        <f>2*D20</f>
        <v>4.4064615120537738</v>
      </c>
      <c r="D20" s="101">
        <f>SQRT(E20/PI())</f>
        <v>2.2032307560268869</v>
      </c>
      <c r="E20" s="87">
        <v>15.25</v>
      </c>
      <c r="F20" s="87">
        <v>5950</v>
      </c>
      <c r="G20" s="87">
        <v>91317</v>
      </c>
      <c r="H20" s="87">
        <v>471515</v>
      </c>
      <c r="I20" s="98">
        <f>(G20/H20)*1</f>
        <v>0.19366722161543112</v>
      </c>
      <c r="J20" s="159">
        <f>(G20/H20)*100</f>
        <v>19.366722161543112</v>
      </c>
      <c r="K20" s="157">
        <f>I20*20.25</f>
        <v>3.9217612377124804</v>
      </c>
      <c r="L20" s="90">
        <f>(K20/20.25)*100</f>
        <v>19.366722161543112</v>
      </c>
    </row>
    <row r="21" spans="1:24">
      <c r="A21" s="87"/>
      <c r="B21" s="87"/>
      <c r="C21" s="87"/>
      <c r="D21" s="87"/>
      <c r="E21" s="87"/>
      <c r="F21" s="87"/>
      <c r="G21" s="87"/>
      <c r="H21" s="87"/>
      <c r="I21" s="87"/>
      <c r="J21" s="87"/>
      <c r="K21" s="157"/>
      <c r="L21" s="90"/>
    </row>
    <row r="22" spans="1:24">
      <c r="A22" s="87" t="s">
        <v>238</v>
      </c>
      <c r="B22" s="87"/>
      <c r="C22" s="92">
        <f t="shared" ref="C22:H22" si="0">AVERAGE(C18:C20,C17,C68)</f>
        <v>3.8879539623796582</v>
      </c>
      <c r="D22" s="93">
        <f t="shared" si="0"/>
        <v>1.9439769811898291</v>
      </c>
      <c r="E22" s="93">
        <f t="shared" si="0"/>
        <v>13.080000000000002</v>
      </c>
      <c r="F22" s="93">
        <f t="shared" si="0"/>
        <v>4207.6000000000004</v>
      </c>
      <c r="G22" s="93">
        <f t="shared" si="0"/>
        <v>58711.199999999997</v>
      </c>
      <c r="H22" s="93">
        <f t="shared" si="0"/>
        <v>312132.2</v>
      </c>
      <c r="I22" s="95">
        <f>AVERAGE(I17:I20)</f>
        <v>0.25862424662605926</v>
      </c>
      <c r="J22" s="93">
        <f>AVERAGE(J17:J20)</f>
        <v>25.862424662605925</v>
      </c>
      <c r="K22" s="158">
        <f>I22*20.25</f>
        <v>5.2371409941777003</v>
      </c>
      <c r="L22" s="93">
        <f>(K22/20.25)*100</f>
        <v>25.862424662605925</v>
      </c>
    </row>
    <row r="23" spans="1:24">
      <c r="A23" s="87"/>
      <c r="B23" s="87"/>
      <c r="C23" s="87"/>
      <c r="D23" s="87"/>
      <c r="E23" s="87"/>
      <c r="F23" s="87"/>
      <c r="G23" s="87"/>
      <c r="H23" s="87"/>
      <c r="I23" s="87"/>
      <c r="J23" s="87"/>
      <c r="K23" s="129"/>
      <c r="L23" s="87"/>
    </row>
    <row r="24" spans="1:24">
      <c r="A24" s="87" t="s">
        <v>99</v>
      </c>
      <c r="B24" s="87"/>
      <c r="C24" s="87"/>
      <c r="D24" s="87"/>
      <c r="E24" s="87"/>
      <c r="F24" s="87"/>
      <c r="G24" s="87"/>
      <c r="H24" s="87"/>
      <c r="I24" s="87"/>
      <c r="J24" s="87"/>
      <c r="K24" s="129"/>
      <c r="L24" s="87"/>
    </row>
    <row r="25" spans="1:24">
      <c r="W25" t="s">
        <v>210</v>
      </c>
    </row>
    <row r="27" spans="1:24">
      <c r="A27" s="2" t="s">
        <v>258</v>
      </c>
      <c r="I27" t="s">
        <v>162</v>
      </c>
      <c r="W27" s="1" t="s">
        <v>134</v>
      </c>
      <c r="X27" s="1"/>
    </row>
    <row r="28" spans="1:24">
      <c r="A28" s="160" t="s">
        <v>294</v>
      </c>
      <c r="W28" s="1"/>
      <c r="X28" s="1"/>
    </row>
    <row r="29" spans="1:24">
      <c r="A29" s="160"/>
      <c r="W29" s="1"/>
      <c r="X29" s="1"/>
    </row>
    <row r="30" spans="1:24">
      <c r="C30" t="s">
        <v>130</v>
      </c>
      <c r="D30" t="s">
        <v>269</v>
      </c>
      <c r="E30" t="s">
        <v>270</v>
      </c>
      <c r="F30" t="s">
        <v>248</v>
      </c>
      <c r="G30" t="s">
        <v>186</v>
      </c>
      <c r="H30" t="s">
        <v>187</v>
      </c>
      <c r="I30" s="12" t="s">
        <v>325</v>
      </c>
      <c r="J30" t="s">
        <v>188</v>
      </c>
      <c r="W30" s="1"/>
      <c r="X30" s="1"/>
    </row>
    <row r="31" spans="1:24">
      <c r="A31" s="1" t="s">
        <v>235</v>
      </c>
      <c r="G31" s="7"/>
      <c r="W31" t="s">
        <v>161</v>
      </c>
    </row>
    <row r="32" spans="1:24">
      <c r="A32" t="s">
        <v>266</v>
      </c>
      <c r="G32" s="7"/>
      <c r="R32" t="s">
        <v>267</v>
      </c>
    </row>
    <row r="33" spans="1:26">
      <c r="A33">
        <v>1</v>
      </c>
      <c r="C33" s="7">
        <v>11.43</v>
      </c>
      <c r="D33" s="7">
        <f t="shared" ref="D33:D38" si="1">C33/2</f>
        <v>5.7149999999999999</v>
      </c>
      <c r="E33" s="7">
        <f t="shared" ref="E33:E38" si="2">PI()*(D33^2)</f>
        <v>102.6082645172433</v>
      </c>
      <c r="G33" s="7"/>
      <c r="R33">
        <v>13</v>
      </c>
      <c r="S33">
        <v>58.25</v>
      </c>
      <c r="T33">
        <v>-79.989999999999995</v>
      </c>
      <c r="U33">
        <v>36.22</v>
      </c>
      <c r="W33" t="s">
        <v>162</v>
      </c>
      <c r="X33" t="s">
        <v>163</v>
      </c>
      <c r="Y33" t="s">
        <v>164</v>
      </c>
      <c r="Z33" t="s">
        <v>158</v>
      </c>
    </row>
    <row r="34" spans="1:26">
      <c r="A34">
        <v>2</v>
      </c>
      <c r="C34" s="7">
        <v>20.89</v>
      </c>
      <c r="D34" s="7">
        <f t="shared" si="1"/>
        <v>10.445</v>
      </c>
      <c r="E34" s="7">
        <f t="shared" si="2"/>
        <v>342.74155386115564</v>
      </c>
      <c r="G34" s="7"/>
      <c r="R34">
        <v>14</v>
      </c>
      <c r="S34">
        <v>48.75</v>
      </c>
      <c r="T34">
        <v>-106.19</v>
      </c>
      <c r="U34">
        <v>45.15</v>
      </c>
      <c r="W34">
        <v>1</v>
      </c>
      <c r="X34">
        <v>404</v>
      </c>
      <c r="Y34">
        <v>94</v>
      </c>
      <c r="Z34">
        <v>1</v>
      </c>
    </row>
    <row r="35" spans="1:26">
      <c r="A35">
        <v>3</v>
      </c>
      <c r="C35" s="7">
        <v>16.02</v>
      </c>
      <c r="D35" s="7">
        <f t="shared" si="1"/>
        <v>8.01</v>
      </c>
      <c r="E35" s="7">
        <f t="shared" si="2"/>
        <v>201.5648988135865</v>
      </c>
      <c r="G35" s="7"/>
      <c r="R35">
        <v>15</v>
      </c>
      <c r="S35">
        <v>62.87</v>
      </c>
      <c r="T35">
        <v>-78.53</v>
      </c>
      <c r="U35">
        <v>49.23</v>
      </c>
      <c r="W35">
        <v>2</v>
      </c>
      <c r="X35">
        <v>658</v>
      </c>
      <c r="Y35">
        <v>404</v>
      </c>
      <c r="Z35">
        <v>1</v>
      </c>
    </row>
    <row r="36" spans="1:26">
      <c r="A36">
        <v>4</v>
      </c>
      <c r="C36" s="7">
        <v>15.33</v>
      </c>
      <c r="D36" s="7">
        <f t="shared" si="1"/>
        <v>7.665</v>
      </c>
      <c r="E36" s="7">
        <f t="shared" si="2"/>
        <v>184.57555844205459</v>
      </c>
      <c r="G36" s="7"/>
      <c r="R36">
        <v>16</v>
      </c>
      <c r="S36">
        <v>83.37</v>
      </c>
      <c r="T36">
        <v>-177.32</v>
      </c>
      <c r="U36">
        <v>74.91</v>
      </c>
      <c r="W36">
        <v>3</v>
      </c>
      <c r="X36">
        <v>178</v>
      </c>
      <c r="Y36">
        <v>809</v>
      </c>
      <c r="Z36">
        <v>6</v>
      </c>
    </row>
    <row r="37" spans="1:26">
      <c r="A37">
        <v>5</v>
      </c>
      <c r="C37" s="7">
        <v>23.24</v>
      </c>
      <c r="D37" s="7">
        <f t="shared" si="1"/>
        <v>11.62</v>
      </c>
      <c r="E37" s="7">
        <f t="shared" si="2"/>
        <v>424.19166309536962</v>
      </c>
      <c r="G37" s="7"/>
      <c r="R37">
        <v>17</v>
      </c>
      <c r="S37">
        <v>102.41</v>
      </c>
      <c r="T37">
        <v>-98.68</v>
      </c>
      <c r="U37">
        <v>33.79</v>
      </c>
      <c r="W37">
        <v>4</v>
      </c>
      <c r="X37">
        <v>266</v>
      </c>
      <c r="Y37">
        <v>969</v>
      </c>
      <c r="Z37">
        <v>7</v>
      </c>
    </row>
    <row r="38" spans="1:26">
      <c r="A38">
        <v>6</v>
      </c>
      <c r="C38" s="7">
        <v>30.55</v>
      </c>
      <c r="D38" s="7">
        <f t="shared" si="1"/>
        <v>15.275</v>
      </c>
      <c r="E38" s="7">
        <f t="shared" si="2"/>
        <v>733.01406939424703</v>
      </c>
      <c r="G38" s="7"/>
      <c r="W38">
        <v>5</v>
      </c>
      <c r="X38">
        <v>112</v>
      </c>
      <c r="Y38">
        <v>191</v>
      </c>
      <c r="Z38">
        <v>10</v>
      </c>
    </row>
    <row r="39" spans="1:26">
      <c r="A39" s="18" t="s">
        <v>271</v>
      </c>
      <c r="B39" s="18" t="s">
        <v>272</v>
      </c>
      <c r="C39" s="19">
        <f>AVERAGE(C33:C38)</f>
        <v>19.576666666666664</v>
      </c>
      <c r="D39" s="19">
        <f>AVERAGE(D33:D38)</f>
        <v>9.7883333333333322</v>
      </c>
      <c r="E39" s="19">
        <f>AVERAGE(E33:E38)</f>
        <v>331.44933468727612</v>
      </c>
      <c r="F39" s="20">
        <v>18</v>
      </c>
      <c r="G39" s="19">
        <f>F39*E39</f>
        <v>5966.0880243709698</v>
      </c>
      <c r="J39" s="1"/>
      <c r="K39" s="1"/>
      <c r="W39">
        <v>6</v>
      </c>
      <c r="X39">
        <v>293</v>
      </c>
      <c r="Y39">
        <v>1011</v>
      </c>
      <c r="Z39">
        <v>13</v>
      </c>
    </row>
    <row r="40" spans="1:26">
      <c r="C40" s="7"/>
      <c r="D40" s="7"/>
      <c r="E40" s="7"/>
      <c r="G40" s="7"/>
      <c r="W40">
        <v>7</v>
      </c>
      <c r="X40">
        <v>886</v>
      </c>
      <c r="Y40">
        <v>874</v>
      </c>
      <c r="Z40">
        <v>20</v>
      </c>
    </row>
    <row r="41" spans="1:26">
      <c r="C41" s="7"/>
      <c r="D41" s="7"/>
      <c r="E41" s="7"/>
      <c r="G41" s="7"/>
      <c r="W41">
        <v>8</v>
      </c>
      <c r="X41">
        <v>779</v>
      </c>
      <c r="Y41">
        <v>64</v>
      </c>
      <c r="Z41">
        <v>21</v>
      </c>
    </row>
    <row r="42" spans="1:26">
      <c r="A42">
        <v>42</v>
      </c>
      <c r="C42" s="7">
        <v>13.83</v>
      </c>
      <c r="D42" s="7">
        <f>C42/2</f>
        <v>6.915</v>
      </c>
      <c r="E42" s="7">
        <f>PI()*(D42^2)</f>
        <v>150.2222427750502</v>
      </c>
      <c r="G42" s="7"/>
      <c r="W42">
        <v>9</v>
      </c>
      <c r="X42">
        <v>4488</v>
      </c>
      <c r="Y42">
        <v>456</v>
      </c>
      <c r="Z42">
        <v>22</v>
      </c>
    </row>
    <row r="43" spans="1:26">
      <c r="A43">
        <v>43</v>
      </c>
      <c r="C43" s="7">
        <v>9.43</v>
      </c>
      <c r="D43" s="7">
        <f t="shared" ref="D43:D49" si="3">C43/2</f>
        <v>4.7149999999999999</v>
      </c>
      <c r="E43" s="7">
        <f t="shared" ref="E43:E49" si="4">PI()*(D43^2)</f>
        <v>69.841453140301738</v>
      </c>
      <c r="G43" s="7"/>
      <c r="W43">
        <v>10</v>
      </c>
      <c r="X43">
        <v>2252</v>
      </c>
      <c r="Y43">
        <v>943</v>
      </c>
      <c r="Z43">
        <v>24</v>
      </c>
    </row>
    <row r="44" spans="1:26">
      <c r="A44">
        <v>44</v>
      </c>
      <c r="C44" s="7">
        <v>8.17</v>
      </c>
      <c r="D44" s="7">
        <f t="shared" si="3"/>
        <v>4.085</v>
      </c>
      <c r="E44" s="7">
        <f t="shared" si="4"/>
        <v>52.424463468799928</v>
      </c>
      <c r="G44" s="7"/>
      <c r="W44">
        <v>11</v>
      </c>
      <c r="X44">
        <v>241</v>
      </c>
      <c r="Y44">
        <v>190</v>
      </c>
      <c r="Z44">
        <v>31</v>
      </c>
    </row>
    <row r="45" spans="1:26">
      <c r="A45">
        <v>45</v>
      </c>
      <c r="C45" s="7">
        <v>15.31</v>
      </c>
      <c r="D45" s="7">
        <f t="shared" si="3"/>
        <v>7.6550000000000002</v>
      </c>
      <c r="E45" s="7">
        <f t="shared" si="4"/>
        <v>184.09426644752463</v>
      </c>
      <c r="G45" s="7"/>
      <c r="W45">
        <v>12</v>
      </c>
      <c r="X45">
        <v>235</v>
      </c>
      <c r="Y45">
        <v>697</v>
      </c>
      <c r="Z45">
        <v>31</v>
      </c>
    </row>
    <row r="46" spans="1:26">
      <c r="A46">
        <v>46</v>
      </c>
      <c r="C46" s="7">
        <v>8.6</v>
      </c>
      <c r="D46" s="7">
        <f t="shared" si="3"/>
        <v>4.3</v>
      </c>
      <c r="E46" s="7">
        <f t="shared" si="4"/>
        <v>58.088048164875268</v>
      </c>
      <c r="G46" s="7"/>
      <c r="W46">
        <v>13</v>
      </c>
      <c r="X46">
        <v>870</v>
      </c>
      <c r="Y46">
        <v>998</v>
      </c>
      <c r="Z46">
        <v>34</v>
      </c>
    </row>
    <row r="47" spans="1:26">
      <c r="A47">
        <v>47</v>
      </c>
      <c r="C47" s="7">
        <v>6.24</v>
      </c>
      <c r="D47" s="7">
        <f t="shared" si="3"/>
        <v>3.12</v>
      </c>
      <c r="E47" s="7">
        <f t="shared" si="4"/>
        <v>30.581519527104486</v>
      </c>
      <c r="G47" s="7"/>
      <c r="W47">
        <v>14</v>
      </c>
      <c r="X47">
        <v>1181</v>
      </c>
      <c r="Y47">
        <v>333</v>
      </c>
      <c r="Z47">
        <v>36</v>
      </c>
    </row>
    <row r="48" spans="1:26">
      <c r="A48">
        <v>48</v>
      </c>
      <c r="C48" s="7">
        <v>42.04</v>
      </c>
      <c r="D48" s="7">
        <f t="shared" si="3"/>
        <v>21.02</v>
      </c>
      <c r="E48" s="7">
        <f t="shared" si="4"/>
        <v>1388.0825546991755</v>
      </c>
      <c r="G48" s="7"/>
      <c r="W48">
        <v>15</v>
      </c>
      <c r="X48">
        <v>181</v>
      </c>
      <c r="Y48">
        <v>603</v>
      </c>
      <c r="Z48">
        <v>39</v>
      </c>
    </row>
    <row r="49" spans="1:26">
      <c r="A49">
        <v>49</v>
      </c>
      <c r="C49" s="7">
        <v>10.62</v>
      </c>
      <c r="D49" s="7">
        <f t="shared" si="3"/>
        <v>5.31</v>
      </c>
      <c r="E49" s="7">
        <f t="shared" si="4"/>
        <v>88.580660619883147</v>
      </c>
      <c r="G49" s="7"/>
      <c r="W49">
        <v>16</v>
      </c>
      <c r="X49">
        <v>124</v>
      </c>
      <c r="Y49">
        <v>404</v>
      </c>
      <c r="Z49">
        <v>42</v>
      </c>
    </row>
    <row r="50" spans="1:26">
      <c r="A50" s="18" t="s">
        <v>271</v>
      </c>
      <c r="B50" s="18" t="s">
        <v>273</v>
      </c>
      <c r="C50" s="19">
        <f>AVERAGE(C42:C49)</f>
        <v>14.280000000000001</v>
      </c>
      <c r="D50" s="19">
        <f>AVERAGE(D42:D49)</f>
        <v>7.1400000000000006</v>
      </c>
      <c r="E50" s="19">
        <f>AVERAGE(E42:E49)</f>
        <v>252.7394011053394</v>
      </c>
      <c r="F50" s="20">
        <v>29</v>
      </c>
      <c r="G50" s="19">
        <f>F50*E50</f>
        <v>7329.4426320548428</v>
      </c>
      <c r="J50" s="1"/>
      <c r="K50" s="1"/>
      <c r="W50">
        <v>17</v>
      </c>
      <c r="X50">
        <v>566</v>
      </c>
      <c r="Y50">
        <v>521</v>
      </c>
      <c r="Z50">
        <v>42</v>
      </c>
    </row>
    <row r="51" spans="1:26">
      <c r="C51" s="7"/>
      <c r="D51" s="7"/>
      <c r="E51" s="7"/>
      <c r="G51" s="7"/>
      <c r="W51">
        <v>18</v>
      </c>
      <c r="X51">
        <v>343</v>
      </c>
      <c r="Y51">
        <v>681</v>
      </c>
      <c r="Z51">
        <v>45</v>
      </c>
    </row>
    <row r="52" spans="1:26">
      <c r="A52">
        <v>1</v>
      </c>
      <c r="C52" s="7">
        <v>7.67</v>
      </c>
      <c r="D52" s="7">
        <f>C52/2</f>
        <v>3.835</v>
      </c>
      <c r="E52" s="7">
        <f>PI()*(D52^2)</f>
        <v>46.204110014692141</v>
      </c>
      <c r="G52" s="7"/>
      <c r="W52">
        <v>19</v>
      </c>
      <c r="X52">
        <v>531</v>
      </c>
      <c r="Y52">
        <v>736</v>
      </c>
      <c r="Z52">
        <v>45</v>
      </c>
    </row>
    <row r="53" spans="1:26">
      <c r="A53">
        <v>2</v>
      </c>
      <c r="C53" s="7">
        <v>8.11</v>
      </c>
      <c r="D53" s="7">
        <f t="shared" ref="D53:D63" si="5">C53/2</f>
        <v>4.0549999999999997</v>
      </c>
      <c r="E53" s="7">
        <f t="shared" ref="E53:E63" si="6">PI()*(D53^2)</f>
        <v>51.657286542793301</v>
      </c>
      <c r="G53" s="7"/>
      <c r="W53">
        <v>20</v>
      </c>
      <c r="X53">
        <v>635</v>
      </c>
      <c r="Y53">
        <v>820</v>
      </c>
      <c r="Z53">
        <v>49</v>
      </c>
    </row>
    <row r="54" spans="1:26">
      <c r="A54">
        <v>3</v>
      </c>
      <c r="C54" s="7">
        <v>11.3</v>
      </c>
      <c r="D54" s="7">
        <f t="shared" si="5"/>
        <v>5.65</v>
      </c>
      <c r="E54" s="7">
        <f t="shared" si="6"/>
        <v>100.28749148422018</v>
      </c>
      <c r="G54" s="7"/>
      <c r="W54">
        <v>21</v>
      </c>
      <c r="X54">
        <v>485</v>
      </c>
      <c r="Y54">
        <v>229</v>
      </c>
      <c r="Z54">
        <v>54</v>
      </c>
    </row>
    <row r="55" spans="1:26">
      <c r="A55">
        <v>4</v>
      </c>
      <c r="C55" s="7">
        <v>4.5999999999999996</v>
      </c>
      <c r="D55" s="7">
        <f t="shared" si="5"/>
        <v>2.2999999999999998</v>
      </c>
      <c r="E55" s="7">
        <f t="shared" si="6"/>
        <v>16.619025137490002</v>
      </c>
      <c r="G55" s="7"/>
      <c r="W55">
        <v>22</v>
      </c>
      <c r="X55">
        <v>491</v>
      </c>
      <c r="Y55">
        <v>631</v>
      </c>
      <c r="Z55">
        <v>56</v>
      </c>
    </row>
    <row r="56" spans="1:26">
      <c r="A56">
        <v>5</v>
      </c>
      <c r="C56" s="7">
        <v>4.9400000000000004</v>
      </c>
      <c r="D56" s="7">
        <f t="shared" si="5"/>
        <v>2.4700000000000002</v>
      </c>
      <c r="E56" s="7">
        <f t="shared" si="6"/>
        <v>19.166542620285973</v>
      </c>
      <c r="G56" s="7"/>
      <c r="W56">
        <v>23</v>
      </c>
      <c r="X56">
        <v>141</v>
      </c>
      <c r="Y56">
        <v>1061</v>
      </c>
      <c r="Z56">
        <v>58</v>
      </c>
    </row>
    <row r="57" spans="1:26">
      <c r="A57">
        <v>6</v>
      </c>
      <c r="C57" s="7">
        <v>6.64</v>
      </c>
      <c r="D57" s="7">
        <f t="shared" si="5"/>
        <v>3.32</v>
      </c>
      <c r="E57" s="7">
        <f t="shared" si="6"/>
        <v>34.627890864928133</v>
      </c>
      <c r="G57" s="7"/>
      <c r="W57">
        <v>24</v>
      </c>
      <c r="X57">
        <v>1097</v>
      </c>
      <c r="Y57">
        <v>1114</v>
      </c>
      <c r="Z57">
        <v>60</v>
      </c>
    </row>
    <row r="58" spans="1:26">
      <c r="A58">
        <v>7</v>
      </c>
      <c r="C58" s="7">
        <v>8.98</v>
      </c>
      <c r="D58" s="7">
        <f t="shared" si="5"/>
        <v>4.49</v>
      </c>
      <c r="E58" s="7">
        <f t="shared" si="6"/>
        <v>63.334822055635598</v>
      </c>
      <c r="G58" s="7"/>
      <c r="W58">
        <v>25</v>
      </c>
      <c r="X58">
        <v>1998</v>
      </c>
      <c r="Y58">
        <v>270</v>
      </c>
      <c r="Z58">
        <v>63</v>
      </c>
    </row>
    <row r="59" spans="1:26">
      <c r="A59">
        <v>8</v>
      </c>
      <c r="C59" s="7">
        <v>6.37</v>
      </c>
      <c r="D59" s="7">
        <f t="shared" si="5"/>
        <v>3.1850000000000001</v>
      </c>
      <c r="E59" s="7">
        <f t="shared" si="6"/>
        <v>31.86902273636192</v>
      </c>
      <c r="G59" s="7"/>
      <c r="W59">
        <v>26</v>
      </c>
      <c r="X59">
        <v>576</v>
      </c>
      <c r="Y59">
        <v>572</v>
      </c>
      <c r="Z59">
        <v>70</v>
      </c>
    </row>
    <row r="60" spans="1:26">
      <c r="A60">
        <v>9</v>
      </c>
      <c r="C60" s="7">
        <v>7.01</v>
      </c>
      <c r="D60" s="7">
        <f t="shared" si="5"/>
        <v>3.5049999999999999</v>
      </c>
      <c r="E60" s="7">
        <f t="shared" si="6"/>
        <v>38.594544289166947</v>
      </c>
      <c r="G60" s="7"/>
      <c r="W60">
        <v>27</v>
      </c>
      <c r="X60">
        <v>1366</v>
      </c>
      <c r="Y60">
        <v>105</v>
      </c>
      <c r="Z60">
        <v>71</v>
      </c>
    </row>
    <row r="61" spans="1:26">
      <c r="A61">
        <v>10</v>
      </c>
      <c r="C61" s="7">
        <v>7.48</v>
      </c>
      <c r="D61" s="7">
        <f t="shared" si="5"/>
        <v>3.74</v>
      </c>
      <c r="E61" s="7">
        <f t="shared" si="6"/>
        <v>43.943341401352598</v>
      </c>
      <c r="G61" s="7"/>
      <c r="W61">
        <v>28</v>
      </c>
      <c r="X61">
        <v>385</v>
      </c>
      <c r="Y61">
        <v>547</v>
      </c>
      <c r="Z61">
        <v>71</v>
      </c>
    </row>
    <row r="62" spans="1:26">
      <c r="A62">
        <v>11</v>
      </c>
      <c r="C62" s="7">
        <v>6.36</v>
      </c>
      <c r="D62" s="7">
        <f t="shared" si="5"/>
        <v>3.18</v>
      </c>
      <c r="E62" s="7">
        <f t="shared" si="6"/>
        <v>31.769041550161425</v>
      </c>
      <c r="G62" s="7"/>
      <c r="W62">
        <v>29</v>
      </c>
      <c r="X62">
        <v>290</v>
      </c>
      <c r="Y62">
        <v>759</v>
      </c>
      <c r="Z62">
        <v>71</v>
      </c>
    </row>
    <row r="63" spans="1:26">
      <c r="A63">
        <v>12</v>
      </c>
      <c r="C63" s="7">
        <v>6.16</v>
      </c>
      <c r="D63" s="7">
        <f t="shared" si="5"/>
        <v>3.08</v>
      </c>
      <c r="E63" s="7">
        <f t="shared" si="6"/>
        <v>29.802404549014213</v>
      </c>
      <c r="G63" s="7"/>
      <c r="W63">
        <v>30</v>
      </c>
      <c r="X63">
        <v>713</v>
      </c>
      <c r="Y63">
        <v>1158</v>
      </c>
      <c r="Z63">
        <v>74</v>
      </c>
    </row>
    <row r="64" spans="1:26">
      <c r="A64" s="18" t="s">
        <v>271</v>
      </c>
      <c r="B64" s="18" t="s">
        <v>274</v>
      </c>
      <c r="C64" s="19">
        <f>AVERAGE(C52:C63)</f>
        <v>7.1349999999999989</v>
      </c>
      <c r="D64" s="19">
        <f>AVERAGE(D52:D63)</f>
        <v>3.5674999999999994</v>
      </c>
      <c r="E64" s="19">
        <f>AVERAGE(E52:E63)</f>
        <v>42.322960270508538</v>
      </c>
      <c r="F64" s="20">
        <v>123</v>
      </c>
      <c r="G64" s="19">
        <f>F64*E64</f>
        <v>5205.7241132725503</v>
      </c>
      <c r="K64" s="1"/>
      <c r="W64">
        <v>31</v>
      </c>
      <c r="X64">
        <v>1678</v>
      </c>
      <c r="Y64">
        <v>1033</v>
      </c>
      <c r="Z64">
        <v>83</v>
      </c>
    </row>
    <row r="65" spans="1:26">
      <c r="A65" s="5"/>
      <c r="B65" s="5"/>
      <c r="C65" s="28"/>
      <c r="D65" s="28"/>
      <c r="E65" s="28"/>
      <c r="F65" s="6">
        <f>SUM(F64,F50,F39)</f>
        <v>170</v>
      </c>
      <c r="G65" s="29">
        <f>SUM(G64,G50,G39)</f>
        <v>18501.254769698364</v>
      </c>
      <c r="H65" s="9">
        <v>420000</v>
      </c>
      <c r="I65" s="9"/>
      <c r="J65" s="3">
        <f>(G65/H65)*100</f>
        <v>4.4050606594519914</v>
      </c>
      <c r="K65" s="1"/>
    </row>
    <row r="66" spans="1:26">
      <c r="A66" s="5"/>
      <c r="B66" s="5"/>
      <c r="C66" s="28"/>
      <c r="D66" s="28"/>
      <c r="E66" s="28"/>
      <c r="F66" s="6"/>
      <c r="G66" s="28"/>
      <c r="K66" s="1"/>
    </row>
    <row r="67" spans="1:26">
      <c r="C67" s="3"/>
      <c r="W67">
        <v>32</v>
      </c>
      <c r="X67">
        <v>11396</v>
      </c>
      <c r="Y67">
        <v>958</v>
      </c>
      <c r="Z67">
        <v>87</v>
      </c>
    </row>
    <row r="68" spans="1:26">
      <c r="A68" s="10" t="s">
        <v>253</v>
      </c>
      <c r="B68" s="10"/>
      <c r="C68" s="23">
        <f>2*D68</f>
        <v>4.2008451637770889</v>
      </c>
      <c r="D68" s="22">
        <f>SQRT(E68/PI())</f>
        <v>2.1004225818885445</v>
      </c>
      <c r="E68" s="10">
        <v>13.86</v>
      </c>
      <c r="F68" s="10">
        <v>1902</v>
      </c>
      <c r="G68" s="10">
        <v>26011</v>
      </c>
      <c r="H68" s="10">
        <v>516243</v>
      </c>
      <c r="I68" s="10"/>
      <c r="J68" s="11">
        <f>(G68/H68)*100</f>
        <v>5.0385186820935104</v>
      </c>
      <c r="W68">
        <v>34</v>
      </c>
      <c r="X68">
        <v>166</v>
      </c>
      <c r="Y68">
        <v>145</v>
      </c>
      <c r="Z68">
        <v>94</v>
      </c>
    </row>
    <row r="71" spans="1:26">
      <c r="A71" s="66" t="s">
        <v>295</v>
      </c>
    </row>
    <row r="72" spans="1:26">
      <c r="A72" t="s">
        <v>233</v>
      </c>
      <c r="C72" t="s">
        <v>234</v>
      </c>
      <c r="W72">
        <v>35</v>
      </c>
      <c r="X72">
        <v>1392</v>
      </c>
      <c r="Y72">
        <v>551</v>
      </c>
      <c r="Z72">
        <v>99</v>
      </c>
    </row>
    <row r="73" spans="1:26">
      <c r="A73">
        <v>1</v>
      </c>
      <c r="C73">
        <v>34</v>
      </c>
      <c r="W73">
        <v>36</v>
      </c>
      <c r="X73">
        <v>407</v>
      </c>
      <c r="Y73">
        <v>510</v>
      </c>
      <c r="Z73">
        <v>105</v>
      </c>
    </row>
    <row r="74" spans="1:26">
      <c r="A74">
        <v>2</v>
      </c>
      <c r="C74">
        <v>26.72</v>
      </c>
      <c r="W74">
        <v>37</v>
      </c>
      <c r="X74">
        <v>134</v>
      </c>
      <c r="Y74">
        <v>365</v>
      </c>
      <c r="Z74">
        <v>108</v>
      </c>
    </row>
    <row r="75" spans="1:26">
      <c r="A75">
        <v>3</v>
      </c>
      <c r="C75">
        <v>17</v>
      </c>
      <c r="W75">
        <v>38</v>
      </c>
      <c r="X75">
        <v>161</v>
      </c>
      <c r="Y75">
        <v>1127</v>
      </c>
      <c r="Z75">
        <v>115</v>
      </c>
    </row>
    <row r="76" spans="1:26">
      <c r="A76">
        <v>4</v>
      </c>
      <c r="C76">
        <v>38.83</v>
      </c>
      <c r="W76">
        <v>39</v>
      </c>
      <c r="X76">
        <v>521</v>
      </c>
      <c r="Y76">
        <v>317</v>
      </c>
      <c r="Z76">
        <v>116</v>
      </c>
    </row>
    <row r="77" spans="1:26">
      <c r="A77">
        <v>5</v>
      </c>
      <c r="C77">
        <v>33.659999999999997</v>
      </c>
      <c r="W77">
        <v>40</v>
      </c>
      <c r="X77">
        <v>231</v>
      </c>
      <c r="Y77">
        <v>350</v>
      </c>
      <c r="Z77">
        <v>117</v>
      </c>
    </row>
    <row r="78" spans="1:26">
      <c r="A78">
        <v>6</v>
      </c>
      <c r="C78">
        <v>22.11</v>
      </c>
      <c r="W78">
        <v>41</v>
      </c>
      <c r="X78">
        <v>303</v>
      </c>
      <c r="Y78">
        <v>1081</v>
      </c>
      <c r="Z78">
        <v>121</v>
      </c>
    </row>
    <row r="79" spans="1:26">
      <c r="A79">
        <v>7</v>
      </c>
      <c r="C79">
        <v>25.31</v>
      </c>
      <c r="W79">
        <v>42</v>
      </c>
      <c r="X79">
        <v>409</v>
      </c>
      <c r="Y79">
        <v>263</v>
      </c>
      <c r="Z79">
        <v>144</v>
      </c>
    </row>
    <row r="80" spans="1:26">
      <c r="A80">
        <v>8</v>
      </c>
      <c r="C80">
        <v>16.3</v>
      </c>
      <c r="W80">
        <v>43</v>
      </c>
      <c r="X80">
        <v>118</v>
      </c>
      <c r="Y80">
        <v>1234</v>
      </c>
      <c r="Z80">
        <v>144</v>
      </c>
    </row>
    <row r="81" spans="1:26">
      <c r="A81">
        <v>9</v>
      </c>
      <c r="C81">
        <v>29.29</v>
      </c>
      <c r="W81">
        <v>44</v>
      </c>
      <c r="X81">
        <v>979</v>
      </c>
      <c r="Y81">
        <v>395</v>
      </c>
      <c r="Z81">
        <v>147</v>
      </c>
    </row>
    <row r="82" spans="1:26">
      <c r="A82">
        <v>10</v>
      </c>
      <c r="C82">
        <v>15.26</v>
      </c>
      <c r="W82">
        <v>45</v>
      </c>
      <c r="X82">
        <v>707</v>
      </c>
      <c r="Y82">
        <v>688</v>
      </c>
      <c r="Z82">
        <v>150</v>
      </c>
    </row>
    <row r="83" spans="1:26">
      <c r="A83">
        <v>11</v>
      </c>
      <c r="C83">
        <v>25.77</v>
      </c>
      <c r="W83">
        <v>46</v>
      </c>
      <c r="X83">
        <v>490</v>
      </c>
      <c r="Y83">
        <v>461</v>
      </c>
      <c r="Z83">
        <v>154</v>
      </c>
    </row>
    <row r="84" spans="1:26">
      <c r="A84">
        <v>12</v>
      </c>
      <c r="C84">
        <v>48.54</v>
      </c>
      <c r="W84">
        <v>47</v>
      </c>
      <c r="X84">
        <v>153</v>
      </c>
      <c r="Y84">
        <v>354</v>
      </c>
      <c r="Z84">
        <v>155</v>
      </c>
    </row>
    <row r="85" spans="1:26">
      <c r="A85">
        <v>13</v>
      </c>
      <c r="C85">
        <v>27.41</v>
      </c>
      <c r="W85">
        <v>48</v>
      </c>
      <c r="X85">
        <v>320</v>
      </c>
      <c r="Y85">
        <v>514</v>
      </c>
      <c r="Z85">
        <v>157</v>
      </c>
    </row>
    <row r="86" spans="1:26">
      <c r="A86">
        <v>14</v>
      </c>
      <c r="C86">
        <v>30.87</v>
      </c>
      <c r="W86">
        <v>49</v>
      </c>
      <c r="X86">
        <v>1202</v>
      </c>
      <c r="Y86">
        <v>1219</v>
      </c>
      <c r="Z86">
        <v>165</v>
      </c>
    </row>
    <row r="87" spans="1:26">
      <c r="A87">
        <v>15</v>
      </c>
      <c r="C87">
        <v>7.29</v>
      </c>
      <c r="W87">
        <v>50</v>
      </c>
      <c r="X87">
        <v>349</v>
      </c>
      <c r="Y87">
        <v>747</v>
      </c>
      <c r="Z87">
        <v>170</v>
      </c>
    </row>
    <row r="88" spans="1:26">
      <c r="A88">
        <v>16</v>
      </c>
      <c r="C88">
        <v>29.07</v>
      </c>
      <c r="W88">
        <v>51</v>
      </c>
      <c r="X88">
        <v>822</v>
      </c>
      <c r="Y88">
        <v>1050</v>
      </c>
      <c r="Z88">
        <v>171</v>
      </c>
    </row>
    <row r="89" spans="1:26">
      <c r="A89">
        <v>17</v>
      </c>
      <c r="C89">
        <v>19.41</v>
      </c>
      <c r="W89">
        <v>52</v>
      </c>
      <c r="X89">
        <v>5710</v>
      </c>
      <c r="Y89">
        <v>371</v>
      </c>
      <c r="Z89">
        <v>172</v>
      </c>
    </row>
    <row r="90" spans="1:26">
      <c r="A90">
        <v>18</v>
      </c>
      <c r="C90">
        <v>36.93</v>
      </c>
      <c r="W90">
        <v>53</v>
      </c>
      <c r="X90">
        <v>200</v>
      </c>
      <c r="Y90">
        <v>722</v>
      </c>
      <c r="Z90">
        <v>172</v>
      </c>
    </row>
    <row r="91" spans="1:26">
      <c r="A91">
        <v>19</v>
      </c>
      <c r="C91">
        <v>25.77</v>
      </c>
      <c r="W91">
        <v>54</v>
      </c>
      <c r="X91">
        <v>334</v>
      </c>
      <c r="Y91">
        <v>440</v>
      </c>
      <c r="Z91">
        <v>173</v>
      </c>
    </row>
    <row r="92" spans="1:26">
      <c r="A92">
        <v>20</v>
      </c>
      <c r="C92">
        <v>23.72</v>
      </c>
      <c r="W92">
        <v>55</v>
      </c>
      <c r="X92">
        <v>1336</v>
      </c>
      <c r="Y92">
        <v>305</v>
      </c>
      <c r="Z92">
        <v>174</v>
      </c>
    </row>
    <row r="93" spans="1:26">
      <c r="A93">
        <v>21</v>
      </c>
      <c r="C93">
        <v>28.34</v>
      </c>
      <c r="W93">
        <v>56</v>
      </c>
      <c r="X93">
        <v>121</v>
      </c>
      <c r="Y93">
        <v>602</v>
      </c>
      <c r="Z93">
        <v>174</v>
      </c>
    </row>
    <row r="94" spans="1:26">
      <c r="A94">
        <v>22</v>
      </c>
      <c r="C94">
        <v>27.75</v>
      </c>
      <c r="W94">
        <v>57</v>
      </c>
      <c r="X94">
        <v>502</v>
      </c>
      <c r="Y94">
        <v>534</v>
      </c>
      <c r="Z94">
        <v>183</v>
      </c>
    </row>
    <row r="95" spans="1:26">
      <c r="A95">
        <v>23</v>
      </c>
      <c r="C95">
        <v>16.25</v>
      </c>
      <c r="W95">
        <v>58</v>
      </c>
      <c r="X95">
        <v>226</v>
      </c>
      <c r="Y95">
        <v>1166</v>
      </c>
      <c r="Z95">
        <v>184</v>
      </c>
    </row>
    <row r="96" spans="1:26">
      <c r="A96">
        <v>24</v>
      </c>
      <c r="C96">
        <v>28.99</v>
      </c>
      <c r="W96">
        <v>59</v>
      </c>
      <c r="X96">
        <v>365</v>
      </c>
      <c r="Y96">
        <v>127</v>
      </c>
      <c r="Z96">
        <v>185</v>
      </c>
    </row>
    <row r="97" spans="1:26">
      <c r="A97">
        <v>25</v>
      </c>
      <c r="C97">
        <v>42.44</v>
      </c>
      <c r="W97">
        <v>60</v>
      </c>
      <c r="X97">
        <v>4182</v>
      </c>
      <c r="Y97">
        <v>476</v>
      </c>
      <c r="Z97">
        <v>190</v>
      </c>
    </row>
    <row r="98" spans="1:26">
      <c r="A98">
        <v>26</v>
      </c>
      <c r="C98">
        <v>21.51</v>
      </c>
      <c r="W98">
        <v>61</v>
      </c>
      <c r="X98">
        <v>349</v>
      </c>
      <c r="Y98">
        <v>981</v>
      </c>
      <c r="Z98">
        <v>194</v>
      </c>
    </row>
    <row r="99" spans="1:26">
      <c r="A99">
        <v>27</v>
      </c>
      <c r="C99">
        <v>44.03</v>
      </c>
      <c r="W99">
        <v>62</v>
      </c>
      <c r="X99">
        <v>126</v>
      </c>
      <c r="Y99">
        <v>711</v>
      </c>
      <c r="Z99">
        <v>195</v>
      </c>
    </row>
    <row r="100" spans="1:26">
      <c r="A100">
        <v>28</v>
      </c>
      <c r="C100">
        <v>22.53</v>
      </c>
      <c r="W100">
        <v>63</v>
      </c>
      <c r="X100">
        <v>228</v>
      </c>
      <c r="Y100">
        <v>1120</v>
      </c>
      <c r="Z100">
        <v>195</v>
      </c>
    </row>
    <row r="101" spans="1:26">
      <c r="A101">
        <v>29</v>
      </c>
      <c r="C101">
        <v>29.63</v>
      </c>
      <c r="W101">
        <v>64</v>
      </c>
      <c r="X101">
        <v>306</v>
      </c>
      <c r="Y101">
        <v>508</v>
      </c>
      <c r="Z101">
        <v>196</v>
      </c>
    </row>
    <row r="102" spans="1:26">
      <c r="A102">
        <v>30</v>
      </c>
      <c r="C102">
        <v>13.75</v>
      </c>
      <c r="W102">
        <v>65</v>
      </c>
      <c r="X102">
        <v>109</v>
      </c>
      <c r="Y102">
        <v>799</v>
      </c>
      <c r="Z102">
        <v>197</v>
      </c>
    </row>
    <row r="103" spans="1:26">
      <c r="A103">
        <v>31</v>
      </c>
      <c r="C103">
        <v>10.61</v>
      </c>
      <c r="W103">
        <v>66</v>
      </c>
      <c r="X103">
        <v>451</v>
      </c>
      <c r="Y103">
        <v>621</v>
      </c>
      <c r="Z103">
        <v>199</v>
      </c>
    </row>
    <row r="104" spans="1:26">
      <c r="A104">
        <v>32</v>
      </c>
      <c r="C104">
        <v>15.66</v>
      </c>
      <c r="W104">
        <v>67</v>
      </c>
      <c r="X104">
        <v>861</v>
      </c>
      <c r="Y104">
        <v>672</v>
      </c>
      <c r="Z104">
        <v>199</v>
      </c>
    </row>
    <row r="105" spans="1:26">
      <c r="A105">
        <v>33</v>
      </c>
      <c r="C105">
        <v>15.66</v>
      </c>
      <c r="W105">
        <v>68</v>
      </c>
      <c r="X105">
        <v>13108</v>
      </c>
      <c r="Y105">
        <v>1003</v>
      </c>
      <c r="Z105">
        <v>200</v>
      </c>
    </row>
    <row r="106" spans="1:26">
      <c r="A106">
        <v>34</v>
      </c>
      <c r="C106">
        <v>31.62</v>
      </c>
      <c r="W106">
        <v>69</v>
      </c>
      <c r="X106">
        <v>441</v>
      </c>
      <c r="Y106">
        <v>573</v>
      </c>
      <c r="Z106">
        <v>201</v>
      </c>
    </row>
    <row r="107" spans="1:26">
      <c r="A107">
        <v>35</v>
      </c>
      <c r="C107">
        <v>47.84</v>
      </c>
      <c r="W107">
        <v>70</v>
      </c>
      <c r="X107">
        <v>135</v>
      </c>
      <c r="Y107">
        <v>1102</v>
      </c>
      <c r="Z107">
        <v>202</v>
      </c>
    </row>
    <row r="108" spans="1:26">
      <c r="A108">
        <v>36</v>
      </c>
      <c r="C108">
        <v>12.31</v>
      </c>
      <c r="W108">
        <v>71</v>
      </c>
      <c r="X108">
        <v>409</v>
      </c>
      <c r="Y108">
        <v>778</v>
      </c>
      <c r="Z108">
        <v>206</v>
      </c>
    </row>
    <row r="109" spans="1:26">
      <c r="A109">
        <v>37</v>
      </c>
      <c r="C109">
        <v>45.16</v>
      </c>
      <c r="W109">
        <v>72</v>
      </c>
      <c r="X109">
        <v>1153</v>
      </c>
      <c r="Y109">
        <v>54</v>
      </c>
      <c r="Z109">
        <v>207</v>
      </c>
    </row>
    <row r="110" spans="1:26">
      <c r="A110">
        <v>38</v>
      </c>
      <c r="C110">
        <v>11.32</v>
      </c>
      <c r="W110">
        <v>73</v>
      </c>
      <c r="X110">
        <v>463</v>
      </c>
      <c r="Y110">
        <v>103</v>
      </c>
      <c r="Z110">
        <v>208</v>
      </c>
    </row>
    <row r="111" spans="1:26">
      <c r="A111">
        <v>39</v>
      </c>
      <c r="C111">
        <v>10.68</v>
      </c>
      <c r="W111">
        <v>74</v>
      </c>
      <c r="X111">
        <v>563</v>
      </c>
      <c r="Y111">
        <v>1145</v>
      </c>
      <c r="Z111">
        <v>209</v>
      </c>
    </row>
    <row r="112" spans="1:26">
      <c r="A112">
        <v>40</v>
      </c>
      <c r="C112">
        <v>26.28</v>
      </c>
      <c r="W112">
        <v>75</v>
      </c>
      <c r="X112">
        <v>200</v>
      </c>
      <c r="Y112">
        <v>172</v>
      </c>
      <c r="Z112">
        <v>211</v>
      </c>
    </row>
    <row r="113" spans="1:26">
      <c r="A113">
        <v>41</v>
      </c>
      <c r="C113">
        <v>30.03</v>
      </c>
      <c r="W113">
        <v>76</v>
      </c>
      <c r="X113">
        <v>710</v>
      </c>
      <c r="Y113">
        <v>801</v>
      </c>
      <c r="Z113">
        <v>214</v>
      </c>
    </row>
    <row r="114" spans="1:26">
      <c r="A114">
        <v>42</v>
      </c>
      <c r="C114">
        <v>46.27</v>
      </c>
      <c r="W114">
        <v>77</v>
      </c>
      <c r="X114">
        <v>1097</v>
      </c>
      <c r="Y114">
        <v>242</v>
      </c>
      <c r="Z114">
        <v>215</v>
      </c>
    </row>
    <row r="115" spans="1:26">
      <c r="A115">
        <v>43</v>
      </c>
      <c r="C115">
        <v>48.69</v>
      </c>
      <c r="W115">
        <v>78</v>
      </c>
      <c r="X115">
        <v>402</v>
      </c>
      <c r="Y115">
        <v>1087</v>
      </c>
      <c r="Z115">
        <v>215</v>
      </c>
    </row>
    <row r="116" spans="1:26">
      <c r="A116">
        <v>44</v>
      </c>
      <c r="C116">
        <v>25.31</v>
      </c>
      <c r="W116">
        <v>79</v>
      </c>
      <c r="X116">
        <v>279</v>
      </c>
      <c r="Y116">
        <v>984</v>
      </c>
      <c r="Z116">
        <v>218</v>
      </c>
    </row>
    <row r="117" spans="1:26">
      <c r="A117">
        <v>45</v>
      </c>
      <c r="C117">
        <v>16.010000000000002</v>
      </c>
      <c r="W117">
        <v>80</v>
      </c>
      <c r="X117">
        <v>1291</v>
      </c>
      <c r="Y117">
        <v>907</v>
      </c>
      <c r="Z117">
        <v>221</v>
      </c>
    </row>
    <row r="118" spans="1:26">
      <c r="A118">
        <v>46</v>
      </c>
      <c r="C118">
        <v>16.3</v>
      </c>
      <c r="W118">
        <v>81</v>
      </c>
      <c r="X118">
        <v>333</v>
      </c>
      <c r="Y118">
        <v>1253</v>
      </c>
      <c r="Z118">
        <v>223</v>
      </c>
    </row>
    <row r="119" spans="1:26">
      <c r="A119">
        <v>47</v>
      </c>
      <c r="C119">
        <v>16.25</v>
      </c>
      <c r="W119">
        <v>82</v>
      </c>
      <c r="X119">
        <v>115</v>
      </c>
      <c r="Y119">
        <v>720</v>
      </c>
      <c r="Z119">
        <v>226</v>
      </c>
    </row>
    <row r="120" spans="1:26">
      <c r="A120">
        <v>48</v>
      </c>
      <c r="C120">
        <v>18.920000000000002</v>
      </c>
      <c r="W120">
        <v>83</v>
      </c>
      <c r="X120">
        <v>683</v>
      </c>
      <c r="Y120">
        <v>153</v>
      </c>
      <c r="Z120">
        <v>229</v>
      </c>
    </row>
    <row r="121" spans="1:26">
      <c r="A121">
        <v>49</v>
      </c>
      <c r="C121">
        <v>20.16</v>
      </c>
      <c r="W121">
        <v>84</v>
      </c>
      <c r="X121">
        <v>343</v>
      </c>
      <c r="Y121">
        <v>948</v>
      </c>
      <c r="Z121">
        <v>230</v>
      </c>
    </row>
    <row r="122" spans="1:26">
      <c r="A122">
        <v>50</v>
      </c>
      <c r="C122">
        <v>7.6</v>
      </c>
      <c r="W122">
        <v>85</v>
      </c>
      <c r="X122">
        <v>2803</v>
      </c>
      <c r="Y122">
        <v>555</v>
      </c>
      <c r="Z122">
        <v>234</v>
      </c>
    </row>
    <row r="123" spans="1:26">
      <c r="A123" s="87"/>
      <c r="B123" s="87"/>
      <c r="C123" s="96">
        <f>AVERAGE(C73:C122)</f>
        <v>25.623200000000001</v>
      </c>
      <c r="D123" s="87">
        <f>C123/2</f>
        <v>12.8116</v>
      </c>
      <c r="E123" s="90">
        <f>PI()*(D123^2)</f>
        <v>515.6518904512692</v>
      </c>
      <c r="F123" s="87">
        <v>600</v>
      </c>
      <c r="G123" s="97">
        <f>600*E123</f>
        <v>309391.13427076151</v>
      </c>
      <c r="H123" s="87">
        <v>420000</v>
      </c>
      <c r="I123" s="98">
        <f>(G123/H123)</f>
        <v>0.73664555778752738</v>
      </c>
      <c r="J123" s="93">
        <f>(G123/H123)*100</f>
        <v>73.664555778752742</v>
      </c>
      <c r="W123">
        <v>86</v>
      </c>
      <c r="X123">
        <v>358</v>
      </c>
      <c r="Y123">
        <v>683</v>
      </c>
      <c r="Z123">
        <v>236</v>
      </c>
    </row>
    <row r="125" spans="1:26" s="12" customFormat="1">
      <c r="W125" s="12">
        <v>87</v>
      </c>
      <c r="X125" s="12">
        <v>210</v>
      </c>
      <c r="Y125" s="12">
        <v>502</v>
      </c>
      <c r="Z125" s="12">
        <v>238</v>
      </c>
    </row>
    <row r="126" spans="1:26" s="12" customFormat="1">
      <c r="W126" s="12">
        <v>88</v>
      </c>
      <c r="X126" s="12">
        <v>102</v>
      </c>
      <c r="Y126" s="12">
        <v>1226</v>
      </c>
      <c r="Z126" s="12">
        <v>242</v>
      </c>
    </row>
    <row r="127" spans="1:26" s="12" customFormat="1">
      <c r="W127" s="12">
        <v>89</v>
      </c>
      <c r="X127" s="12">
        <v>450</v>
      </c>
      <c r="Y127" s="12">
        <v>717</v>
      </c>
      <c r="Z127" s="12">
        <v>245</v>
      </c>
    </row>
    <row r="128" spans="1:26" s="12" customFormat="1">
      <c r="W128" s="12">
        <v>90</v>
      </c>
      <c r="X128" s="12">
        <v>1153</v>
      </c>
      <c r="Y128" s="12">
        <v>1113</v>
      </c>
      <c r="Z128" s="12">
        <v>245</v>
      </c>
    </row>
    <row r="129" spans="23:26" s="12" customFormat="1">
      <c r="W129" s="12">
        <v>91</v>
      </c>
      <c r="X129" s="12">
        <v>142</v>
      </c>
      <c r="Y129" s="12">
        <v>1212</v>
      </c>
      <c r="Z129" s="12">
        <v>247</v>
      </c>
    </row>
    <row r="130" spans="23:26">
      <c r="W130">
        <v>92</v>
      </c>
      <c r="X130">
        <v>113</v>
      </c>
      <c r="Y130">
        <v>1223</v>
      </c>
      <c r="Z130">
        <v>250</v>
      </c>
    </row>
    <row r="131" spans="23:26">
      <c r="W131">
        <v>93</v>
      </c>
      <c r="X131">
        <v>149</v>
      </c>
      <c r="Y131">
        <v>806</v>
      </c>
      <c r="Z131">
        <v>254</v>
      </c>
    </row>
    <row r="132" spans="23:26">
      <c r="W132">
        <v>94</v>
      </c>
      <c r="X132">
        <v>160</v>
      </c>
      <c r="Y132">
        <v>753</v>
      </c>
      <c r="Z132">
        <v>256</v>
      </c>
    </row>
    <row r="133" spans="23:26">
      <c r="W133">
        <v>95</v>
      </c>
      <c r="X133">
        <v>939</v>
      </c>
      <c r="Y133">
        <v>773</v>
      </c>
      <c r="Z133">
        <v>258</v>
      </c>
    </row>
    <row r="134" spans="23:26">
      <c r="W134">
        <v>96</v>
      </c>
      <c r="X134">
        <v>756</v>
      </c>
      <c r="Y134">
        <v>1172</v>
      </c>
      <c r="Z134">
        <v>261</v>
      </c>
    </row>
    <row r="135" spans="23:26">
      <c r="W135">
        <v>97</v>
      </c>
      <c r="X135">
        <v>294</v>
      </c>
      <c r="Y135">
        <v>645</v>
      </c>
      <c r="Z135">
        <v>263</v>
      </c>
    </row>
    <row r="136" spans="23:26">
      <c r="W136">
        <v>98</v>
      </c>
      <c r="X136">
        <v>1580</v>
      </c>
      <c r="Y136">
        <v>198</v>
      </c>
      <c r="Z136">
        <v>265</v>
      </c>
    </row>
    <row r="137" spans="23:26">
      <c r="W137">
        <v>99</v>
      </c>
      <c r="X137">
        <v>477</v>
      </c>
      <c r="Y137">
        <v>262</v>
      </c>
      <c r="Z137">
        <v>268</v>
      </c>
    </row>
    <row r="138" spans="23:26">
      <c r="W138">
        <v>100</v>
      </c>
      <c r="X138">
        <v>123</v>
      </c>
      <c r="Y138">
        <v>854</v>
      </c>
      <c r="Z138">
        <v>268</v>
      </c>
    </row>
    <row r="139" spans="23:26">
      <c r="W139">
        <v>101</v>
      </c>
      <c r="X139">
        <v>392</v>
      </c>
      <c r="Y139">
        <v>1236</v>
      </c>
      <c r="Z139">
        <v>268</v>
      </c>
    </row>
    <row r="140" spans="23:26">
      <c r="W140">
        <v>102</v>
      </c>
      <c r="X140">
        <v>107</v>
      </c>
      <c r="Y140">
        <v>514</v>
      </c>
      <c r="Z140">
        <v>269</v>
      </c>
    </row>
    <row r="141" spans="23:26">
      <c r="W141">
        <v>103</v>
      </c>
      <c r="X141">
        <v>391</v>
      </c>
      <c r="Y141">
        <v>928</v>
      </c>
      <c r="Z141">
        <v>269</v>
      </c>
    </row>
    <row r="142" spans="23:26">
      <c r="W142">
        <v>104</v>
      </c>
      <c r="X142">
        <v>216</v>
      </c>
      <c r="Y142">
        <v>51</v>
      </c>
      <c r="Z142">
        <v>278</v>
      </c>
    </row>
    <row r="143" spans="23:26">
      <c r="W143">
        <v>105</v>
      </c>
      <c r="X143">
        <v>569</v>
      </c>
      <c r="Y143">
        <v>161</v>
      </c>
      <c r="Z143">
        <v>279</v>
      </c>
    </row>
    <row r="144" spans="23:26">
      <c r="W144">
        <v>106</v>
      </c>
      <c r="X144">
        <v>159</v>
      </c>
      <c r="Y144">
        <v>733</v>
      </c>
      <c r="Z144">
        <v>280</v>
      </c>
    </row>
    <row r="145" spans="23:26">
      <c r="W145">
        <v>107</v>
      </c>
      <c r="X145">
        <v>1221</v>
      </c>
      <c r="Y145">
        <v>551</v>
      </c>
      <c r="Z145">
        <v>288</v>
      </c>
    </row>
    <row r="146" spans="23:26">
      <c r="W146">
        <v>108</v>
      </c>
      <c r="X146">
        <v>924</v>
      </c>
      <c r="Y146">
        <v>842</v>
      </c>
      <c r="Z146">
        <v>289</v>
      </c>
    </row>
    <row r="147" spans="23:26">
      <c r="W147">
        <v>109</v>
      </c>
      <c r="X147">
        <v>140</v>
      </c>
      <c r="Y147">
        <v>93</v>
      </c>
      <c r="Z147">
        <v>290</v>
      </c>
    </row>
    <row r="148" spans="23:26">
      <c r="W148">
        <v>110</v>
      </c>
      <c r="X148">
        <v>2982</v>
      </c>
      <c r="Y148">
        <v>667</v>
      </c>
      <c r="Z148">
        <v>291</v>
      </c>
    </row>
    <row r="149" spans="23:26">
      <c r="W149">
        <v>111</v>
      </c>
      <c r="X149">
        <v>173</v>
      </c>
      <c r="Y149">
        <v>883</v>
      </c>
      <c r="Z149">
        <v>293</v>
      </c>
    </row>
    <row r="150" spans="23:26">
      <c r="W150">
        <v>112</v>
      </c>
      <c r="X150">
        <v>233</v>
      </c>
      <c r="Y150">
        <v>569</v>
      </c>
      <c r="Z150">
        <v>294</v>
      </c>
    </row>
    <row r="151" spans="23:26">
      <c r="W151">
        <v>113</v>
      </c>
      <c r="X151">
        <v>1502</v>
      </c>
      <c r="Y151">
        <v>291</v>
      </c>
      <c r="Z151">
        <v>298</v>
      </c>
    </row>
    <row r="152" spans="23:26">
      <c r="W152">
        <v>114</v>
      </c>
      <c r="X152">
        <v>103</v>
      </c>
      <c r="Y152">
        <v>1206</v>
      </c>
      <c r="Z152">
        <v>299</v>
      </c>
    </row>
    <row r="153" spans="23:26">
      <c r="W153">
        <v>115</v>
      </c>
      <c r="X153">
        <v>276</v>
      </c>
      <c r="Y153">
        <v>233</v>
      </c>
      <c r="Z153">
        <v>301</v>
      </c>
    </row>
    <row r="154" spans="23:26">
      <c r="W154">
        <v>116</v>
      </c>
      <c r="X154">
        <v>799</v>
      </c>
      <c r="Y154">
        <v>917</v>
      </c>
      <c r="Z154">
        <v>302</v>
      </c>
    </row>
    <row r="155" spans="23:26">
      <c r="W155">
        <v>117</v>
      </c>
      <c r="X155">
        <v>4693</v>
      </c>
      <c r="Y155">
        <v>514</v>
      </c>
      <c r="Z155">
        <v>305</v>
      </c>
    </row>
    <row r="156" spans="23:26">
      <c r="W156">
        <v>118</v>
      </c>
      <c r="X156">
        <v>183</v>
      </c>
      <c r="Y156">
        <v>113</v>
      </c>
      <c r="Z156">
        <v>310</v>
      </c>
    </row>
    <row r="157" spans="23:26">
      <c r="W157">
        <v>119</v>
      </c>
      <c r="X157">
        <v>6073</v>
      </c>
      <c r="Y157">
        <v>1105</v>
      </c>
      <c r="Z157">
        <v>310</v>
      </c>
    </row>
    <row r="158" spans="23:26">
      <c r="W158">
        <v>120</v>
      </c>
      <c r="X158">
        <v>488</v>
      </c>
      <c r="Y158">
        <v>882</v>
      </c>
      <c r="Z158">
        <v>313</v>
      </c>
    </row>
    <row r="159" spans="23:26">
      <c r="W159">
        <v>121</v>
      </c>
      <c r="X159">
        <v>419</v>
      </c>
      <c r="Y159">
        <v>17</v>
      </c>
      <c r="Z159">
        <v>317</v>
      </c>
    </row>
    <row r="160" spans="23:26">
      <c r="W160">
        <v>122</v>
      </c>
      <c r="X160">
        <v>14432</v>
      </c>
      <c r="Y160">
        <v>418</v>
      </c>
      <c r="Z160">
        <v>317</v>
      </c>
    </row>
    <row r="161" spans="23:26">
      <c r="W161">
        <v>123</v>
      </c>
      <c r="X161">
        <v>146</v>
      </c>
      <c r="Y161">
        <v>983</v>
      </c>
      <c r="Z161">
        <v>317</v>
      </c>
    </row>
    <row r="162" spans="23:26">
      <c r="W162">
        <v>124</v>
      </c>
      <c r="X162">
        <v>180</v>
      </c>
      <c r="Y162">
        <v>1226</v>
      </c>
      <c r="Z162">
        <v>317</v>
      </c>
    </row>
    <row r="163" spans="23:26">
      <c r="W163">
        <v>125</v>
      </c>
      <c r="X163">
        <v>498</v>
      </c>
      <c r="Y163">
        <v>734</v>
      </c>
      <c r="Z163">
        <v>318</v>
      </c>
    </row>
    <row r="164" spans="23:26">
      <c r="W164">
        <v>126</v>
      </c>
      <c r="X164">
        <v>106</v>
      </c>
      <c r="Y164">
        <v>260</v>
      </c>
      <c r="Z164">
        <v>319</v>
      </c>
    </row>
    <row r="165" spans="23:26">
      <c r="W165">
        <v>127</v>
      </c>
      <c r="X165">
        <v>476</v>
      </c>
      <c r="Y165">
        <v>232</v>
      </c>
      <c r="Z165">
        <v>325</v>
      </c>
    </row>
    <row r="166" spans="23:26">
      <c r="W166">
        <v>128</v>
      </c>
      <c r="X166">
        <v>246</v>
      </c>
      <c r="Y166">
        <v>199</v>
      </c>
      <c r="Z166">
        <v>328</v>
      </c>
    </row>
    <row r="167" spans="23:26">
      <c r="W167">
        <v>129</v>
      </c>
      <c r="X167">
        <v>485</v>
      </c>
      <c r="Y167">
        <v>129</v>
      </c>
      <c r="Z167">
        <v>329</v>
      </c>
    </row>
    <row r="168" spans="23:26">
      <c r="W168">
        <v>130</v>
      </c>
      <c r="X168">
        <v>689</v>
      </c>
      <c r="Y168">
        <v>1250</v>
      </c>
      <c r="Z168">
        <v>329</v>
      </c>
    </row>
    <row r="169" spans="23:26">
      <c r="W169">
        <v>131</v>
      </c>
      <c r="X169">
        <v>154</v>
      </c>
      <c r="Y169">
        <v>350</v>
      </c>
      <c r="Z169">
        <v>333</v>
      </c>
    </row>
    <row r="170" spans="23:26">
      <c r="W170">
        <v>132</v>
      </c>
      <c r="X170">
        <v>253</v>
      </c>
      <c r="Y170">
        <v>82</v>
      </c>
      <c r="Z170">
        <v>334</v>
      </c>
    </row>
    <row r="171" spans="23:26">
      <c r="W171">
        <v>133</v>
      </c>
      <c r="X171">
        <v>134</v>
      </c>
      <c r="Y171">
        <v>777</v>
      </c>
      <c r="Z171">
        <v>334</v>
      </c>
    </row>
    <row r="172" spans="23:26">
      <c r="W172">
        <v>134</v>
      </c>
      <c r="X172">
        <v>174</v>
      </c>
      <c r="Y172">
        <v>165</v>
      </c>
      <c r="Z172">
        <v>337</v>
      </c>
    </row>
    <row r="173" spans="23:26">
      <c r="W173">
        <v>135</v>
      </c>
      <c r="X173">
        <v>1424</v>
      </c>
      <c r="Y173">
        <v>834</v>
      </c>
      <c r="Z173">
        <v>339</v>
      </c>
    </row>
    <row r="174" spans="23:26">
      <c r="W174">
        <v>136</v>
      </c>
      <c r="X174">
        <v>163</v>
      </c>
      <c r="Y174">
        <v>791</v>
      </c>
      <c r="Z174">
        <v>354</v>
      </c>
    </row>
    <row r="175" spans="23:26">
      <c r="W175">
        <v>137</v>
      </c>
      <c r="X175">
        <v>787</v>
      </c>
      <c r="Y175">
        <v>50</v>
      </c>
      <c r="Z175">
        <v>355</v>
      </c>
    </row>
    <row r="176" spans="23:26">
      <c r="W176">
        <v>138</v>
      </c>
      <c r="X176">
        <v>900</v>
      </c>
      <c r="Y176">
        <v>764</v>
      </c>
      <c r="Z176">
        <v>356</v>
      </c>
    </row>
    <row r="177" spans="23:26">
      <c r="W177">
        <v>139</v>
      </c>
      <c r="X177">
        <v>2469</v>
      </c>
      <c r="Y177">
        <v>611</v>
      </c>
      <c r="Z177">
        <v>367</v>
      </c>
    </row>
    <row r="178" spans="23:26">
      <c r="W178">
        <v>140</v>
      </c>
      <c r="X178">
        <v>207</v>
      </c>
      <c r="Y178">
        <v>434</v>
      </c>
      <c r="Z178">
        <v>368</v>
      </c>
    </row>
    <row r="179" spans="23:26">
      <c r="W179">
        <v>141</v>
      </c>
      <c r="X179">
        <v>111</v>
      </c>
      <c r="Y179">
        <v>920</v>
      </c>
      <c r="Z179">
        <v>369</v>
      </c>
    </row>
    <row r="180" spans="23:26">
      <c r="W180">
        <v>142</v>
      </c>
      <c r="X180">
        <v>631</v>
      </c>
      <c r="Y180">
        <v>225</v>
      </c>
      <c r="Z180">
        <v>372</v>
      </c>
    </row>
    <row r="181" spans="23:26">
      <c r="W181">
        <v>143</v>
      </c>
      <c r="X181">
        <v>144</v>
      </c>
      <c r="Y181">
        <v>72</v>
      </c>
      <c r="Z181">
        <v>374</v>
      </c>
    </row>
    <row r="182" spans="23:26">
      <c r="W182">
        <v>144</v>
      </c>
      <c r="X182">
        <v>134</v>
      </c>
      <c r="Y182">
        <v>152</v>
      </c>
      <c r="Z182">
        <v>381</v>
      </c>
    </row>
    <row r="183" spans="23:26">
      <c r="W183">
        <v>145</v>
      </c>
      <c r="X183">
        <v>407</v>
      </c>
      <c r="Y183">
        <v>288</v>
      </c>
      <c r="Z183">
        <v>382</v>
      </c>
    </row>
    <row r="184" spans="23:26">
      <c r="W184">
        <v>146</v>
      </c>
      <c r="X184">
        <v>640</v>
      </c>
      <c r="Y184">
        <v>889</v>
      </c>
      <c r="Z184">
        <v>383</v>
      </c>
    </row>
    <row r="185" spans="23:26">
      <c r="W185">
        <v>147</v>
      </c>
      <c r="X185">
        <v>1195</v>
      </c>
      <c r="Y185">
        <v>264</v>
      </c>
      <c r="Z185">
        <v>386</v>
      </c>
    </row>
    <row r="186" spans="23:26">
      <c r="W186">
        <v>148</v>
      </c>
      <c r="X186">
        <v>437</v>
      </c>
      <c r="Y186">
        <v>584</v>
      </c>
      <c r="Z186">
        <v>387</v>
      </c>
    </row>
    <row r="187" spans="23:26">
      <c r="W187">
        <v>149</v>
      </c>
      <c r="X187">
        <v>434</v>
      </c>
      <c r="Y187">
        <v>728</v>
      </c>
      <c r="Z187">
        <v>390</v>
      </c>
    </row>
    <row r="188" spans="23:26">
      <c r="W188">
        <v>150</v>
      </c>
      <c r="X188">
        <v>148</v>
      </c>
      <c r="Y188">
        <v>151</v>
      </c>
      <c r="Z188">
        <v>398</v>
      </c>
    </row>
    <row r="189" spans="23:26">
      <c r="W189">
        <v>151</v>
      </c>
      <c r="X189">
        <v>276</v>
      </c>
      <c r="Y189">
        <v>183</v>
      </c>
      <c r="Z189">
        <v>399</v>
      </c>
    </row>
    <row r="190" spans="23:26">
      <c r="W190">
        <v>152</v>
      </c>
      <c r="X190">
        <v>117</v>
      </c>
      <c r="Y190">
        <v>556</v>
      </c>
      <c r="Z190">
        <v>399</v>
      </c>
    </row>
    <row r="191" spans="23:26">
      <c r="W191">
        <v>153</v>
      </c>
      <c r="X191">
        <v>2187</v>
      </c>
      <c r="Y191">
        <v>1054</v>
      </c>
      <c r="Z191">
        <v>401</v>
      </c>
    </row>
    <row r="192" spans="23:26">
      <c r="W192">
        <v>154</v>
      </c>
      <c r="X192">
        <v>318</v>
      </c>
      <c r="Y192">
        <v>811</v>
      </c>
      <c r="Z192">
        <v>404</v>
      </c>
    </row>
    <row r="193" spans="23:26">
      <c r="W193">
        <v>155</v>
      </c>
      <c r="X193">
        <v>946</v>
      </c>
      <c r="Y193">
        <v>41</v>
      </c>
      <c r="Z193">
        <v>406</v>
      </c>
    </row>
    <row r="194" spans="23:26">
      <c r="W194">
        <v>156</v>
      </c>
      <c r="X194">
        <v>303</v>
      </c>
      <c r="Y194">
        <v>62</v>
      </c>
      <c r="Z194">
        <v>407</v>
      </c>
    </row>
    <row r="195" spans="23:26">
      <c r="W195">
        <v>157</v>
      </c>
      <c r="X195">
        <v>419</v>
      </c>
      <c r="Y195">
        <v>217</v>
      </c>
      <c r="Z195">
        <v>408</v>
      </c>
    </row>
    <row r="196" spans="23:26">
      <c r="W196">
        <v>158</v>
      </c>
      <c r="X196">
        <v>2804</v>
      </c>
      <c r="Y196">
        <v>162</v>
      </c>
      <c r="Z196">
        <v>412</v>
      </c>
    </row>
    <row r="197" spans="23:26">
      <c r="W197">
        <v>159</v>
      </c>
      <c r="X197">
        <v>108</v>
      </c>
      <c r="Y197">
        <v>780</v>
      </c>
      <c r="Z197">
        <v>414</v>
      </c>
    </row>
    <row r="198" spans="23:26">
      <c r="W198">
        <v>160</v>
      </c>
      <c r="X198">
        <v>1116</v>
      </c>
      <c r="Y198">
        <v>620</v>
      </c>
      <c r="Z198">
        <v>416</v>
      </c>
    </row>
    <row r="199" spans="23:26">
      <c r="W199">
        <v>161</v>
      </c>
      <c r="X199">
        <v>3363</v>
      </c>
      <c r="Y199">
        <v>527</v>
      </c>
      <c r="Z199">
        <v>418</v>
      </c>
    </row>
    <row r="200" spans="23:26">
      <c r="W200">
        <v>162</v>
      </c>
      <c r="X200">
        <v>189</v>
      </c>
      <c r="Y200">
        <v>1201</v>
      </c>
      <c r="Z200">
        <v>423</v>
      </c>
    </row>
    <row r="201" spans="23:26">
      <c r="W201">
        <v>163</v>
      </c>
      <c r="X201">
        <v>1112</v>
      </c>
      <c r="Y201">
        <v>90</v>
      </c>
      <c r="Z201">
        <v>426</v>
      </c>
    </row>
    <row r="202" spans="23:26">
      <c r="W202">
        <v>164</v>
      </c>
      <c r="X202">
        <v>282</v>
      </c>
      <c r="Y202">
        <v>790</v>
      </c>
      <c r="Z202">
        <v>427</v>
      </c>
    </row>
    <row r="203" spans="23:26">
      <c r="W203">
        <v>165</v>
      </c>
      <c r="X203">
        <v>1089</v>
      </c>
      <c r="Y203">
        <v>851</v>
      </c>
      <c r="Z203">
        <v>434</v>
      </c>
    </row>
    <row r="204" spans="23:26">
      <c r="W204">
        <v>166</v>
      </c>
      <c r="X204">
        <v>298</v>
      </c>
      <c r="Y204">
        <v>1170</v>
      </c>
      <c r="Z204">
        <v>436</v>
      </c>
    </row>
    <row r="205" spans="23:26">
      <c r="W205">
        <v>167</v>
      </c>
      <c r="X205">
        <v>353</v>
      </c>
      <c r="Y205">
        <v>1137</v>
      </c>
      <c r="Z205">
        <v>441</v>
      </c>
    </row>
    <row r="206" spans="23:26">
      <c r="W206">
        <v>168</v>
      </c>
      <c r="X206">
        <v>963</v>
      </c>
      <c r="Y206">
        <v>232</v>
      </c>
      <c r="Z206">
        <v>444</v>
      </c>
    </row>
    <row r="207" spans="23:26">
      <c r="W207">
        <v>169</v>
      </c>
      <c r="X207">
        <v>175</v>
      </c>
      <c r="Y207">
        <v>34</v>
      </c>
      <c r="Z207">
        <v>451</v>
      </c>
    </row>
    <row r="208" spans="23:26">
      <c r="W208">
        <v>170</v>
      </c>
      <c r="X208">
        <v>960</v>
      </c>
      <c r="Y208">
        <v>673</v>
      </c>
      <c r="Z208">
        <v>451</v>
      </c>
    </row>
    <row r="209" spans="23:26">
      <c r="W209">
        <v>171</v>
      </c>
      <c r="X209">
        <v>1995</v>
      </c>
      <c r="Y209">
        <v>1022</v>
      </c>
      <c r="Z209">
        <v>451</v>
      </c>
    </row>
    <row r="210" spans="23:26">
      <c r="W210">
        <v>172</v>
      </c>
      <c r="X210">
        <v>374</v>
      </c>
      <c r="Y210">
        <v>1213</v>
      </c>
      <c r="Z210">
        <v>452</v>
      </c>
    </row>
    <row r="211" spans="23:26">
      <c r="W211">
        <v>173</v>
      </c>
      <c r="X211">
        <v>340</v>
      </c>
      <c r="Y211">
        <v>728</v>
      </c>
      <c r="Z211">
        <v>456</v>
      </c>
    </row>
    <row r="212" spans="23:26">
      <c r="W212">
        <v>174</v>
      </c>
      <c r="X212">
        <v>7270</v>
      </c>
      <c r="Y212">
        <v>921</v>
      </c>
      <c r="Z212">
        <v>465</v>
      </c>
    </row>
    <row r="213" spans="23:26">
      <c r="W213">
        <v>175</v>
      </c>
      <c r="X213">
        <v>129</v>
      </c>
      <c r="Y213">
        <v>130</v>
      </c>
      <c r="Z213">
        <v>466</v>
      </c>
    </row>
    <row r="214" spans="23:26">
      <c r="W214">
        <v>176</v>
      </c>
      <c r="X214">
        <v>221</v>
      </c>
      <c r="Y214">
        <v>303</v>
      </c>
      <c r="Z214">
        <v>467</v>
      </c>
    </row>
    <row r="215" spans="23:26">
      <c r="W215">
        <v>177</v>
      </c>
      <c r="X215">
        <v>140</v>
      </c>
      <c r="Y215">
        <v>76</v>
      </c>
      <c r="Z215">
        <v>468</v>
      </c>
    </row>
    <row r="216" spans="23:26">
      <c r="W216">
        <v>178</v>
      </c>
      <c r="X216">
        <v>410</v>
      </c>
      <c r="Y216">
        <v>424</v>
      </c>
      <c r="Z216">
        <v>470</v>
      </c>
    </row>
    <row r="217" spans="23:26">
      <c r="W217">
        <v>179</v>
      </c>
      <c r="X217">
        <v>367</v>
      </c>
      <c r="Y217">
        <v>767</v>
      </c>
      <c r="Z217">
        <v>476</v>
      </c>
    </row>
    <row r="218" spans="23:26">
      <c r="W218">
        <v>180</v>
      </c>
      <c r="X218">
        <v>597</v>
      </c>
      <c r="Y218">
        <v>1158</v>
      </c>
      <c r="Z218">
        <v>476</v>
      </c>
    </row>
    <row r="219" spans="23:26">
      <c r="W219">
        <v>181</v>
      </c>
      <c r="X219">
        <v>164</v>
      </c>
      <c r="Y219">
        <v>1100</v>
      </c>
      <c r="Z219">
        <v>481</v>
      </c>
    </row>
    <row r="220" spans="23:26">
      <c r="W220">
        <v>182</v>
      </c>
      <c r="X220">
        <v>2662</v>
      </c>
      <c r="Y220">
        <v>214</v>
      </c>
      <c r="Z220">
        <v>486</v>
      </c>
    </row>
    <row r="221" spans="23:26">
      <c r="W221">
        <v>183</v>
      </c>
      <c r="X221">
        <v>312</v>
      </c>
      <c r="Y221">
        <v>784</v>
      </c>
      <c r="Z221">
        <v>486</v>
      </c>
    </row>
    <row r="222" spans="23:26">
      <c r="W222">
        <v>184</v>
      </c>
      <c r="X222">
        <v>197</v>
      </c>
      <c r="Y222">
        <v>32</v>
      </c>
      <c r="Z222">
        <v>487</v>
      </c>
    </row>
    <row r="223" spans="23:26">
      <c r="W223">
        <v>185</v>
      </c>
      <c r="X223">
        <v>328</v>
      </c>
      <c r="Y223">
        <v>627</v>
      </c>
      <c r="Z223">
        <v>487</v>
      </c>
    </row>
    <row r="224" spans="23:26">
      <c r="W224">
        <v>186</v>
      </c>
      <c r="X224">
        <v>435</v>
      </c>
      <c r="Y224">
        <v>833</v>
      </c>
      <c r="Z224">
        <v>489</v>
      </c>
    </row>
    <row r="225" spans="23:26">
      <c r="W225">
        <v>187</v>
      </c>
      <c r="X225">
        <v>1343</v>
      </c>
      <c r="Y225">
        <v>458</v>
      </c>
      <c r="Z225">
        <v>490</v>
      </c>
    </row>
    <row r="226" spans="23:26">
      <c r="W226">
        <v>188</v>
      </c>
      <c r="X226">
        <v>420</v>
      </c>
      <c r="Y226">
        <v>49</v>
      </c>
      <c r="Z226">
        <v>495</v>
      </c>
    </row>
    <row r="227" spans="23:26">
      <c r="W227">
        <v>189</v>
      </c>
      <c r="X227">
        <v>535</v>
      </c>
      <c r="Y227">
        <v>249</v>
      </c>
      <c r="Z227">
        <v>500</v>
      </c>
    </row>
    <row r="228" spans="23:26">
      <c r="W228">
        <v>190</v>
      </c>
      <c r="X228">
        <v>2401</v>
      </c>
      <c r="Y228">
        <v>722</v>
      </c>
      <c r="Z228">
        <v>508</v>
      </c>
    </row>
    <row r="229" spans="23:26">
      <c r="W229">
        <v>191</v>
      </c>
      <c r="X229">
        <v>233</v>
      </c>
      <c r="Y229">
        <v>1090</v>
      </c>
      <c r="Z229">
        <v>517</v>
      </c>
    </row>
    <row r="230" spans="23:26">
      <c r="W230">
        <v>192</v>
      </c>
      <c r="X230">
        <v>789</v>
      </c>
      <c r="Y230">
        <v>765</v>
      </c>
      <c r="Z230">
        <v>519</v>
      </c>
    </row>
    <row r="231" spans="23:26">
      <c r="W231">
        <v>193</v>
      </c>
      <c r="X231">
        <v>194</v>
      </c>
      <c r="Y231">
        <v>820</v>
      </c>
      <c r="Z231">
        <v>521</v>
      </c>
    </row>
    <row r="232" spans="23:26">
      <c r="W232">
        <v>194</v>
      </c>
      <c r="X232">
        <v>619</v>
      </c>
      <c r="Y232">
        <v>526</v>
      </c>
      <c r="Z232">
        <v>524</v>
      </c>
    </row>
    <row r="233" spans="23:26">
      <c r="W233">
        <v>195</v>
      </c>
      <c r="X233">
        <v>241</v>
      </c>
      <c r="Y233">
        <v>474</v>
      </c>
      <c r="Z233">
        <v>528</v>
      </c>
    </row>
    <row r="234" spans="23:26">
      <c r="W234">
        <v>196</v>
      </c>
      <c r="X234">
        <v>116</v>
      </c>
      <c r="Y234">
        <v>1129</v>
      </c>
      <c r="Z234">
        <v>531</v>
      </c>
    </row>
    <row r="235" spans="23:26">
      <c r="W235">
        <v>197</v>
      </c>
      <c r="X235">
        <v>1075</v>
      </c>
      <c r="Y235">
        <v>275</v>
      </c>
      <c r="Z235">
        <v>535</v>
      </c>
    </row>
    <row r="236" spans="23:26">
      <c r="W236">
        <v>198</v>
      </c>
      <c r="X236">
        <v>1171</v>
      </c>
      <c r="Y236">
        <v>96</v>
      </c>
      <c r="Z236">
        <v>537</v>
      </c>
    </row>
    <row r="237" spans="23:26">
      <c r="W237">
        <v>199</v>
      </c>
      <c r="X237">
        <v>1221</v>
      </c>
      <c r="Y237">
        <v>814</v>
      </c>
      <c r="Z237">
        <v>543</v>
      </c>
    </row>
    <row r="238" spans="23:26">
      <c r="W238">
        <v>200</v>
      </c>
      <c r="X238">
        <v>5473</v>
      </c>
      <c r="Y238">
        <v>473</v>
      </c>
      <c r="Z238">
        <v>557</v>
      </c>
    </row>
    <row r="239" spans="23:26">
      <c r="W239">
        <v>201</v>
      </c>
      <c r="X239">
        <v>183</v>
      </c>
      <c r="Y239">
        <v>853</v>
      </c>
      <c r="Z239">
        <v>558</v>
      </c>
    </row>
    <row r="240" spans="23:26">
      <c r="W240">
        <v>202</v>
      </c>
      <c r="X240">
        <v>4994</v>
      </c>
      <c r="Y240">
        <v>615</v>
      </c>
      <c r="Z240">
        <v>560</v>
      </c>
    </row>
    <row r="241" spans="23:26">
      <c r="W241">
        <v>203</v>
      </c>
      <c r="X241">
        <v>285</v>
      </c>
      <c r="Y241">
        <v>714</v>
      </c>
      <c r="Z241">
        <v>569</v>
      </c>
    </row>
    <row r="242" spans="23:26">
      <c r="W242">
        <v>204</v>
      </c>
      <c r="X242">
        <v>527</v>
      </c>
      <c r="Y242">
        <v>737</v>
      </c>
      <c r="Z242">
        <v>576</v>
      </c>
    </row>
    <row r="243" spans="23:26">
      <c r="W243">
        <v>205</v>
      </c>
      <c r="X243">
        <v>701</v>
      </c>
      <c r="Y243">
        <v>1190</v>
      </c>
      <c r="Z243">
        <v>576</v>
      </c>
    </row>
    <row r="244" spans="23:26">
      <c r="W244">
        <v>206</v>
      </c>
      <c r="X244">
        <v>2502</v>
      </c>
      <c r="Y244">
        <v>859</v>
      </c>
      <c r="Z244">
        <v>586</v>
      </c>
    </row>
    <row r="245" spans="23:26">
      <c r="W245">
        <v>207</v>
      </c>
      <c r="X245">
        <v>4610</v>
      </c>
      <c r="Y245">
        <v>778</v>
      </c>
      <c r="Z245">
        <v>596</v>
      </c>
    </row>
    <row r="246" spans="23:26">
      <c r="W246">
        <v>208</v>
      </c>
      <c r="X246">
        <v>273</v>
      </c>
      <c r="Y246">
        <v>799</v>
      </c>
      <c r="Z246">
        <v>598</v>
      </c>
    </row>
    <row r="247" spans="23:26">
      <c r="W247">
        <v>209</v>
      </c>
      <c r="X247">
        <v>567</v>
      </c>
      <c r="Y247">
        <v>715</v>
      </c>
      <c r="Z247">
        <v>600</v>
      </c>
    </row>
    <row r="248" spans="23:26">
      <c r="W248">
        <v>210</v>
      </c>
      <c r="X248">
        <v>9595</v>
      </c>
      <c r="Y248">
        <v>950</v>
      </c>
      <c r="Z248">
        <v>604</v>
      </c>
    </row>
    <row r="249" spans="23:26">
      <c r="W249">
        <v>211</v>
      </c>
      <c r="X249">
        <v>1188</v>
      </c>
      <c r="Y249">
        <v>253</v>
      </c>
      <c r="Z249">
        <v>605</v>
      </c>
    </row>
    <row r="250" spans="23:26">
      <c r="W250">
        <v>212</v>
      </c>
      <c r="X250">
        <v>259</v>
      </c>
      <c r="Y250">
        <v>1154</v>
      </c>
      <c r="Z250">
        <v>615</v>
      </c>
    </row>
    <row r="251" spans="23:26">
      <c r="W251">
        <v>213</v>
      </c>
      <c r="X251">
        <v>645</v>
      </c>
      <c r="Y251">
        <v>1119</v>
      </c>
      <c r="Z251">
        <v>619</v>
      </c>
    </row>
    <row r="252" spans="23:26">
      <c r="W252">
        <v>214</v>
      </c>
      <c r="X252">
        <v>451</v>
      </c>
      <c r="Y252">
        <v>326</v>
      </c>
      <c r="Z252">
        <v>622</v>
      </c>
    </row>
    <row r="253" spans="23:26">
      <c r="W253">
        <v>215</v>
      </c>
      <c r="X253">
        <v>707</v>
      </c>
      <c r="Y253">
        <v>1092</v>
      </c>
      <c r="Z253">
        <v>626</v>
      </c>
    </row>
    <row r="254" spans="23:26">
      <c r="W254">
        <v>216</v>
      </c>
      <c r="X254">
        <v>264</v>
      </c>
      <c r="Y254">
        <v>1199</v>
      </c>
      <c r="Z254">
        <v>645</v>
      </c>
    </row>
    <row r="255" spans="23:26">
      <c r="W255">
        <v>217</v>
      </c>
      <c r="X255">
        <v>169</v>
      </c>
      <c r="Y255">
        <v>996</v>
      </c>
      <c r="Z255">
        <v>649</v>
      </c>
    </row>
    <row r="256" spans="23:26">
      <c r="W256">
        <v>218</v>
      </c>
      <c r="X256">
        <v>1029</v>
      </c>
      <c r="Y256">
        <v>144</v>
      </c>
      <c r="Z256">
        <v>651</v>
      </c>
    </row>
    <row r="257" spans="23:26">
      <c r="W257">
        <v>219</v>
      </c>
      <c r="X257">
        <v>185</v>
      </c>
      <c r="Y257">
        <v>299</v>
      </c>
      <c r="Z257">
        <v>660</v>
      </c>
    </row>
    <row r="258" spans="23:26">
      <c r="W258">
        <v>220</v>
      </c>
      <c r="X258">
        <v>188</v>
      </c>
      <c r="Y258">
        <v>340</v>
      </c>
      <c r="Z258">
        <v>660</v>
      </c>
    </row>
    <row r="259" spans="23:26">
      <c r="W259">
        <v>221</v>
      </c>
      <c r="X259">
        <v>1326</v>
      </c>
      <c r="Y259">
        <v>1172</v>
      </c>
      <c r="Z259">
        <v>661</v>
      </c>
    </row>
    <row r="260" spans="23:26">
      <c r="W260">
        <v>222</v>
      </c>
      <c r="X260">
        <v>232</v>
      </c>
      <c r="Y260">
        <v>1132</v>
      </c>
      <c r="Z260">
        <v>665</v>
      </c>
    </row>
    <row r="261" spans="23:26">
      <c r="W261">
        <v>223</v>
      </c>
      <c r="X261">
        <v>279</v>
      </c>
      <c r="Y261">
        <v>254</v>
      </c>
      <c r="Z261">
        <v>666</v>
      </c>
    </row>
    <row r="262" spans="23:26">
      <c r="W262">
        <v>224</v>
      </c>
      <c r="X262">
        <v>192</v>
      </c>
      <c r="Y262">
        <v>116</v>
      </c>
      <c r="Z262">
        <v>670</v>
      </c>
    </row>
    <row r="263" spans="23:26">
      <c r="W263">
        <v>225</v>
      </c>
      <c r="X263">
        <v>438</v>
      </c>
      <c r="Y263">
        <v>1063</v>
      </c>
      <c r="Z263">
        <v>670</v>
      </c>
    </row>
    <row r="264" spans="23:26">
      <c r="W264">
        <v>226</v>
      </c>
      <c r="X264">
        <v>4021</v>
      </c>
      <c r="Y264">
        <v>418</v>
      </c>
      <c r="Z264">
        <v>676</v>
      </c>
    </row>
    <row r="265" spans="23:26">
      <c r="W265">
        <v>227</v>
      </c>
      <c r="X265">
        <v>157</v>
      </c>
      <c r="Y265">
        <v>858</v>
      </c>
      <c r="Z265">
        <v>676</v>
      </c>
    </row>
    <row r="266" spans="23:26">
      <c r="W266">
        <v>228</v>
      </c>
      <c r="X266">
        <v>107</v>
      </c>
      <c r="Y266">
        <v>872</v>
      </c>
      <c r="Z266">
        <v>677</v>
      </c>
    </row>
    <row r="267" spans="23:26">
      <c r="W267">
        <v>229</v>
      </c>
      <c r="X267">
        <v>109</v>
      </c>
      <c r="Y267">
        <v>387</v>
      </c>
      <c r="Z267">
        <v>680</v>
      </c>
    </row>
    <row r="268" spans="23:26">
      <c r="W268">
        <v>230</v>
      </c>
      <c r="X268">
        <v>196</v>
      </c>
      <c r="Y268">
        <v>345</v>
      </c>
      <c r="Z268">
        <v>687</v>
      </c>
    </row>
    <row r="269" spans="23:26">
      <c r="W269">
        <v>231</v>
      </c>
      <c r="X269">
        <v>598</v>
      </c>
      <c r="Y269">
        <v>526</v>
      </c>
      <c r="Z269">
        <v>688</v>
      </c>
    </row>
    <row r="270" spans="23:26">
      <c r="W270">
        <v>232</v>
      </c>
      <c r="X270">
        <v>619</v>
      </c>
      <c r="Y270">
        <v>1114</v>
      </c>
      <c r="Z270">
        <v>688</v>
      </c>
    </row>
    <row r="271" spans="23:26">
      <c r="W271">
        <v>233</v>
      </c>
      <c r="X271">
        <v>452</v>
      </c>
      <c r="Y271">
        <v>381</v>
      </c>
      <c r="Z271">
        <v>691</v>
      </c>
    </row>
    <row r="272" spans="23:26">
      <c r="W272">
        <v>234</v>
      </c>
      <c r="X272">
        <v>732</v>
      </c>
      <c r="Y272">
        <v>289</v>
      </c>
      <c r="Z272">
        <v>692</v>
      </c>
    </row>
    <row r="273" spans="23:26">
      <c r="W273">
        <v>235</v>
      </c>
      <c r="X273">
        <v>170</v>
      </c>
      <c r="Y273">
        <v>617</v>
      </c>
      <c r="Z273">
        <v>694</v>
      </c>
    </row>
    <row r="274" spans="23:26">
      <c r="W274">
        <v>236</v>
      </c>
      <c r="X274">
        <v>215</v>
      </c>
      <c r="Y274">
        <v>250</v>
      </c>
      <c r="Z274">
        <v>698</v>
      </c>
    </row>
    <row r="275" spans="23:26">
      <c r="W275">
        <v>237</v>
      </c>
      <c r="X275">
        <v>2188</v>
      </c>
      <c r="Y275">
        <v>218</v>
      </c>
      <c r="Z275">
        <v>703</v>
      </c>
    </row>
    <row r="276" spans="23:26">
      <c r="W276">
        <v>238</v>
      </c>
      <c r="X276">
        <v>169</v>
      </c>
      <c r="Y276">
        <v>638</v>
      </c>
      <c r="Z276">
        <v>705</v>
      </c>
    </row>
    <row r="277" spans="23:26">
      <c r="W277">
        <v>239</v>
      </c>
      <c r="X277">
        <v>8717</v>
      </c>
      <c r="Y277">
        <v>723</v>
      </c>
      <c r="Z277">
        <v>705</v>
      </c>
    </row>
    <row r="278" spans="23:26">
      <c r="W278">
        <v>240</v>
      </c>
      <c r="X278">
        <v>3684</v>
      </c>
      <c r="Y278">
        <v>887</v>
      </c>
      <c r="Z278">
        <v>711</v>
      </c>
    </row>
    <row r="279" spans="23:26">
      <c r="W279">
        <v>241</v>
      </c>
      <c r="X279">
        <v>202</v>
      </c>
      <c r="Y279">
        <v>405</v>
      </c>
      <c r="Z279">
        <v>716</v>
      </c>
    </row>
    <row r="280" spans="23:26">
      <c r="W280">
        <v>242</v>
      </c>
      <c r="X280">
        <v>2338</v>
      </c>
      <c r="Y280">
        <v>176</v>
      </c>
      <c r="Z280">
        <v>718</v>
      </c>
    </row>
    <row r="281" spans="23:26">
      <c r="W281">
        <v>243</v>
      </c>
      <c r="X281">
        <v>131</v>
      </c>
      <c r="Y281">
        <v>500</v>
      </c>
      <c r="Z281">
        <v>719</v>
      </c>
    </row>
    <row r="282" spans="23:26">
      <c r="W282">
        <v>244</v>
      </c>
      <c r="X282">
        <v>1180</v>
      </c>
      <c r="Y282">
        <v>388</v>
      </c>
      <c r="Z282">
        <v>720</v>
      </c>
    </row>
    <row r="283" spans="23:26">
      <c r="W283">
        <v>245</v>
      </c>
      <c r="X283">
        <v>235</v>
      </c>
      <c r="Y283">
        <v>510</v>
      </c>
      <c r="Z283">
        <v>724</v>
      </c>
    </row>
    <row r="284" spans="23:26">
      <c r="W284">
        <v>246</v>
      </c>
      <c r="X284">
        <v>408</v>
      </c>
      <c r="Y284">
        <v>23</v>
      </c>
      <c r="Z284">
        <v>726</v>
      </c>
    </row>
    <row r="285" spans="23:26">
      <c r="W285">
        <v>247</v>
      </c>
      <c r="X285">
        <v>119</v>
      </c>
      <c r="Y285">
        <v>1142</v>
      </c>
      <c r="Z285">
        <v>726</v>
      </c>
    </row>
    <row r="286" spans="23:26">
      <c r="W286">
        <v>248</v>
      </c>
      <c r="X286">
        <v>980</v>
      </c>
      <c r="Y286">
        <v>327</v>
      </c>
      <c r="Z286">
        <v>742</v>
      </c>
    </row>
    <row r="287" spans="23:26">
      <c r="W287">
        <v>249</v>
      </c>
      <c r="X287">
        <v>1067</v>
      </c>
      <c r="Y287">
        <v>946</v>
      </c>
      <c r="Z287">
        <v>755</v>
      </c>
    </row>
    <row r="288" spans="23:26">
      <c r="W288">
        <v>250</v>
      </c>
      <c r="X288">
        <v>492</v>
      </c>
      <c r="Y288">
        <v>775</v>
      </c>
      <c r="Z288">
        <v>757</v>
      </c>
    </row>
    <row r="289" spans="23:26">
      <c r="W289">
        <v>251</v>
      </c>
      <c r="X289">
        <v>742</v>
      </c>
      <c r="Y289">
        <v>126</v>
      </c>
      <c r="Z289">
        <v>778</v>
      </c>
    </row>
    <row r="290" spans="23:26">
      <c r="W290">
        <v>252</v>
      </c>
      <c r="X290">
        <v>374</v>
      </c>
      <c r="Y290">
        <v>221</v>
      </c>
      <c r="Z290">
        <v>779</v>
      </c>
    </row>
    <row r="291" spans="23:26">
      <c r="W291">
        <v>253</v>
      </c>
      <c r="X291">
        <v>365</v>
      </c>
      <c r="Y291">
        <v>80</v>
      </c>
      <c r="Z291">
        <v>780</v>
      </c>
    </row>
    <row r="292" spans="23:26">
      <c r="W292">
        <v>254</v>
      </c>
      <c r="X292">
        <v>1428</v>
      </c>
      <c r="Y292">
        <v>256</v>
      </c>
      <c r="Z292">
        <v>782</v>
      </c>
    </row>
    <row r="293" spans="23:26">
      <c r="W293">
        <v>255</v>
      </c>
      <c r="X293">
        <v>666</v>
      </c>
      <c r="Y293">
        <v>94</v>
      </c>
      <c r="Z293">
        <v>784</v>
      </c>
    </row>
    <row r="294" spans="23:26">
      <c r="W294">
        <v>256</v>
      </c>
      <c r="X294">
        <v>105</v>
      </c>
      <c r="Y294">
        <v>799</v>
      </c>
      <c r="Z294">
        <v>790</v>
      </c>
    </row>
    <row r="295" spans="23:26">
      <c r="W295">
        <v>257</v>
      </c>
      <c r="X295">
        <v>299</v>
      </c>
      <c r="Y295">
        <v>895</v>
      </c>
      <c r="Z295">
        <v>801</v>
      </c>
    </row>
    <row r="296" spans="23:26">
      <c r="W296">
        <v>258</v>
      </c>
      <c r="X296">
        <v>128</v>
      </c>
      <c r="Y296">
        <v>342</v>
      </c>
      <c r="Z296">
        <v>809</v>
      </c>
    </row>
    <row r="297" spans="23:26">
      <c r="W297">
        <v>259</v>
      </c>
      <c r="X297">
        <v>1470</v>
      </c>
      <c r="Y297">
        <v>914</v>
      </c>
      <c r="Z297">
        <v>813</v>
      </c>
    </row>
    <row r="298" spans="23:26">
      <c r="W298">
        <v>260</v>
      </c>
      <c r="X298">
        <v>499</v>
      </c>
      <c r="Y298">
        <v>182</v>
      </c>
      <c r="Z298">
        <v>815</v>
      </c>
    </row>
    <row r="299" spans="23:26">
      <c r="W299">
        <v>261</v>
      </c>
      <c r="X299">
        <v>260</v>
      </c>
      <c r="Y299">
        <v>1262</v>
      </c>
      <c r="Z299">
        <v>817</v>
      </c>
    </row>
    <row r="300" spans="23:26">
      <c r="W300">
        <v>262</v>
      </c>
      <c r="X300">
        <v>266</v>
      </c>
      <c r="Y300">
        <v>323</v>
      </c>
      <c r="Z300">
        <v>820</v>
      </c>
    </row>
    <row r="301" spans="23:26">
      <c r="W301">
        <v>263</v>
      </c>
      <c r="X301">
        <v>779</v>
      </c>
      <c r="Y301">
        <v>477</v>
      </c>
      <c r="Z301">
        <v>825</v>
      </c>
    </row>
    <row r="302" spans="23:26">
      <c r="W302">
        <v>264</v>
      </c>
      <c r="X302">
        <v>182</v>
      </c>
      <c r="Y302">
        <v>611</v>
      </c>
      <c r="Z302">
        <v>827</v>
      </c>
    </row>
    <row r="303" spans="23:26">
      <c r="W303">
        <v>265</v>
      </c>
      <c r="X303">
        <v>138</v>
      </c>
      <c r="Y303">
        <v>1244</v>
      </c>
      <c r="Z303">
        <v>832</v>
      </c>
    </row>
    <row r="304" spans="23:26">
      <c r="W304">
        <v>266</v>
      </c>
      <c r="X304">
        <v>768</v>
      </c>
      <c r="Y304">
        <v>64</v>
      </c>
      <c r="Z304">
        <v>835</v>
      </c>
    </row>
    <row r="305" spans="23:26">
      <c r="W305">
        <v>267</v>
      </c>
      <c r="X305">
        <v>358</v>
      </c>
      <c r="Y305">
        <v>215</v>
      </c>
      <c r="Z305">
        <v>841</v>
      </c>
    </row>
    <row r="306" spans="23:26">
      <c r="W306">
        <v>268</v>
      </c>
      <c r="X306">
        <v>261</v>
      </c>
      <c r="Y306">
        <v>119</v>
      </c>
      <c r="Z306">
        <v>842</v>
      </c>
    </row>
    <row r="307" spans="23:26">
      <c r="W307">
        <v>269</v>
      </c>
      <c r="X307">
        <v>131</v>
      </c>
      <c r="Y307">
        <v>569</v>
      </c>
      <c r="Z307">
        <v>842</v>
      </c>
    </row>
    <row r="308" spans="23:26">
      <c r="W308">
        <v>270</v>
      </c>
      <c r="X308">
        <v>512</v>
      </c>
      <c r="Y308">
        <v>436</v>
      </c>
      <c r="Z308">
        <v>848</v>
      </c>
    </row>
    <row r="309" spans="23:26">
      <c r="W309">
        <v>271</v>
      </c>
      <c r="X309">
        <v>168</v>
      </c>
      <c r="Y309">
        <v>249</v>
      </c>
      <c r="Z309">
        <v>850</v>
      </c>
    </row>
    <row r="310" spans="23:26">
      <c r="W310">
        <v>272</v>
      </c>
      <c r="X310">
        <v>121</v>
      </c>
      <c r="Y310">
        <v>328</v>
      </c>
      <c r="Z310">
        <v>858</v>
      </c>
    </row>
    <row r="311" spans="23:26">
      <c r="W311">
        <v>273</v>
      </c>
      <c r="X311">
        <v>1453</v>
      </c>
      <c r="Y311">
        <v>363</v>
      </c>
      <c r="Z311">
        <v>865</v>
      </c>
    </row>
    <row r="312" spans="23:26">
      <c r="W312">
        <v>274</v>
      </c>
      <c r="X312">
        <v>617</v>
      </c>
      <c r="Y312">
        <v>1166</v>
      </c>
      <c r="Z312">
        <v>871</v>
      </c>
    </row>
    <row r="313" spans="23:26">
      <c r="W313">
        <v>275</v>
      </c>
      <c r="X313">
        <v>375</v>
      </c>
      <c r="Y313">
        <v>257</v>
      </c>
      <c r="Z313">
        <v>873</v>
      </c>
    </row>
    <row r="314" spans="23:26">
      <c r="W314">
        <v>276</v>
      </c>
      <c r="X314">
        <v>212</v>
      </c>
      <c r="Y314">
        <v>206</v>
      </c>
      <c r="Z314">
        <v>876</v>
      </c>
    </row>
    <row r="315" spans="23:26">
      <c r="W315">
        <v>277</v>
      </c>
      <c r="X315">
        <v>209</v>
      </c>
      <c r="Y315">
        <v>232</v>
      </c>
      <c r="Z315">
        <v>877</v>
      </c>
    </row>
    <row r="316" spans="23:26">
      <c r="W316">
        <v>278</v>
      </c>
      <c r="X316">
        <v>159</v>
      </c>
      <c r="Y316">
        <v>31</v>
      </c>
      <c r="Z316">
        <v>884</v>
      </c>
    </row>
    <row r="317" spans="23:26">
      <c r="W317">
        <v>279</v>
      </c>
      <c r="X317">
        <v>799</v>
      </c>
      <c r="Y317">
        <v>289</v>
      </c>
      <c r="Z317">
        <v>887</v>
      </c>
    </row>
    <row r="318" spans="23:26">
      <c r="W318">
        <v>280</v>
      </c>
      <c r="X318">
        <v>627</v>
      </c>
      <c r="Y318">
        <v>1240</v>
      </c>
      <c r="Z318">
        <v>888</v>
      </c>
    </row>
    <row r="319" spans="23:26">
      <c r="W319">
        <v>281</v>
      </c>
      <c r="X319">
        <v>519</v>
      </c>
      <c r="Y319">
        <v>1154</v>
      </c>
      <c r="Z319">
        <v>895</v>
      </c>
    </row>
    <row r="320" spans="23:26">
      <c r="W320">
        <v>282</v>
      </c>
      <c r="X320">
        <v>251</v>
      </c>
      <c r="Y320">
        <v>50</v>
      </c>
      <c r="Z320">
        <v>897</v>
      </c>
    </row>
    <row r="321" spans="23:26">
      <c r="W321">
        <v>283</v>
      </c>
      <c r="X321">
        <v>635</v>
      </c>
      <c r="Y321">
        <v>1033</v>
      </c>
      <c r="Z321">
        <v>907</v>
      </c>
    </row>
    <row r="322" spans="23:26">
      <c r="W322">
        <v>284</v>
      </c>
      <c r="X322">
        <v>644</v>
      </c>
      <c r="Y322">
        <v>1193</v>
      </c>
      <c r="Z322">
        <v>911</v>
      </c>
    </row>
    <row r="323" spans="23:26">
      <c r="W323">
        <v>285</v>
      </c>
      <c r="X323">
        <v>132</v>
      </c>
      <c r="Y323">
        <v>31</v>
      </c>
      <c r="Z323">
        <v>919</v>
      </c>
    </row>
    <row r="324" spans="23:26">
      <c r="W324">
        <v>286</v>
      </c>
      <c r="X324">
        <v>110</v>
      </c>
      <c r="Y324">
        <v>659</v>
      </c>
      <c r="Z324">
        <v>921</v>
      </c>
    </row>
    <row r="325" spans="23:26">
      <c r="W325">
        <v>287</v>
      </c>
      <c r="X325">
        <v>326</v>
      </c>
      <c r="Y325">
        <v>1141</v>
      </c>
      <c r="Z325">
        <v>923</v>
      </c>
    </row>
    <row r="326" spans="23:26">
      <c r="W326">
        <v>288</v>
      </c>
      <c r="X326">
        <v>132</v>
      </c>
      <c r="Y326">
        <v>1046</v>
      </c>
      <c r="Z326">
        <v>936</v>
      </c>
    </row>
    <row r="327" spans="23:26">
      <c r="W327">
        <v>289</v>
      </c>
      <c r="X327">
        <v>267</v>
      </c>
      <c r="Y327">
        <v>1247</v>
      </c>
      <c r="Z327">
        <v>937</v>
      </c>
    </row>
    <row r="328" spans="23:26">
      <c r="W328">
        <v>290</v>
      </c>
      <c r="X328">
        <v>145</v>
      </c>
      <c r="Y328">
        <v>360</v>
      </c>
      <c r="Z328">
        <v>939</v>
      </c>
    </row>
    <row r="329" spans="23:26">
      <c r="W329">
        <v>291</v>
      </c>
      <c r="X329">
        <v>192</v>
      </c>
      <c r="Y329">
        <v>1268</v>
      </c>
      <c r="Z329">
        <v>940</v>
      </c>
    </row>
    <row r="330" spans="23:26">
      <c r="W330">
        <v>292</v>
      </c>
      <c r="X330">
        <v>157</v>
      </c>
      <c r="Y330">
        <v>189</v>
      </c>
      <c r="Z330">
        <v>949</v>
      </c>
    </row>
    <row r="331" spans="23:26">
      <c r="W331">
        <v>293</v>
      </c>
      <c r="X331">
        <v>3191</v>
      </c>
      <c r="Y331">
        <v>838</v>
      </c>
      <c r="Z331">
        <v>968</v>
      </c>
    </row>
    <row r="332" spans="23:26">
      <c r="W332">
        <v>294</v>
      </c>
      <c r="X332">
        <v>434</v>
      </c>
      <c r="Y332">
        <v>54</v>
      </c>
      <c r="Z332">
        <v>979</v>
      </c>
    </row>
    <row r="333" spans="23:26">
      <c r="W333">
        <v>295</v>
      </c>
      <c r="X333">
        <v>542</v>
      </c>
      <c r="Y333">
        <v>106</v>
      </c>
      <c r="Z333">
        <v>979</v>
      </c>
    </row>
    <row r="334" spans="23:26">
      <c r="W334">
        <v>296</v>
      </c>
      <c r="X334">
        <v>408</v>
      </c>
      <c r="Y334">
        <v>128</v>
      </c>
      <c r="Z334">
        <v>979</v>
      </c>
    </row>
    <row r="335" spans="23:26">
      <c r="W335">
        <v>297</v>
      </c>
      <c r="X335">
        <v>1075</v>
      </c>
      <c r="Y335">
        <v>458</v>
      </c>
      <c r="Z335">
        <v>979</v>
      </c>
    </row>
    <row r="336" spans="23:26">
      <c r="W336">
        <v>298</v>
      </c>
      <c r="X336">
        <v>1599</v>
      </c>
      <c r="Y336">
        <v>588</v>
      </c>
      <c r="Z336">
        <v>979</v>
      </c>
    </row>
    <row r="337" spans="23:27">
      <c r="W337">
        <v>299</v>
      </c>
      <c r="X337">
        <v>650</v>
      </c>
      <c r="Y337">
        <v>736</v>
      </c>
      <c r="Z337">
        <v>979</v>
      </c>
    </row>
    <row r="338" spans="23:27">
      <c r="W338">
        <v>300</v>
      </c>
      <c r="X338">
        <v>808</v>
      </c>
      <c r="Y338">
        <v>778</v>
      </c>
      <c r="Z338">
        <v>979</v>
      </c>
    </row>
    <row r="339" spans="23:27">
      <c r="W339">
        <v>301</v>
      </c>
      <c r="X339">
        <v>1139</v>
      </c>
      <c r="Y339">
        <v>1021</v>
      </c>
      <c r="Z339">
        <v>979</v>
      </c>
    </row>
    <row r="340" spans="23:27">
      <c r="W340">
        <v>302</v>
      </c>
      <c r="X340">
        <v>231</v>
      </c>
      <c r="Y340">
        <v>1095</v>
      </c>
      <c r="Z340">
        <v>979</v>
      </c>
    </row>
    <row r="341" spans="23:27">
      <c r="W341">
        <v>303</v>
      </c>
      <c r="X341">
        <v>1746</v>
      </c>
      <c r="Y341">
        <v>1109</v>
      </c>
      <c r="Z341">
        <v>979</v>
      </c>
    </row>
    <row r="342" spans="23:27">
      <c r="X342" s="1">
        <f>SUM(X34:X341)</f>
        <v>281919</v>
      </c>
    </row>
    <row r="344" spans="23:27">
      <c r="X344" s="1" t="s">
        <v>159</v>
      </c>
      <c r="Y344" s="1"/>
      <c r="Z344" s="1"/>
      <c r="AA344" s="1"/>
    </row>
  </sheetData>
  <phoneticPr fontId="3" type="noConversion"/>
  <pageMargins left="0.75" right="0.75" top="1" bottom="1" header="0.5" footer="0.5"/>
  <pageSetup scale="60" orientation="landscape" horizontalDpi="300" verticalDpi="300"/>
  <headerFooter alignWithMargins="0"/>
  <rowBreaks count="2" manualBreakCount="2">
    <brk id="71" max="28" man="1"/>
    <brk id="133" max="16383" man="1"/>
  </rowBreaks>
  <colBreaks count="1" manualBreakCount="1">
    <brk id="13" max="1048575" man="1"/>
  </colBreaks>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9"/>
  <sheetViews>
    <sheetView workbookViewId="0">
      <selection activeCell="I16" sqref="I16"/>
    </sheetView>
  </sheetViews>
  <sheetFormatPr defaultRowHeight="12.75"/>
  <cols>
    <col min="1" max="1" width="20.140625" customWidth="1"/>
    <col min="2" max="2" width="13.85546875" customWidth="1"/>
    <col min="3" max="3" width="11.42578125" customWidth="1"/>
    <col min="4" max="4" width="16.42578125" customWidth="1"/>
    <col min="5" max="5" width="13.42578125" customWidth="1"/>
    <col min="6" max="6" width="14.28515625" customWidth="1"/>
    <col min="7" max="7" width="17.85546875" customWidth="1"/>
    <col min="8" max="8" width="11.42578125" customWidth="1"/>
    <col min="9" max="9" width="12.85546875" customWidth="1"/>
    <col min="10" max="10" width="8.85546875" customWidth="1"/>
    <col min="11" max="11" width="11.7109375" customWidth="1"/>
  </cols>
  <sheetData>
    <row r="1" spans="1:12">
      <c r="A1" s="1" t="s">
        <v>297</v>
      </c>
    </row>
    <row r="3" spans="1:12">
      <c r="A3" t="s">
        <v>296</v>
      </c>
    </row>
    <row r="4" spans="1:12">
      <c r="A4" t="s">
        <v>299</v>
      </c>
    </row>
    <row r="7" spans="1:12" ht="25.5">
      <c r="A7" t="s">
        <v>301</v>
      </c>
      <c r="B7" s="14" t="s">
        <v>306</v>
      </c>
      <c r="C7" t="s">
        <v>130</v>
      </c>
    </row>
    <row r="8" spans="1:12">
      <c r="A8" t="s">
        <v>300</v>
      </c>
      <c r="B8">
        <v>82.47</v>
      </c>
      <c r="C8">
        <v>90</v>
      </c>
    </row>
    <row r="10" spans="1:12">
      <c r="A10" t="s">
        <v>298</v>
      </c>
    </row>
    <row r="11" spans="1:12">
      <c r="A11" t="s">
        <v>205</v>
      </c>
      <c r="C11" s="5"/>
    </row>
    <row r="14" spans="1:12">
      <c r="D14" s="120"/>
    </row>
    <row r="15" spans="1:12" ht="51">
      <c r="A15" s="87" t="s">
        <v>191</v>
      </c>
      <c r="B15" s="88" t="s">
        <v>326</v>
      </c>
      <c r="C15" s="88" t="s">
        <v>327</v>
      </c>
      <c r="D15" s="88" t="s">
        <v>208</v>
      </c>
      <c r="E15" s="88" t="s">
        <v>133</v>
      </c>
      <c r="F15" s="88" t="s">
        <v>332</v>
      </c>
      <c r="G15" s="88" t="s">
        <v>206</v>
      </c>
      <c r="H15" s="88" t="s">
        <v>209</v>
      </c>
      <c r="I15" s="89" t="s">
        <v>304</v>
      </c>
      <c r="J15" s="88" t="s">
        <v>302</v>
      </c>
      <c r="K15" s="163" t="s">
        <v>303</v>
      </c>
      <c r="L15" s="163" t="s">
        <v>305</v>
      </c>
    </row>
    <row r="16" spans="1:12">
      <c r="A16" s="27" t="s">
        <v>331</v>
      </c>
      <c r="B16" s="87">
        <v>103.6</v>
      </c>
      <c r="C16" s="87">
        <v>115.45</v>
      </c>
      <c r="D16" s="90">
        <f t="shared" ref="D16:D25" si="0">C16*C16</f>
        <v>13328.702500000001</v>
      </c>
      <c r="E16" s="87">
        <v>683</v>
      </c>
      <c r="F16" s="87">
        <f>E16*E16</f>
        <v>466489</v>
      </c>
      <c r="G16" s="94">
        <v>50</v>
      </c>
      <c r="H16" s="91">
        <f>D28*G16</f>
        <v>432780.48550000001</v>
      </c>
      <c r="I16" s="95">
        <f>(H16/F16)</f>
        <v>0.92773995849848556</v>
      </c>
      <c r="J16" s="93">
        <f>(H16/F16)*100</f>
        <v>92.773995849848561</v>
      </c>
      <c r="K16" s="27">
        <f>I16*20.25</f>
        <v>18.786734159594332</v>
      </c>
      <c r="L16" s="156">
        <f>J16</f>
        <v>92.773995849848561</v>
      </c>
    </row>
    <row r="17" spans="1:10">
      <c r="A17" s="87"/>
      <c r="B17" s="87">
        <v>119.53</v>
      </c>
      <c r="C17" s="87">
        <v>108.46</v>
      </c>
      <c r="D17" s="90">
        <f t="shared" si="0"/>
        <v>11763.571599999999</v>
      </c>
      <c r="E17" s="87"/>
      <c r="F17" s="87"/>
      <c r="G17" s="90"/>
      <c r="H17" s="91"/>
      <c r="I17" s="91"/>
      <c r="J17" s="87"/>
    </row>
    <row r="18" spans="1:10">
      <c r="A18" s="87"/>
      <c r="B18" s="87">
        <v>99.25</v>
      </c>
      <c r="C18" s="87">
        <v>118.59</v>
      </c>
      <c r="D18" s="90">
        <f t="shared" si="0"/>
        <v>14063.588100000001</v>
      </c>
      <c r="E18" s="87"/>
      <c r="F18" s="87"/>
      <c r="G18" s="90"/>
      <c r="H18" s="91"/>
      <c r="I18" s="91"/>
      <c r="J18" s="87"/>
    </row>
    <row r="19" spans="1:10">
      <c r="A19" s="87"/>
      <c r="B19" s="87">
        <v>106.77</v>
      </c>
      <c r="C19" s="87">
        <v>60.13</v>
      </c>
      <c r="D19" s="90">
        <f t="shared" si="0"/>
        <v>3615.6169000000004</v>
      </c>
      <c r="E19" s="87"/>
      <c r="F19" s="87"/>
      <c r="G19" s="90"/>
      <c r="H19" s="91"/>
      <c r="I19" s="91"/>
      <c r="J19" s="87"/>
    </row>
    <row r="20" spans="1:10">
      <c r="A20" s="87"/>
      <c r="B20" s="87">
        <v>73.81</v>
      </c>
      <c r="C20" s="87">
        <v>117.71</v>
      </c>
      <c r="D20" s="90">
        <f t="shared" si="0"/>
        <v>13855.644099999998</v>
      </c>
      <c r="E20" s="87"/>
      <c r="F20" s="87"/>
      <c r="G20" s="90"/>
      <c r="H20" s="91"/>
      <c r="I20" s="91"/>
      <c r="J20" s="87"/>
    </row>
    <row r="21" spans="1:10">
      <c r="A21" s="87"/>
      <c r="B21" s="87">
        <v>63.87</v>
      </c>
      <c r="C21" s="87">
        <v>51.13</v>
      </c>
      <c r="D21" s="90">
        <f t="shared" si="0"/>
        <v>2614.2769000000003</v>
      </c>
      <c r="E21" s="87"/>
      <c r="F21" s="87"/>
      <c r="G21" s="90"/>
      <c r="H21" s="91"/>
      <c r="I21" s="91"/>
      <c r="J21" s="87"/>
    </row>
    <row r="22" spans="1:10" ht="56.25" customHeight="1">
      <c r="A22" s="87"/>
      <c r="B22" s="87">
        <v>63.87</v>
      </c>
      <c r="C22" s="87">
        <v>86.3</v>
      </c>
      <c r="D22" s="90">
        <f t="shared" si="0"/>
        <v>7447.69</v>
      </c>
      <c r="E22" s="87"/>
      <c r="F22" s="87"/>
      <c r="G22" s="90"/>
      <c r="H22" s="91"/>
      <c r="I22" s="91"/>
      <c r="J22" s="87"/>
    </row>
    <row r="23" spans="1:10">
      <c r="A23" s="87"/>
      <c r="B23" s="87">
        <v>70.86</v>
      </c>
      <c r="C23" s="87">
        <v>86.3</v>
      </c>
      <c r="D23" s="90">
        <f t="shared" si="0"/>
        <v>7447.69</v>
      </c>
      <c r="E23" s="87"/>
      <c r="F23" s="87"/>
      <c r="G23" s="90"/>
      <c r="H23" s="91"/>
      <c r="I23" s="91"/>
      <c r="J23" s="87"/>
    </row>
    <row r="24" spans="1:10">
      <c r="A24" s="87"/>
      <c r="B24" s="87">
        <v>58.2</v>
      </c>
      <c r="C24" s="87">
        <v>64.709999999999994</v>
      </c>
      <c r="D24" s="90">
        <f t="shared" si="0"/>
        <v>4187.3840999999993</v>
      </c>
      <c r="E24" s="87"/>
      <c r="F24" s="87"/>
      <c r="G24" s="90"/>
      <c r="H24" s="91"/>
      <c r="I24" s="91"/>
      <c r="J24" s="87"/>
    </row>
    <row r="25" spans="1:10">
      <c r="A25" s="87"/>
      <c r="B25" s="87">
        <v>86.3</v>
      </c>
      <c r="C25" s="87">
        <v>90.73</v>
      </c>
      <c r="D25" s="90">
        <f t="shared" si="0"/>
        <v>8231.9329000000016</v>
      </c>
      <c r="E25" s="87"/>
      <c r="F25" s="87"/>
      <c r="G25" s="90"/>
      <c r="H25" s="91"/>
      <c r="I25" s="91"/>
      <c r="J25" s="87"/>
    </row>
    <row r="26" spans="1:10">
      <c r="A26" s="87"/>
      <c r="B26" s="87">
        <v>47.43</v>
      </c>
      <c r="C26" s="87"/>
      <c r="D26" s="87"/>
      <c r="E26" s="87"/>
      <c r="F26" s="87"/>
      <c r="G26" s="87"/>
      <c r="H26" s="87"/>
      <c r="I26" s="87"/>
      <c r="J26" s="87"/>
    </row>
    <row r="27" spans="1:10">
      <c r="A27" s="87"/>
      <c r="B27" s="87">
        <v>96.1</v>
      </c>
      <c r="C27" s="87"/>
      <c r="D27" s="87"/>
      <c r="E27" s="87"/>
      <c r="F27" s="87"/>
      <c r="G27" s="87"/>
      <c r="H27" s="87"/>
      <c r="I27" s="87"/>
      <c r="J27" s="87"/>
    </row>
    <row r="28" spans="1:10">
      <c r="A28" s="87" t="s">
        <v>271</v>
      </c>
      <c r="B28" s="92">
        <f>AVERAGE(B16:B27)</f>
        <v>82.465833333333322</v>
      </c>
      <c r="C28" s="92">
        <f>AVERAGE(C16:C27)</f>
        <v>89.950999999999993</v>
      </c>
      <c r="D28" s="93">
        <f>AVERAGE(D16:D27)</f>
        <v>8655.6097100000006</v>
      </c>
      <c r="E28" s="87"/>
      <c r="F28" s="87"/>
      <c r="G28" s="27"/>
      <c r="H28" s="27"/>
      <c r="I28" s="27"/>
      <c r="J28" s="27"/>
    </row>
    <row r="29" spans="1:10">
      <c r="A29" s="87"/>
      <c r="B29" s="87"/>
      <c r="C29" s="87"/>
      <c r="D29" s="87"/>
      <c r="E29" s="87"/>
      <c r="F29" s="87"/>
      <c r="G29" s="87"/>
      <c r="H29" s="87"/>
      <c r="I29" s="87"/>
      <c r="J29" s="87"/>
    </row>
    <row r="30" spans="1:10">
      <c r="A30" s="117"/>
    </row>
    <row r="31" spans="1:10">
      <c r="A31" s="164"/>
    </row>
    <row r="32" spans="1:10">
      <c r="A32" s="17"/>
      <c r="B32" s="17"/>
      <c r="C32" s="5"/>
    </row>
    <row r="33" spans="1:10">
      <c r="A33" s="17"/>
      <c r="B33" s="165"/>
      <c r="C33" s="5"/>
    </row>
    <row r="34" spans="1:10">
      <c r="A34" s="17"/>
      <c r="B34" s="17"/>
      <c r="C34" s="5"/>
    </row>
    <row r="35" spans="1:10">
      <c r="A35" s="17"/>
      <c r="B35" s="17"/>
      <c r="C35" s="5"/>
    </row>
    <row r="36" spans="1:10">
      <c r="A36" s="17"/>
      <c r="B36" s="17"/>
      <c r="C36" s="5"/>
    </row>
    <row r="37" spans="1:10">
      <c r="A37" s="17"/>
      <c r="B37" s="17"/>
      <c r="C37" s="5"/>
      <c r="E37" s="117"/>
      <c r="F37" s="117"/>
      <c r="G37" s="117"/>
      <c r="H37" s="117"/>
      <c r="I37" s="117"/>
      <c r="J37" s="117"/>
    </row>
    <row r="38" spans="1:10">
      <c r="A38" s="17"/>
      <c r="B38" s="17"/>
      <c r="C38" s="5"/>
      <c r="E38" s="117"/>
      <c r="F38" s="117"/>
      <c r="G38" s="117"/>
      <c r="H38" s="117"/>
      <c r="I38" s="117"/>
      <c r="J38" s="117"/>
    </row>
    <row r="39" spans="1:10">
      <c r="A39" s="17"/>
      <c r="B39" s="120"/>
      <c r="C39" s="5"/>
    </row>
  </sheetData>
  <phoneticPr fontId="3" type="noConversion"/>
  <pageMargins left="0.75" right="0.75" top="1" bottom="1" header="0.5" footer="0.5"/>
  <pageSetup orientation="portrait" horizontalDpi="300" verticalDpi="300"/>
  <headerFooter alignWithMargins="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71"/>
  <sheetViews>
    <sheetView workbookViewId="0">
      <pane ySplit="4" topLeftCell="A29" activePane="bottomLeft" state="frozen"/>
      <selection pane="bottomLeft" sqref="A1:IV65536"/>
    </sheetView>
  </sheetViews>
  <sheetFormatPr defaultColWidth="8.85546875" defaultRowHeight="12.75"/>
  <cols>
    <col min="1" max="1" width="17.85546875" customWidth="1"/>
    <col min="2" max="11" width="11.42578125" customWidth="1"/>
    <col min="12" max="12" width="20.85546875" customWidth="1"/>
    <col min="13" max="14" width="11.42578125" customWidth="1"/>
    <col min="15" max="15" width="16.140625" customWidth="1"/>
    <col min="16" max="16" width="14.85546875" customWidth="1"/>
    <col min="17" max="17" width="19.140625" customWidth="1"/>
    <col min="18" max="18" width="11.85546875" customWidth="1"/>
    <col min="19" max="19" width="14.7109375" customWidth="1"/>
    <col min="20" max="20" width="15.42578125" customWidth="1"/>
  </cols>
  <sheetData>
    <row r="1" spans="1:18">
      <c r="A1" s="15" t="s">
        <v>307</v>
      </c>
      <c r="B1" s="16"/>
    </row>
    <row r="2" spans="1:18">
      <c r="A2" s="12"/>
      <c r="B2" s="12"/>
    </row>
    <row r="3" spans="1:18">
      <c r="A3" s="87"/>
      <c r="B3" s="99" t="s">
        <v>254</v>
      </c>
      <c r="C3" s="87"/>
      <c r="D3" s="87"/>
      <c r="E3" s="87"/>
      <c r="F3" s="87"/>
      <c r="G3" s="87" t="s">
        <v>90</v>
      </c>
      <c r="H3" s="87"/>
      <c r="I3" s="87"/>
    </row>
    <row r="4" spans="1:18" s="14" customFormat="1" ht="38.25">
      <c r="A4" s="102" t="s">
        <v>256</v>
      </c>
      <c r="B4" s="88" t="s">
        <v>192</v>
      </c>
      <c r="C4" s="88" t="s">
        <v>308</v>
      </c>
      <c r="D4" s="88" t="s">
        <v>309</v>
      </c>
      <c r="E4" s="88" t="s">
        <v>88</v>
      </c>
      <c r="F4" s="88" t="s">
        <v>87</v>
      </c>
      <c r="G4" s="88" t="s">
        <v>89</v>
      </c>
      <c r="H4" s="89" t="s">
        <v>328</v>
      </c>
      <c r="I4" s="88" t="s">
        <v>129</v>
      </c>
    </row>
    <row r="5" spans="1:18">
      <c r="A5" s="87" t="s">
        <v>255</v>
      </c>
      <c r="B5" s="90">
        <v>371.58</v>
      </c>
      <c r="C5" s="87"/>
      <c r="D5" s="87"/>
      <c r="E5" s="87"/>
      <c r="F5" s="87"/>
      <c r="G5" s="87"/>
      <c r="H5" s="87"/>
      <c r="I5" s="87"/>
      <c r="J5" s="5"/>
      <c r="K5" s="5"/>
    </row>
    <row r="6" spans="1:18">
      <c r="A6" s="87"/>
      <c r="B6" s="90">
        <v>379.48</v>
      </c>
      <c r="C6" s="87"/>
      <c r="D6" s="87"/>
      <c r="E6" s="87"/>
      <c r="F6" s="87"/>
      <c r="G6" s="87"/>
      <c r="H6" s="87"/>
      <c r="I6" s="87"/>
      <c r="J6" s="5"/>
      <c r="K6" s="5"/>
    </row>
    <row r="7" spans="1:18">
      <c r="A7" s="87"/>
      <c r="B7" s="90">
        <v>383.14</v>
      </c>
      <c r="C7" s="87"/>
      <c r="D7" s="87"/>
      <c r="E7" s="87"/>
      <c r="F7" s="87"/>
      <c r="G7" s="87"/>
      <c r="H7" s="87"/>
      <c r="I7" s="87"/>
      <c r="J7" s="5"/>
    </row>
    <row r="8" spans="1:18">
      <c r="A8" s="87"/>
      <c r="B8" s="90">
        <v>387.97</v>
      </c>
      <c r="C8" s="87"/>
      <c r="D8" s="87"/>
      <c r="E8" s="87"/>
      <c r="F8" s="87"/>
      <c r="G8" s="87"/>
      <c r="H8" s="87"/>
      <c r="I8" s="87"/>
      <c r="J8" s="5"/>
    </row>
    <row r="9" spans="1:18">
      <c r="A9" s="87"/>
      <c r="B9" s="90">
        <v>380.4</v>
      </c>
      <c r="C9" s="87"/>
      <c r="D9" s="87"/>
      <c r="E9" s="87"/>
      <c r="F9" s="87"/>
      <c r="G9" s="87"/>
      <c r="H9" s="87"/>
      <c r="I9" s="87"/>
      <c r="J9" s="5"/>
      <c r="K9" s="5"/>
    </row>
    <row r="10" spans="1:18">
      <c r="A10" s="87"/>
      <c r="B10" s="90">
        <v>276.13</v>
      </c>
      <c r="C10" s="87"/>
      <c r="D10" s="87"/>
      <c r="E10" s="87"/>
      <c r="F10" s="87"/>
      <c r="G10" s="87"/>
      <c r="H10" s="87"/>
      <c r="I10" s="87"/>
      <c r="J10" s="5"/>
      <c r="P10" s="12"/>
      <c r="Q10" s="12"/>
      <c r="R10" s="12"/>
    </row>
    <row r="11" spans="1:18">
      <c r="A11" s="87"/>
      <c r="B11" s="90">
        <v>456.49</v>
      </c>
      <c r="C11" s="87"/>
      <c r="D11" s="87"/>
      <c r="E11" s="87"/>
      <c r="F11" s="87"/>
      <c r="G11" s="87"/>
      <c r="H11" s="87"/>
      <c r="I11" s="87"/>
      <c r="J11" s="5"/>
      <c r="M11" s="12"/>
      <c r="N11" s="12"/>
      <c r="O11" s="12"/>
      <c r="P11" s="12"/>
      <c r="Q11" s="12"/>
      <c r="R11" s="12"/>
    </row>
    <row r="12" spans="1:18">
      <c r="A12" s="87"/>
      <c r="B12" s="90">
        <v>289.37</v>
      </c>
      <c r="C12" s="87"/>
      <c r="D12" s="87"/>
      <c r="E12" s="87"/>
      <c r="F12" s="87"/>
      <c r="G12" s="87"/>
      <c r="H12" s="87"/>
      <c r="I12" s="87"/>
      <c r="J12" s="5"/>
      <c r="M12" s="12"/>
      <c r="N12" s="12"/>
      <c r="O12" s="12"/>
    </row>
    <row r="13" spans="1:18" s="17" customFormat="1">
      <c r="A13" s="87" t="s">
        <v>280</v>
      </c>
      <c r="B13" s="92">
        <f>AVERAGE(B5:B12)</f>
        <v>365.56999999999994</v>
      </c>
      <c r="C13" s="87">
        <f>B13/2</f>
        <v>182.78499999999997</v>
      </c>
      <c r="D13" s="93">
        <f>PI()*(C13^2)</f>
        <v>104961.72967027797</v>
      </c>
      <c r="E13" s="99">
        <v>8</v>
      </c>
      <c r="F13" s="103">
        <v>4905816</v>
      </c>
      <c r="G13" s="90">
        <f>D13*E13</f>
        <v>839693.83736222377</v>
      </c>
      <c r="H13" s="104">
        <f>(G13/F13)</f>
        <v>0.17116292933983332</v>
      </c>
      <c r="I13" s="93">
        <f>(G13/F13)*100</f>
        <v>17.116292933983331</v>
      </c>
      <c r="J13" s="21"/>
      <c r="K13" s="21"/>
    </row>
    <row r="14" spans="1:18">
      <c r="A14" s="117"/>
      <c r="B14" s="117"/>
      <c r="C14" s="117"/>
      <c r="D14" s="117"/>
      <c r="E14" s="117"/>
      <c r="F14" s="117"/>
      <c r="G14" s="117"/>
      <c r="H14" s="117"/>
      <c r="I14" s="117"/>
    </row>
    <row r="15" spans="1:18">
      <c r="A15" s="168" t="s">
        <v>24</v>
      </c>
      <c r="B15" s="169"/>
      <c r="C15" s="228">
        <f>((F13-G13)/F13)*100</f>
        <v>82.883707066016669</v>
      </c>
      <c r="D15" s="169"/>
      <c r="E15" s="117"/>
      <c r="F15" s="117"/>
      <c r="G15" s="117"/>
      <c r="H15" s="117"/>
      <c r="I15" s="117"/>
    </row>
    <row r="16" spans="1:18">
      <c r="A16" s="81"/>
      <c r="B16" s="81" t="s">
        <v>25</v>
      </c>
      <c r="C16" s="81"/>
      <c r="D16" s="81"/>
      <c r="E16" s="229">
        <v>268663</v>
      </c>
    </row>
    <row r="17" spans="1:32">
      <c r="A17" s="81"/>
      <c r="B17" s="81" t="s">
        <v>26</v>
      </c>
      <c r="C17" s="81"/>
      <c r="D17" s="81"/>
      <c r="E17" s="229">
        <v>379886</v>
      </c>
    </row>
    <row r="18" spans="1:32">
      <c r="A18" s="81"/>
      <c r="B18" s="166" t="s">
        <v>23</v>
      </c>
      <c r="C18" s="81"/>
      <c r="D18" s="81"/>
      <c r="E18" s="167">
        <f>E16/E17</f>
        <v>0.7072200607550686</v>
      </c>
      <c r="F18" t="s">
        <v>27</v>
      </c>
      <c r="K18" s="5"/>
      <c r="L18" s="5"/>
    </row>
    <row r="19" spans="1:32">
      <c r="A19" s="332" t="s">
        <v>417</v>
      </c>
      <c r="B19" s="81"/>
      <c r="C19" s="81"/>
      <c r="D19" s="167"/>
      <c r="J19" s="5"/>
      <c r="K19" s="5"/>
    </row>
    <row r="20" spans="1:32" s="4" customFormat="1"/>
    <row r="21" spans="1:32">
      <c r="J21" s="5"/>
      <c r="X21" s="333"/>
      <c r="Y21" s="12"/>
      <c r="Z21" s="12"/>
      <c r="AA21" s="12"/>
      <c r="AB21" s="12"/>
      <c r="AC21" s="12"/>
      <c r="AD21" s="12"/>
      <c r="AE21" s="12"/>
      <c r="AF21" s="12"/>
    </row>
    <row r="22" spans="1:32" ht="25.5">
      <c r="A22" s="334" t="s">
        <v>418</v>
      </c>
      <c r="B22" s="15" t="s">
        <v>86</v>
      </c>
      <c r="C22" s="16"/>
      <c r="D22" s="16"/>
      <c r="E22" s="16"/>
      <c r="F22" s="16"/>
      <c r="G22" s="16"/>
      <c r="H22" s="16"/>
      <c r="I22" s="16"/>
      <c r="X22" s="12"/>
      <c r="Y22" s="12"/>
      <c r="Z22" s="12"/>
      <c r="AA22" s="12"/>
      <c r="AB22" s="12"/>
      <c r="AC22" s="12"/>
      <c r="AD22" s="12"/>
      <c r="AE22" s="12"/>
      <c r="AF22" s="12"/>
    </row>
    <row r="23" spans="1:32" s="14" customFormat="1" ht="25.5" customHeight="1">
      <c r="A23" s="6"/>
      <c r="B23" s="1"/>
      <c r="C23"/>
      <c r="D23"/>
      <c r="E23"/>
      <c r="F23"/>
      <c r="G23"/>
      <c r="H23"/>
      <c r="I23"/>
      <c r="J23"/>
      <c r="K23"/>
      <c r="X23" s="24"/>
      <c r="Y23" s="335"/>
      <c r="Z23" s="335"/>
      <c r="AA23" s="24"/>
      <c r="AB23" s="24"/>
      <c r="AC23" s="24"/>
      <c r="AD23" s="24"/>
      <c r="AE23" s="24"/>
      <c r="AF23" s="335"/>
    </row>
    <row r="24" spans="1:32" s="14" customFormat="1" ht="25.5" customHeight="1">
      <c r="B24" s="24" t="s">
        <v>189</v>
      </c>
      <c r="C24" s="24" t="s">
        <v>231</v>
      </c>
      <c r="D24" s="24" t="s">
        <v>419</v>
      </c>
      <c r="E24" s="24" t="s">
        <v>420</v>
      </c>
      <c r="F24" s="24" t="s">
        <v>421</v>
      </c>
      <c r="G24" s="14" t="s">
        <v>422</v>
      </c>
      <c r="H24" s="24" t="s">
        <v>87</v>
      </c>
      <c r="I24" s="24" t="s">
        <v>423</v>
      </c>
      <c r="J24" s="14" t="s">
        <v>424</v>
      </c>
      <c r="K24" s="14" t="s">
        <v>129</v>
      </c>
      <c r="X24" s="24"/>
      <c r="Y24" s="335"/>
      <c r="Z24" s="335"/>
      <c r="AA24" s="24"/>
      <c r="AB24" s="24"/>
      <c r="AC24" s="336"/>
      <c r="AD24" s="337"/>
      <c r="AE24" s="337"/>
      <c r="AF24" s="335"/>
    </row>
    <row r="25" spans="1:32">
      <c r="A25" s="14"/>
      <c r="B25" s="24"/>
      <c r="C25" s="24"/>
      <c r="D25" s="24"/>
      <c r="E25" s="24"/>
      <c r="F25" s="24"/>
      <c r="G25" s="14"/>
      <c r="H25" s="24"/>
      <c r="I25" s="24"/>
      <c r="J25" s="14"/>
      <c r="K25" s="14"/>
      <c r="X25" s="12"/>
      <c r="Y25" s="335"/>
      <c r="Z25" s="335"/>
      <c r="AA25" s="12"/>
      <c r="AB25" s="12"/>
      <c r="AC25" s="12"/>
      <c r="AD25" s="24"/>
      <c r="AE25" s="24"/>
      <c r="AF25" s="335"/>
    </row>
    <row r="26" spans="1:32">
      <c r="B26" s="12">
        <v>188.51</v>
      </c>
      <c r="C26" s="12">
        <f>B26/2</f>
        <v>94.254999999999995</v>
      </c>
      <c r="D26" s="12"/>
      <c r="E26" s="12"/>
      <c r="F26" s="12"/>
      <c r="H26" s="12"/>
      <c r="I26" s="12"/>
      <c r="W26" s="5"/>
      <c r="X26" s="17"/>
      <c r="Y26" s="17"/>
      <c r="Z26" s="17"/>
      <c r="AA26" s="17"/>
      <c r="AB26" s="17"/>
      <c r="AC26" s="17"/>
      <c r="AD26" s="17"/>
      <c r="AE26" s="17"/>
      <c r="AF26" s="17"/>
    </row>
    <row r="27" spans="1:32">
      <c r="B27" s="12">
        <v>154.13999999999999</v>
      </c>
      <c r="C27" s="12">
        <f>B27/2</f>
        <v>77.069999999999993</v>
      </c>
      <c r="D27" s="12"/>
      <c r="E27" s="12"/>
      <c r="F27" s="12"/>
      <c r="H27" s="12"/>
      <c r="I27" s="12"/>
      <c r="W27" s="5"/>
      <c r="X27" s="17"/>
      <c r="Y27" s="120"/>
      <c r="Z27" s="120"/>
      <c r="AA27" s="120"/>
      <c r="AB27" s="120"/>
      <c r="AC27" s="120"/>
      <c r="AD27" s="120"/>
      <c r="AE27" s="120"/>
      <c r="AF27" s="120"/>
    </row>
    <row r="28" spans="1:32">
      <c r="B28" s="12">
        <v>215.92</v>
      </c>
      <c r="C28" s="12">
        <f>B28/2</f>
        <v>107.96</v>
      </c>
      <c r="D28" s="12"/>
      <c r="E28" s="12"/>
      <c r="F28" s="12"/>
      <c r="H28" s="12"/>
      <c r="I28" s="12"/>
    </row>
    <row r="29" spans="1:32">
      <c r="B29" s="12">
        <v>170.29</v>
      </c>
      <c r="C29" s="12">
        <f>B29/2</f>
        <v>85.144999999999996</v>
      </c>
      <c r="D29" s="12"/>
      <c r="E29" s="12"/>
      <c r="F29" s="12"/>
      <c r="H29" s="12"/>
      <c r="I29" s="12"/>
    </row>
    <row r="30" spans="1:32">
      <c r="B30" s="338">
        <f>AVERAGE(B26:B29)</f>
        <v>182.21499999999997</v>
      </c>
      <c r="C30" s="338">
        <f>AVERAGE(C26:C29)</f>
        <v>91.107499999999987</v>
      </c>
      <c r="D30" s="184">
        <f>PI()*(C30^2)</f>
        <v>26077.030329674657</v>
      </c>
      <c r="E30" s="339">
        <v>6</v>
      </c>
      <c r="F30" s="340">
        <f>E13</f>
        <v>8</v>
      </c>
      <c r="G30" s="18">
        <f>F30*E30</f>
        <v>48</v>
      </c>
      <c r="H30" s="339">
        <f>F13</f>
        <v>4905816</v>
      </c>
      <c r="I30" s="184">
        <f>G30*D30</f>
        <v>1251697.4558243835</v>
      </c>
      <c r="J30" s="132">
        <f>I30/H30</f>
        <v>0.25514561814474568</v>
      </c>
      <c r="K30" s="18">
        <v>25.5</v>
      </c>
    </row>
    <row r="34" spans="1:11" ht="40.5" customHeight="1">
      <c r="B34" s="15" t="s">
        <v>214</v>
      </c>
      <c r="C34" s="16"/>
      <c r="D34" s="16"/>
      <c r="E34" s="16"/>
      <c r="F34" s="16"/>
      <c r="G34" s="16"/>
      <c r="H34" s="16"/>
      <c r="I34" s="16"/>
    </row>
    <row r="35" spans="1:11" ht="63.75">
      <c r="B35" s="13" t="s">
        <v>247</v>
      </c>
      <c r="C35" s="14" t="s">
        <v>231</v>
      </c>
      <c r="D35" s="14" t="s">
        <v>232</v>
      </c>
      <c r="E35" s="24" t="s">
        <v>420</v>
      </c>
      <c r="F35" s="24" t="s">
        <v>421</v>
      </c>
      <c r="G35" s="14" t="s">
        <v>422</v>
      </c>
      <c r="H35" s="24" t="s">
        <v>87</v>
      </c>
      <c r="I35" s="24" t="s">
        <v>423</v>
      </c>
      <c r="J35" s="14" t="s">
        <v>424</v>
      </c>
      <c r="K35" s="14" t="s">
        <v>129</v>
      </c>
    </row>
    <row r="36" spans="1:11">
      <c r="B36">
        <v>98</v>
      </c>
    </row>
    <row r="37" spans="1:11">
      <c r="B37">
        <v>85</v>
      </c>
    </row>
    <row r="38" spans="1:11">
      <c r="A38" s="5"/>
      <c r="B38">
        <v>73</v>
      </c>
    </row>
    <row r="39" spans="1:11">
      <c r="B39">
        <v>40</v>
      </c>
    </row>
    <row r="40" spans="1:11">
      <c r="B40">
        <v>56</v>
      </c>
    </row>
    <row r="41" spans="1:11">
      <c r="B41">
        <v>31</v>
      </c>
    </row>
    <row r="42" spans="1:11">
      <c r="B42">
        <v>63</v>
      </c>
    </row>
    <row r="43" spans="1:11">
      <c r="B43">
        <v>39</v>
      </c>
    </row>
    <row r="44" spans="1:11">
      <c r="B44">
        <v>72</v>
      </c>
    </row>
    <row r="45" spans="1:11">
      <c r="B45">
        <v>29</v>
      </c>
    </row>
    <row r="46" spans="1:11">
      <c r="B46">
        <v>81</v>
      </c>
    </row>
    <row r="47" spans="1:11">
      <c r="B47" s="4">
        <v>39</v>
      </c>
      <c r="C47" s="4"/>
      <c r="D47" s="4"/>
      <c r="E47" s="4"/>
      <c r="F47" s="4"/>
      <c r="G47" s="4"/>
      <c r="H47" s="4"/>
      <c r="I47" s="4"/>
      <c r="J47" s="4"/>
      <c r="K47" s="4"/>
    </row>
    <row r="48" spans="1:11">
      <c r="B48" s="341">
        <f>AVERAGE(B36:B47)</f>
        <v>58.833333333333336</v>
      </c>
      <c r="C48" s="18">
        <f>B48/2</f>
        <v>29.416666666666668</v>
      </c>
      <c r="D48" s="19">
        <f>PI()*(C48^2)</f>
        <v>2718.5466595220178</v>
      </c>
      <c r="E48" s="18">
        <v>72</v>
      </c>
      <c r="F48" s="342">
        <f>F30</f>
        <v>8</v>
      </c>
      <c r="G48" s="18">
        <f>F48*E48</f>
        <v>576</v>
      </c>
      <c r="H48" s="18">
        <f>H30</f>
        <v>4905816</v>
      </c>
      <c r="I48" s="342">
        <f>G48*D48</f>
        <v>1565882.8758846822</v>
      </c>
      <c r="J48" s="132">
        <f>I48/H48</f>
        <v>0.31918907596303697</v>
      </c>
      <c r="K48" s="18">
        <v>31.9</v>
      </c>
    </row>
    <row r="52" spans="2:4">
      <c r="B52" s="15" t="s">
        <v>425</v>
      </c>
      <c r="C52" s="15"/>
    </row>
    <row r="53" spans="2:4" ht="38.25">
      <c r="B53" s="14" t="s">
        <v>426</v>
      </c>
      <c r="C53" s="137"/>
      <c r="D53" s="137"/>
    </row>
    <row r="54" spans="2:4" ht="25.5">
      <c r="B54" s="14" t="s">
        <v>427</v>
      </c>
      <c r="C54" s="14" t="s">
        <v>428</v>
      </c>
      <c r="D54" s="14"/>
    </row>
    <row r="55" spans="2:4">
      <c r="B55" s="14">
        <v>1</v>
      </c>
      <c r="C55" s="14">
        <v>518.71</v>
      </c>
      <c r="D55" s="14"/>
    </row>
    <row r="56" spans="2:4">
      <c r="B56">
        <v>2</v>
      </c>
      <c r="C56">
        <v>429.18</v>
      </c>
    </row>
    <row r="57" spans="2:4">
      <c r="B57">
        <v>3</v>
      </c>
      <c r="C57">
        <v>392.85</v>
      </c>
    </row>
    <row r="58" spans="2:4">
      <c r="B58">
        <v>4</v>
      </c>
      <c r="C58">
        <v>468.02</v>
      </c>
    </row>
    <row r="59" spans="2:4">
      <c r="B59">
        <v>5</v>
      </c>
      <c r="C59">
        <v>551.86</v>
      </c>
    </row>
    <row r="60" spans="2:4">
      <c r="B60">
        <v>6</v>
      </c>
      <c r="C60">
        <v>522.73</v>
      </c>
    </row>
    <row r="61" spans="2:4">
      <c r="B61">
        <v>7</v>
      </c>
      <c r="C61">
        <v>793.85</v>
      </c>
    </row>
    <row r="62" spans="2:4" ht="23.25" customHeight="1">
      <c r="B62">
        <v>8</v>
      </c>
      <c r="C62">
        <v>552.26</v>
      </c>
    </row>
    <row r="63" spans="2:4" ht="51">
      <c r="B63" s="343" t="s">
        <v>429</v>
      </c>
      <c r="C63" s="209">
        <f>AVERAGE(C55:C62)</f>
        <v>528.6825</v>
      </c>
    </row>
    <row r="64" spans="2:4">
      <c r="B64" s="12"/>
      <c r="C64" s="12"/>
    </row>
    <row r="66" spans="2:3">
      <c r="B66">
        <v>1</v>
      </c>
      <c r="C66">
        <v>311.14</v>
      </c>
    </row>
    <row r="67" spans="2:3">
      <c r="B67">
        <v>2</v>
      </c>
      <c r="C67">
        <v>278.41000000000003</v>
      </c>
    </row>
    <row r="68" spans="2:3">
      <c r="B68">
        <v>3</v>
      </c>
      <c r="C68">
        <v>178.66</v>
      </c>
    </row>
    <row r="69" spans="2:3">
      <c r="B69">
        <v>4</v>
      </c>
      <c r="C69">
        <v>191.11</v>
      </c>
    </row>
    <row r="70" spans="2:3">
      <c r="B70">
        <v>5</v>
      </c>
      <c r="C70">
        <v>223.68</v>
      </c>
    </row>
    <row r="71" spans="2:3" ht="51">
      <c r="B71" s="343" t="s">
        <v>430</v>
      </c>
      <c r="C71" s="132">
        <f>AVERAGE(C66:C70)</f>
        <v>236.6</v>
      </c>
    </row>
  </sheetData>
  <phoneticPr fontId="3" type="noConversion"/>
  <pageMargins left="0.75" right="0.75" top="1" bottom="1" header="0.5" footer="0.5"/>
  <pageSetup orientation="portrait" horizontalDpi="300" verticalDpi="300"/>
  <headerFooter alignWithMargins="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2"/>
  <sheetViews>
    <sheetView workbookViewId="0">
      <pane ySplit="7" topLeftCell="A44" activePane="bottomLeft" state="frozen"/>
      <selection pane="bottomLeft" activeCell="B51" sqref="B51"/>
    </sheetView>
  </sheetViews>
  <sheetFormatPr defaultRowHeight="12.75"/>
  <cols>
    <col min="1" max="1" width="27.7109375" customWidth="1"/>
    <col min="2" max="3" width="11.42578125" customWidth="1"/>
    <col min="4" max="5" width="15.85546875" customWidth="1"/>
    <col min="6" max="6" width="13.7109375" customWidth="1"/>
    <col min="7" max="7" width="11.7109375" customWidth="1"/>
    <col min="8" max="12" width="8.85546875" customWidth="1"/>
    <col min="13" max="13" width="11.7109375" customWidth="1"/>
  </cols>
  <sheetData>
    <row r="1" spans="1:17">
      <c r="A1" s="136" t="s">
        <v>310</v>
      </c>
    </row>
    <row r="2" spans="1:17">
      <c r="A2" s="6"/>
      <c r="B2" t="s">
        <v>334</v>
      </c>
    </row>
    <row r="3" spans="1:17">
      <c r="A3" s="171" t="s">
        <v>316</v>
      </c>
      <c r="B3" s="84">
        <v>0.5</v>
      </c>
    </row>
    <row r="4" spans="1:17">
      <c r="A4" s="84" t="s">
        <v>317</v>
      </c>
      <c r="B4" s="84">
        <v>2.15</v>
      </c>
    </row>
    <row r="5" spans="1:17">
      <c r="A5" s="84" t="s">
        <v>319</v>
      </c>
      <c r="B5" s="172">
        <v>0.16470000000000001</v>
      </c>
    </row>
    <row r="6" spans="1:17">
      <c r="A6" s="84"/>
      <c r="B6" s="84"/>
    </row>
    <row r="7" spans="1:17" ht="51">
      <c r="A7" t="s">
        <v>275</v>
      </c>
      <c r="B7" s="14" t="s">
        <v>192</v>
      </c>
      <c r="C7" s="14" t="s">
        <v>308</v>
      </c>
      <c r="D7" s="14" t="s">
        <v>311</v>
      </c>
      <c r="E7" s="14" t="s">
        <v>312</v>
      </c>
      <c r="F7" s="14" t="s">
        <v>313</v>
      </c>
      <c r="G7" s="14" t="s">
        <v>314</v>
      </c>
      <c r="H7" s="14" t="s">
        <v>129</v>
      </c>
      <c r="K7" s="14" t="s">
        <v>318</v>
      </c>
    </row>
    <row r="8" spans="1:17" s="14" customFormat="1" ht="21.75" customHeight="1">
      <c r="A8" s="14" t="s">
        <v>276</v>
      </c>
      <c r="B8">
        <v>2.59</v>
      </c>
      <c r="K8" s="14" t="s">
        <v>268</v>
      </c>
      <c r="L8" s="14" t="s">
        <v>231</v>
      </c>
      <c r="M8" s="14" t="s">
        <v>232</v>
      </c>
      <c r="N8" s="14" t="s">
        <v>131</v>
      </c>
      <c r="P8" s="14" t="s">
        <v>211</v>
      </c>
    </row>
    <row r="9" spans="1:17">
      <c r="B9">
        <v>3.64</v>
      </c>
      <c r="K9">
        <v>3.32</v>
      </c>
      <c r="P9">
        <v>1</v>
      </c>
      <c r="Q9">
        <v>4.6500000000000004</v>
      </c>
    </row>
    <row r="10" spans="1:17">
      <c r="B10">
        <v>4.58</v>
      </c>
      <c r="K10">
        <v>2.86</v>
      </c>
      <c r="P10">
        <v>2</v>
      </c>
      <c r="Q10">
        <v>4.82</v>
      </c>
    </row>
    <row r="11" spans="1:17">
      <c r="B11">
        <v>2.73</v>
      </c>
      <c r="K11">
        <v>3.82</v>
      </c>
      <c r="P11">
        <v>3</v>
      </c>
      <c r="Q11">
        <v>4.62</v>
      </c>
    </row>
    <row r="12" spans="1:17">
      <c r="B12">
        <v>3.45</v>
      </c>
      <c r="K12">
        <v>3.77</v>
      </c>
      <c r="P12">
        <v>4</v>
      </c>
      <c r="Q12">
        <v>3.58</v>
      </c>
    </row>
    <row r="13" spans="1:17">
      <c r="B13">
        <v>3.23</v>
      </c>
      <c r="K13">
        <v>5.0999999999999996</v>
      </c>
      <c r="P13">
        <v>5</v>
      </c>
      <c r="Q13">
        <v>4.37</v>
      </c>
    </row>
    <row r="14" spans="1:17">
      <c r="B14">
        <v>2.91</v>
      </c>
      <c r="K14">
        <v>5.07</v>
      </c>
      <c r="P14">
        <v>6</v>
      </c>
      <c r="Q14">
        <v>4.51</v>
      </c>
    </row>
    <row r="15" spans="1:17">
      <c r="B15">
        <v>5.42</v>
      </c>
      <c r="K15">
        <v>2.61</v>
      </c>
      <c r="P15">
        <v>7</v>
      </c>
      <c r="Q15">
        <v>5.84</v>
      </c>
    </row>
    <row r="16" spans="1:17">
      <c r="B16">
        <v>2.2200000000000002</v>
      </c>
      <c r="K16">
        <v>2.79</v>
      </c>
      <c r="P16">
        <v>8</v>
      </c>
      <c r="Q16">
        <v>2.83</v>
      </c>
    </row>
    <row r="17" spans="1:17">
      <c r="B17">
        <v>4.1500000000000004</v>
      </c>
      <c r="K17">
        <v>3.27</v>
      </c>
      <c r="P17">
        <v>9</v>
      </c>
      <c r="Q17">
        <v>4.62</v>
      </c>
    </row>
    <row r="18" spans="1:17">
      <c r="B18">
        <v>2.4900000000000002</v>
      </c>
      <c r="K18">
        <v>2.99</v>
      </c>
      <c r="P18">
        <v>10</v>
      </c>
      <c r="Q18">
        <v>2.79</v>
      </c>
    </row>
    <row r="19" spans="1:17">
      <c r="B19">
        <v>1.56</v>
      </c>
      <c r="K19">
        <v>4.3</v>
      </c>
      <c r="Q19" s="1">
        <f>AVERAGE(Q9:Q18)</f>
        <v>4.2629999999999999</v>
      </c>
    </row>
    <row r="20" spans="1:17">
      <c r="B20">
        <v>2.04</v>
      </c>
      <c r="K20">
        <v>4.9400000000000004</v>
      </c>
    </row>
    <row r="21" spans="1:17">
      <c r="B21">
        <v>2.16</v>
      </c>
      <c r="K21">
        <v>3.1</v>
      </c>
    </row>
    <row r="22" spans="1:17">
      <c r="B22">
        <v>1.89</v>
      </c>
      <c r="K22">
        <v>4.1399999999999997</v>
      </c>
      <c r="P22" t="s">
        <v>212</v>
      </c>
    </row>
    <row r="23" spans="1:17">
      <c r="B23">
        <v>4.66</v>
      </c>
      <c r="K23">
        <v>3.18</v>
      </c>
      <c r="P23" t="s">
        <v>182</v>
      </c>
    </row>
    <row r="24" spans="1:17">
      <c r="B24">
        <v>4.68</v>
      </c>
      <c r="K24">
        <v>2.3199999999999998</v>
      </c>
    </row>
    <row r="25" spans="1:17">
      <c r="B25">
        <v>3.75</v>
      </c>
      <c r="K25">
        <v>2.66</v>
      </c>
    </row>
    <row r="26" spans="1:17">
      <c r="B26">
        <v>2.2200000000000002</v>
      </c>
      <c r="K26">
        <v>2.93</v>
      </c>
    </row>
    <row r="27" spans="1:17">
      <c r="B27">
        <v>2.93</v>
      </c>
      <c r="K27">
        <v>3.84</v>
      </c>
    </row>
    <row r="28" spans="1:17">
      <c r="B28" s="4">
        <v>3.3</v>
      </c>
      <c r="K28">
        <v>3.96</v>
      </c>
    </row>
    <row r="29" spans="1:17" s="17" customFormat="1">
      <c r="A29" s="87" t="s">
        <v>315</v>
      </c>
      <c r="B29" s="170">
        <f>AVERAGE(B8:B28)</f>
        <v>3.1714285714285713</v>
      </c>
      <c r="C29" s="106">
        <f>B29/2</f>
        <v>1.5857142857142856</v>
      </c>
      <c r="D29" s="105">
        <f>PI()*(C29^2)</f>
        <v>7.8995026703836402</v>
      </c>
      <c r="E29" s="97">
        <v>24</v>
      </c>
      <c r="F29" s="90">
        <f>D29*E29</f>
        <v>189.58806408920736</v>
      </c>
      <c r="G29" s="88">
        <v>529.73</v>
      </c>
      <c r="H29" s="90">
        <f>(F29/G29)*100</f>
        <v>35.789565267061967</v>
      </c>
      <c r="K29" s="26">
        <f>AVERAGE(K9:K28)</f>
        <v>3.5484999999999993</v>
      </c>
      <c r="L29" s="17">
        <f>K29/2</f>
        <v>1.7742499999999997</v>
      </c>
      <c r="M29" s="17">
        <f>PI()*(L29^2)</f>
        <v>9.8896176309220234</v>
      </c>
    </row>
    <row r="30" spans="1:17">
      <c r="A30" s="87" t="s">
        <v>277</v>
      </c>
      <c r="B30" s="101">
        <f>2*C30</f>
        <v>2.5507359866510453</v>
      </c>
      <c r="C30" s="101">
        <f>SQRT(D30/PI())</f>
        <v>1.2753679933255226</v>
      </c>
      <c r="D30" s="87">
        <v>5.1100000000000003</v>
      </c>
      <c r="E30" s="87">
        <v>21</v>
      </c>
      <c r="F30" s="90">
        <f>D30*E30</f>
        <v>107.31</v>
      </c>
      <c r="G30" s="88">
        <v>529.73</v>
      </c>
      <c r="H30" s="90">
        <f>(F30/G30)*100</f>
        <v>20.257489664546089</v>
      </c>
      <c r="M30" t="s">
        <v>183</v>
      </c>
      <c r="N30" s="7">
        <f>43*M29</f>
        <v>425.25355812964699</v>
      </c>
    </row>
    <row r="31" spans="1:17">
      <c r="A31" s="87"/>
      <c r="B31" s="87"/>
      <c r="C31" s="87"/>
      <c r="D31" s="87"/>
      <c r="E31" s="87"/>
      <c r="F31" s="87"/>
      <c r="G31" s="87"/>
      <c r="H31" s="90"/>
      <c r="M31" t="s">
        <v>184</v>
      </c>
      <c r="N31" s="7">
        <f>55*M29</f>
        <v>543.92896970071126</v>
      </c>
    </row>
    <row r="32" spans="1:17">
      <c r="A32" s="87" t="s">
        <v>278</v>
      </c>
      <c r="B32" s="101">
        <f>2*C32</f>
        <v>0.72251519938435671</v>
      </c>
      <c r="C32" s="101">
        <f>SQRT(D32/PI())</f>
        <v>0.36125759969217835</v>
      </c>
      <c r="D32" s="87">
        <v>0.41</v>
      </c>
      <c r="E32" s="87">
        <v>1652</v>
      </c>
      <c r="F32" s="90">
        <f>D32*E32</f>
        <v>677.31999999999994</v>
      </c>
      <c r="G32" s="87">
        <v>5347</v>
      </c>
      <c r="H32" s="90">
        <f>(F32/G32)*100</f>
        <v>12.667290069197678</v>
      </c>
      <c r="M32" s="1"/>
      <c r="N32" s="3"/>
    </row>
    <row r="33" spans="1:14">
      <c r="A33" s="113"/>
      <c r="B33" s="113"/>
      <c r="C33" s="113"/>
      <c r="D33" s="113"/>
      <c r="E33" s="113"/>
      <c r="F33" s="113"/>
      <c r="G33" s="113"/>
      <c r="H33" s="113"/>
      <c r="M33" s="1" t="s">
        <v>185</v>
      </c>
      <c r="N33" s="3">
        <f>N31/10</f>
        <v>54.392896970071128</v>
      </c>
    </row>
    <row r="34" spans="1:14">
      <c r="A34" s="114" t="s">
        <v>280</v>
      </c>
      <c r="B34" s="118">
        <f>AVERAGE(B29,B30,B32)</f>
        <v>2.1482265858213245</v>
      </c>
      <c r="C34" s="202">
        <f t="shared" ref="C34:H34" si="0">AVERAGE(C32,C30)</f>
        <v>0.81831279650885047</v>
      </c>
      <c r="D34" s="202">
        <f t="shared" si="0"/>
        <v>2.7600000000000002</v>
      </c>
      <c r="E34" s="202">
        <f t="shared" si="0"/>
        <v>836.5</v>
      </c>
      <c r="F34" s="118">
        <f t="shared" si="0"/>
        <v>392.31499999999994</v>
      </c>
      <c r="G34" s="202">
        <f t="shared" si="0"/>
        <v>2938.3649999999998</v>
      </c>
      <c r="H34" s="203">
        <f t="shared" si="0"/>
        <v>16.462389866871884</v>
      </c>
      <c r="I34" s="5"/>
    </row>
    <row r="35" spans="1:14">
      <c r="A35" s="112"/>
      <c r="B35" s="112"/>
      <c r="C35" s="112"/>
      <c r="D35" s="112"/>
      <c r="E35" s="112"/>
      <c r="F35" s="112"/>
      <c r="G35" s="112"/>
      <c r="H35" s="112"/>
    </row>
    <row r="42" spans="1:14">
      <c r="A42" s="87" t="s">
        <v>55</v>
      </c>
      <c r="B42" s="90">
        <f>'Flagellated chambers'!E10</f>
        <v>56.027845995869619</v>
      </c>
      <c r="C42" s="87"/>
      <c r="D42" s="87"/>
      <c r="E42" s="87"/>
      <c r="F42" s="87"/>
      <c r="G42" s="87"/>
      <c r="H42" s="87"/>
      <c r="I42" s="87"/>
    </row>
    <row r="43" spans="1:14">
      <c r="A43" s="87" t="s">
        <v>56</v>
      </c>
      <c r="B43" s="90">
        <f>'Flagellated chambers'!N10</f>
        <v>9993.933727096417</v>
      </c>
      <c r="C43" s="87"/>
      <c r="D43" s="87"/>
      <c r="E43" s="87"/>
      <c r="F43" s="87"/>
      <c r="G43" s="87"/>
      <c r="H43" s="87"/>
      <c r="I43" s="87"/>
    </row>
    <row r="44" spans="1:14">
      <c r="A44" s="87" t="s">
        <v>57</v>
      </c>
      <c r="B44" s="90">
        <f>'Flagellated chambers'!J26</f>
        <v>1088.7514888554156</v>
      </c>
      <c r="C44" s="87"/>
      <c r="D44" s="87"/>
      <c r="E44" s="87"/>
      <c r="F44" s="87"/>
      <c r="G44" s="87"/>
      <c r="H44" s="87"/>
      <c r="I44" s="87"/>
    </row>
    <row r="45" spans="1:14">
      <c r="A45" s="27" t="s">
        <v>58</v>
      </c>
      <c r="B45" s="204">
        <f>B43-B44</f>
        <v>8905.182238241001</v>
      </c>
      <c r="C45" s="87"/>
      <c r="D45" s="87"/>
      <c r="E45" s="87"/>
      <c r="F45" s="87"/>
      <c r="G45" s="87"/>
      <c r="H45" s="87"/>
      <c r="I45" s="87"/>
    </row>
    <row r="46" spans="1:14">
      <c r="A46" s="27"/>
      <c r="B46" s="90"/>
      <c r="C46" s="87"/>
      <c r="D46" s="87"/>
      <c r="E46" s="87"/>
      <c r="F46" s="87"/>
      <c r="G46" s="87"/>
      <c r="H46" s="87"/>
      <c r="I46" s="87"/>
    </row>
    <row r="47" spans="1:14">
      <c r="A47" s="87" t="s">
        <v>59</v>
      </c>
      <c r="B47" s="90">
        <f>(B45*H34/100)</f>
        <v>1466.0058184146612</v>
      </c>
      <c r="C47" s="87"/>
      <c r="D47" s="87"/>
      <c r="E47" s="87"/>
      <c r="F47" s="87"/>
      <c r="G47" s="87"/>
      <c r="H47" s="87"/>
      <c r="I47" s="87"/>
    </row>
    <row r="48" spans="1:14">
      <c r="A48" s="87"/>
      <c r="B48" s="87"/>
      <c r="C48" s="87"/>
      <c r="D48" s="87"/>
      <c r="E48" s="113"/>
      <c r="F48" s="87"/>
      <c r="G48" s="87"/>
      <c r="H48" s="87"/>
      <c r="I48" s="87"/>
    </row>
    <row r="49" spans="1:9">
      <c r="A49" s="87"/>
      <c r="B49" s="87"/>
      <c r="C49" s="87"/>
      <c r="D49" s="87"/>
      <c r="E49" s="113"/>
      <c r="F49" s="87"/>
      <c r="G49" s="87"/>
      <c r="H49" s="87"/>
      <c r="I49" s="87"/>
    </row>
    <row r="50" spans="1:9" ht="38.25">
      <c r="A50" s="87"/>
      <c r="B50" s="107" t="s">
        <v>323</v>
      </c>
      <c r="C50" s="107" t="s">
        <v>292</v>
      </c>
      <c r="D50" s="107" t="s">
        <v>60</v>
      </c>
      <c r="E50" s="111" t="s">
        <v>61</v>
      </c>
      <c r="F50" s="87"/>
      <c r="G50" s="87"/>
      <c r="H50" s="87"/>
      <c r="I50" s="87"/>
    </row>
    <row r="51" spans="1:9">
      <c r="A51" s="87"/>
      <c r="B51" s="192">
        <f>'Flagellated chambers'!H10</f>
        <v>1876.2759534210923</v>
      </c>
      <c r="C51" s="192">
        <f>B47</f>
        <v>1466.0058184146612</v>
      </c>
      <c r="D51" s="109">
        <f>B51*C51</f>
        <v>2750631.4646668374</v>
      </c>
      <c r="E51" s="86">
        <f>D51/1000000</f>
        <v>2.7506314646668373</v>
      </c>
      <c r="F51" s="110"/>
      <c r="G51" s="87"/>
      <c r="H51" s="87"/>
      <c r="I51" s="87"/>
    </row>
    <row r="52" spans="1:9">
      <c r="A52" s="87"/>
      <c r="B52" s="87"/>
      <c r="C52" s="87"/>
      <c r="D52" s="87"/>
      <c r="E52" s="112"/>
      <c r="F52" s="87"/>
      <c r="G52" s="87"/>
      <c r="H52" s="87"/>
      <c r="I52" s="87"/>
    </row>
  </sheetData>
  <phoneticPr fontId="3" type="noConversion"/>
  <pageMargins left="0.75" right="0.75" top="1" bottom="1" header="0.5" footer="0.5"/>
  <pageSetup orientation="portrait" horizontalDpi="300" verticalDpi="300"/>
  <headerFooter alignWithMargins="0"/>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_Docs_" ma:contentTypeID="0x002D49F580CD595041AD7483C2885B488D" ma:contentTypeVersion="" ma:contentTypeDescription="" ma:contentTypeScope="" ma:versionID="7d692e75cf31441e2e7bdbfbf05655ac">
  <xsd:schema xmlns:xsd="http://www.w3.org/2001/XMLSchema" xmlns:p="http://schemas.microsoft.com/office/2006/metadata/properties" xmlns:ns1="http://schemas.microsoft.com/sharepoint/v3" targetNamespace="http://schemas.microsoft.com/office/2006/metadata/properties" ma:root="true" ma:fieldsID="3e5d9eca856144ce6ca1da655f95619c" ns1:_="">
    <xsd:import namespace="http://schemas.microsoft.com/sharepoint/v3"/>
    <xsd:element name="properties">
      <xsd:complexType>
        <xsd:sequence>
          <xsd:element name="documentManagement">
            <xsd:complexType>
              <xsd:all>
                <xsd:element ref="ns1:ID" minOccurs="0"/>
                <xsd:element ref="ns1:ContentTypeId" minOccurs="0"/>
                <xsd:element ref="ns1:Author" minOccurs="0"/>
                <xsd:element ref="ns1:Editor" minOccurs="0"/>
                <xsd:element ref="ns1:_HasCopyDestinations" minOccurs="0"/>
                <xsd:element ref="ns1:_CopySource" minOccurs="0"/>
                <xsd:element ref="ns1:_ModerationStatus" minOccurs="0"/>
                <xsd:element ref="ns1:_ModerationComment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CheckedOutUserId" minOccurs="0"/>
                <xsd:element ref="ns1:IsCheckedoutToLocal" minOccurs="0"/>
                <xsd:element ref="ns1:CheckoutUser" minOccurs="0"/>
                <xsd:element ref="ns1:UniqueId" minOccurs="0"/>
                <xsd:element ref="ns1:ProgId" minOccurs="0"/>
                <xsd:element ref="ns1:ScopeId" minOccurs="0"/>
                <xsd:element ref="ns1:VirusStatus" minOccurs="0"/>
                <xsd:element ref="ns1:CheckedOutTitle" minOccurs="0"/>
                <xsd:element ref="ns1:_CheckinComment" minOccurs="0"/>
                <xsd:element ref="ns1:File_x0020_Type" minOccurs="0"/>
                <xsd:element ref="ns1:HTML_x0020_File_x0020_Type" minOccurs="0"/>
                <xsd:element ref="ns1:_SourceUrl" minOccurs="0"/>
                <xsd:element ref="ns1:_SharedFileIndex" minOccurs="0"/>
                <xsd:element ref="ns1:MetaInfo" minOccurs="0"/>
                <xsd:element ref="ns1:_Level" minOccurs="0"/>
                <xsd:element ref="ns1:_IsCurrentVersion"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AutoVersionDisabled" minOccurs="0"/>
                <xsd:element ref="ns1:ItemType" minOccurs="0"/>
                <xsd:element ref="ns1:Description"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ID" ma:index="0" nillable="true" ma:displayName="ID" ma:internalName="ID" ma:readOnly="true">
      <xsd:simpleType>
        <xsd:restriction base="dms:Unknown"/>
      </xsd:simpleType>
    </xsd:element>
    <xsd:element name="ContentTypeId" ma:index="1" nillable="true" ma:displayName="Content Type ID" ma:hidden="true" ma:internalName="ContentTypeId" ma:readOnly="true">
      <xsd:simpleType>
        <xsd:restriction base="dms:Unknown"/>
      </xsd:simpleType>
    </xsd:element>
    <xsd:element name="Author" ma:index="4"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6"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7" nillable="true" ma:displayName="Has Copy Destinations" ma:hidden="true" ma:internalName="_HasCopyDestinations" ma:readOnly="true">
      <xsd:simpleType>
        <xsd:restriction base="dms:Boolean"/>
      </xsd:simpleType>
    </xsd:element>
    <xsd:element name="_CopySource" ma:index="8" nillable="true" ma:displayName="Copy Source" ma:internalName="_CopySource" ma:readOnly="true">
      <xsd:simpleType>
        <xsd:restriction base="dms:Text"/>
      </xsd:simpleType>
    </xsd:element>
    <xsd:element name="_ModerationStatus" ma:index="9" nillable="true" ma:displayName="Approval Status" ma:default="0" ma:hidden="true" ma:internalName="_ModerationStatus" ma:readOnly="true">
      <xsd:simpleType>
        <xsd:restriction base="dms:Unknown"/>
      </xsd:simpleType>
    </xsd:element>
    <xsd:element name="_ModerationComments" ma:index="10" nillable="true" ma:displayName="Approver Comments" ma:hidden="true" ma:internalName="_ModerationComments" ma:readOnly="true">
      <xsd:simpleType>
        <xsd:restriction base="dms:Note"/>
      </xsd:simpleType>
    </xsd:element>
    <xsd:element name="FileRef" ma:index="11" nillable="true" ma:displayName="URL Path" ma:hidden="true" ma:list="Docs" ma:internalName="FileRef" ma:readOnly="true" ma:showField="FullUrl">
      <xsd:simpleType>
        <xsd:restriction base="dms:Lookup"/>
      </xsd:simpleType>
    </xsd:element>
    <xsd:element name="FileDirRef" ma:index="12" nillable="true" ma:displayName="Path" ma:hidden="true" ma:list="Docs" ma:internalName="FileDirRef" ma:readOnly="true" ma:showField="DirName">
      <xsd:simpleType>
        <xsd:restriction base="dms:Lookup"/>
      </xsd:simpleType>
    </xsd:element>
    <xsd:element name="Last_x0020_Modified" ma:index="13" nillable="true" ma:displayName="Modified" ma:format="TRUE" ma:hidden="true" ma:list="Docs" ma:internalName="Last_x0020_Modified" ma:readOnly="true" ma:showField="TimeLastModified">
      <xsd:simpleType>
        <xsd:restriction base="dms:Lookup"/>
      </xsd:simpleType>
    </xsd:element>
    <xsd:element name="Created_x0020_Date" ma:index="14" nillable="true" ma:displayName="Created" ma:format="TRUE" ma:hidden="true" ma:list="Docs" ma:internalName="Created_x0020_Date" ma:readOnly="true" ma:showField="TimeCreated">
      <xsd:simpleType>
        <xsd:restriction base="dms:Lookup"/>
      </xsd:simpleType>
    </xsd:element>
    <xsd:element name="File_x0020_Size" ma:index="15" nillable="true" ma:displayName="File Size" ma:format="TRUE" ma:hidden="true" ma:list="Docs" ma:internalName="File_x0020_Size" ma:readOnly="true" ma:showField="SizeInKB">
      <xsd:simpleType>
        <xsd:restriction base="dms:Lookup"/>
      </xsd:simpleType>
    </xsd:element>
    <xsd:element name="FSObjType" ma:index="16" nillable="true" ma:displayName="Item Type" ma:hidden="true" ma:list="Docs" ma:internalName="FSObjType" ma:readOnly="true" ma:showField="FSType">
      <xsd:simpleType>
        <xsd:restriction base="dms:Lookup"/>
      </xsd:simpleType>
    </xsd:element>
    <xsd:element name="CheckedOutUserId" ma:index="18" nillable="true" ma:displayName="ID of the User who has the item Checked Out" ma:hidden="true" ma:list="Docs" ma:internalName="CheckedOutUserId" ma:readOnly="true" ma:showField="CheckoutUserId">
      <xsd:simpleType>
        <xsd:restriction base="dms:Lookup"/>
      </xsd:simpleType>
    </xsd:element>
    <xsd:element name="IsCheckedoutToLocal" ma:index="19" nillable="true" ma:displayName="Is Checked out to local" ma:hidden="true" ma:list="Docs" ma:internalName="IsCheckedoutToLocal" ma:readOnly="true" ma:showField="IsCheckoutToLocal">
      <xsd:simpleType>
        <xsd:restriction base="dms:Lookup"/>
      </xsd:simpleType>
    </xsd:element>
    <xsd:element name="CheckoutUser" ma:index="20"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22" nillable="true" ma:displayName="Unique Id" ma:hidden="true" ma:list="Docs" ma:internalName="UniqueId" ma:readOnly="true" ma:showField="UniqueId">
      <xsd:simpleType>
        <xsd:restriction base="dms:Lookup"/>
      </xsd:simpleType>
    </xsd:element>
    <xsd:element name="ProgId" ma:index="23" nillable="true" ma:displayName="ProgId" ma:hidden="true" ma:list="Docs" ma:internalName="ProgId" ma:readOnly="true" ma:showField="ProgId">
      <xsd:simpleType>
        <xsd:restriction base="dms:Lookup"/>
      </xsd:simpleType>
    </xsd:element>
    <xsd:element name="ScopeId" ma:index="24" nillable="true" ma:displayName="ScopeId" ma:hidden="true" ma:list="Docs" ma:internalName="ScopeId" ma:readOnly="true" ma:showField="ScopeId">
      <xsd:simpleType>
        <xsd:restriction base="dms:Lookup"/>
      </xsd:simpleType>
    </xsd:element>
    <xsd:element name="VirusStatus" ma:index="25" nillable="true" ma:displayName="Virus Status" ma:format="TRUE" ma:hidden="true" ma:list="Docs" ma:internalName="VirusStatus" ma:readOnly="true" ma:showField="Size">
      <xsd:simpleType>
        <xsd:restriction base="dms:Lookup"/>
      </xsd:simpleType>
    </xsd:element>
    <xsd:element name="CheckedOutTitle" ma:index="26" nillable="true" ma:displayName="Checked Out To" ma:format="TRUE" ma:hidden="true" ma:list="Docs" ma:internalName="CheckedOutTitle" ma:readOnly="true" ma:showField="CheckedOutTitle">
      <xsd:simpleType>
        <xsd:restriction base="dms:Lookup"/>
      </xsd:simpleType>
    </xsd:element>
    <xsd:element name="_CheckinComment" ma:index="27" nillable="true" ma:displayName="Check In Comment" ma:format="TRUE" ma:list="Docs" ma:internalName="_CheckinComment" ma:readOnly="true" ma:showField="CheckinComment">
      <xsd:simpleType>
        <xsd:restriction base="dms:Lookup"/>
      </xsd:simpleType>
    </xsd:element>
    <xsd:element name="File_x0020_Type" ma:index="31" nillable="true" ma:displayName="File Type" ma:hidden="true" ma:internalName="File_x0020_Type" ma:readOnly="true">
      <xsd:simpleType>
        <xsd:restriction base="dms:Text"/>
      </xsd:simpleType>
    </xsd:element>
    <xsd:element name="HTML_x0020_File_x0020_Type" ma:index="32" nillable="true" ma:displayName="HTML File Type" ma:hidden="true" ma:internalName="HTML_x0020_File_x0020_Type" ma:readOnly="true">
      <xsd:simpleType>
        <xsd:restriction base="dms:Text"/>
      </xsd:simpleType>
    </xsd:element>
    <xsd:element name="_SourceUrl" ma:index="33" nillable="true" ma:displayName="Source Url" ma:hidden="true" ma:internalName="_SourceUrl">
      <xsd:simpleType>
        <xsd:restriction base="dms:Text"/>
      </xsd:simpleType>
    </xsd:element>
    <xsd:element name="_SharedFileIndex" ma:index="34" nillable="true" ma:displayName="Shared File Index" ma:hidden="true" ma:internalName="_SharedFileIndex">
      <xsd:simpleType>
        <xsd:restriction base="dms:Text"/>
      </xsd:simpleType>
    </xsd:element>
    <xsd:element name="MetaInfo" ma:index="44" nillable="true" ma:displayName="Property Bag" ma:hidden="true" ma:list="Docs" ma:internalName="MetaInfo" ma:showField="MetaInfo">
      <xsd:simpleType>
        <xsd:restriction base="dms:Lookup"/>
      </xsd:simpleType>
    </xsd:element>
    <xsd:element name="_Level" ma:index="45" nillable="true" ma:displayName="Level" ma:hidden="true" ma:internalName="_Level" ma:readOnly="true">
      <xsd:simpleType>
        <xsd:restriction base="dms:Unknown"/>
      </xsd:simpleType>
    </xsd:element>
    <xsd:element name="_IsCurrentVersion" ma:index="46" nillable="true" ma:displayName="Is Current Version" ma:hidden="true" ma:internalName="_IsCurrentVersion" ma:readOnly="true">
      <xsd:simpleType>
        <xsd:restriction base="dms:Boolean"/>
      </xsd:simpleType>
    </xsd:element>
    <xsd:element name="owshiddenversion" ma:index="50" nillable="true" ma:displayName="owshiddenversion" ma:hidden="true" ma:internalName="owshiddenversion" ma:readOnly="true">
      <xsd:simpleType>
        <xsd:restriction base="dms:Unknown"/>
      </xsd:simpleType>
    </xsd:element>
    <xsd:element name="_UIVersion" ma:index="51" nillable="true" ma:displayName="UI Version" ma:hidden="true" ma:internalName="_UIVersion" ma:readOnly="true">
      <xsd:simpleType>
        <xsd:restriction base="dms:Unknown"/>
      </xsd:simpleType>
    </xsd:element>
    <xsd:element name="_UIVersionString" ma:index="52" nillable="true" ma:displayName="Version" ma:internalName="_UIVersionString" ma:readOnly="true">
      <xsd:simpleType>
        <xsd:restriction base="dms:Text"/>
      </xsd:simpleType>
    </xsd:element>
    <xsd:element name="InstanceID" ma:index="53" nillable="true" ma:displayName="Instance ID" ma:hidden="true" ma:internalName="InstanceID" ma:readOnly="true">
      <xsd:simpleType>
        <xsd:restriction base="dms:Unknown"/>
      </xsd:simpleType>
    </xsd:element>
    <xsd:element name="Order" ma:index="54" nillable="true" ma:displayName="Order" ma:hidden="true" ma:internalName="Order">
      <xsd:simpleType>
        <xsd:restriction base="dms:Number"/>
      </xsd:simpleType>
    </xsd:element>
    <xsd:element name="GUID" ma:index="55" nillable="true" ma:displayName="GUID" ma:hidden="true" ma:internalName="GUID" ma:readOnly="true">
      <xsd:simpleType>
        <xsd:restriction base="dms:Unknown"/>
      </xsd:simpleType>
    </xsd:element>
    <xsd:element name="WorkflowVersion" ma:index="56" nillable="true" ma:displayName="Workflow Version" ma:hidden="true" ma:internalName="WorkflowVersion" ma:readOnly="true">
      <xsd:simpleType>
        <xsd:restriction base="dms:Unknown"/>
      </xsd:simpleType>
    </xsd:element>
    <xsd:element name="WorkflowInstanceID" ma:index="57" nillable="true" ma:displayName="Workflow Instance ID" ma:hidden="true" ma:internalName="WorkflowInstanceID" ma:readOnly="true">
      <xsd:simpleType>
        <xsd:restriction base="dms:Unknown"/>
      </xsd:simpleType>
    </xsd:element>
    <xsd:element name="ParentVersionString" ma:index="58" nillable="true" ma:displayName="Source Version (Converted Document)" ma:hidden="true" ma:list="Docs" ma:internalName="ParentVersionString" ma:readOnly="true" ma:showField="ParentVersionString">
      <xsd:simpleType>
        <xsd:restriction base="dms:Lookup"/>
      </xsd:simpleType>
    </xsd:element>
    <xsd:element name="ParentLeafName" ma:index="59" nillable="true" ma:displayName="Source Name (Converted Document)" ma:hidden="true" ma:list="Docs" ma:internalName="ParentLeafName" ma:readOnly="true" ma:showField="ParentLeafName">
      <xsd:simpleType>
        <xsd:restriction base="dms:Lookup"/>
      </xsd:simpleType>
    </xsd:element>
    <xsd:element name="AutoVersionDisabled" ma:index="60" nillable="true" ma:displayName="AutoVersionDisabled" ma:default="FALSE" ma:hidden="true" ma:internalName="AutoVersionDisabled">
      <xsd:simpleType>
        <xsd:restriction base="dms:Boolean"/>
      </xsd:simpleType>
    </xsd:element>
    <xsd:element name="ItemType" ma:index="61" nillable="true" ma:displayName="ItemType" ma:default="1" ma:hidden="true" ma:internalName="ItemType">
      <xsd:simpleType>
        <xsd:restriction base="dms:Unknown"/>
      </xsd:simpleType>
    </xsd:element>
    <xsd:element name="Description" ma:index="62" nillable="true" ma:displayName="Description" ma:hidden="true" ma:internalName="Description">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 ma:displayName="Content Type" ma:readOnly="true"/>
        <xsd:element ref="dc:title" minOccurs="0" maxOccurs="1"/>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SourceUrl xmlns="http://schemas.microsoft.com/sharepoint/v3" xsi:nil="true"/>
    <AutoVersionDisabled xmlns="http://schemas.microsoft.com/sharepoint/v3">false</AutoVersionDisabled>
    <ItemType xmlns="http://schemas.microsoft.com/sharepoint/v3">1</ItemType>
    <Order xmlns="http://schemas.microsoft.com/sharepoint/v3" xsi:nil="true"/>
    <_SharedFileIndex xmlns="http://schemas.microsoft.com/sharepoint/v3" xsi:nil="true"/>
    <MetaInfo xmlns="http://schemas.microsoft.com/sharepoint/v3" xsi:nil="true"/>
    <Description xmlns="http://schemas.microsoft.com/sharepoint/v3" xsi:nil="true"/>
  </documentManagement>
</p:properties>
</file>

<file path=customXml/itemProps1.xml><?xml version="1.0" encoding="utf-8"?>
<ds:datastoreItem xmlns:ds="http://schemas.openxmlformats.org/officeDocument/2006/customXml" ds:itemID="{F2D0F544-628E-408B-AACC-A5C2050F73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0364DFE9-3D6E-4E96-8D15-AD3E55333966}">
  <ds:schemaRefs>
    <ds:schemaRef ds:uri="http://schemas.openxmlformats.org/package/2006/metadata/core-properties"/>
    <ds:schemaRef ds:uri="http://purl.org/dc/dcmitype/"/>
    <ds:schemaRef ds:uri="http://purl.org/dc/terms/"/>
    <ds:schemaRef ds:uri="http://schemas.microsoft.com/sharepoint/v3"/>
    <ds:schemaRef ds:uri="http://www.w3.org/XML/1998/namespace"/>
    <ds:schemaRef ds:uri="http://purl.org/dc/elements/1.1/"/>
    <ds:schemaRef ds:uri="http://schemas.microsoft.com/office/2006/documentManagement/typ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vt:i4>
      </vt:variant>
    </vt:vector>
  </HeadingPairs>
  <TitlesOfParts>
    <vt:vector size="26" baseType="lpstr">
      <vt:lpstr>Summary</vt:lpstr>
      <vt:lpstr>Table 1.</vt:lpstr>
      <vt:lpstr>Table 3. Predicted passive</vt:lpstr>
      <vt:lpstr>Sup. Table 2. Sponge sizes</vt:lpstr>
      <vt:lpstr>Active pumping</vt:lpstr>
      <vt:lpstr>Ostia</vt:lpstr>
      <vt:lpstr>Subdermal space</vt:lpstr>
      <vt:lpstr>incurrent canals</vt:lpstr>
      <vt:lpstr>prosopyle</vt:lpstr>
      <vt:lpstr>collars </vt:lpstr>
      <vt:lpstr>Flagellated chambers</vt:lpstr>
      <vt:lpstr>excurrent canals</vt:lpstr>
      <vt:lpstr>Table 1. for sigma plot</vt:lpstr>
      <vt:lpstr>Recalc of mesh DH</vt:lpstr>
      <vt:lpstr>Comparison table for paper</vt:lpstr>
      <vt:lpstr>alfa</vt:lpstr>
      <vt:lpstr>AtriumArea</vt:lpstr>
      <vt:lpstr>Density</vt:lpstr>
      <vt:lpstr>ExCurrentFlowRate</vt:lpstr>
      <vt:lpstr>ExcurrentSpeed</vt:lpstr>
      <vt:lpstr>gamma</vt:lpstr>
      <vt:lpstr>OscDiam</vt:lpstr>
      <vt:lpstr>Summary!Print_Area</vt:lpstr>
      <vt:lpstr>SpVol</vt:lpstr>
      <vt:lpstr>TotalDP</vt:lpstr>
      <vt:lpstr>Viscosity</vt:lpstr>
    </vt:vector>
  </TitlesOfParts>
  <Company>Home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Sally</dc:creator>
  <cp:lastModifiedBy>Sally</cp:lastModifiedBy>
  <cp:lastPrinted>2010-01-12T15:59:02Z</cp:lastPrinted>
  <dcterms:created xsi:type="dcterms:W3CDTF">2008-12-27T22:24:52Z</dcterms:created>
  <dcterms:modified xsi:type="dcterms:W3CDTF">2015-07-16T02:13:26Z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ddDocumentEventProcessedId">
    <vt:lpwstr>57e1397d-3773-4e67-ad1a-744b64620b3a</vt:lpwstr>
  </property>
</Properties>
</file>