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6.xml" ContentType="application/vnd.openxmlformats-officedocument.drawingml.chart+xml"/>
  <Override PartName="/xl/drawings/drawing3.xml" ContentType="application/vnd.openxmlformats-officedocument.drawing+xml"/>
  <Override PartName="/xl/comments4.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lly Leys\A-Sally portege files\Papers\current\Geodia - submitted Dec 21-16\Submitted manuscript L&amp;O Dec 2016\Revision - Geodia\"/>
    </mc:Choice>
  </mc:AlternateContent>
  <bookViews>
    <workbookView xWindow="0" yWindow="0" windowWidth="21600" windowHeight="10050"/>
  </bookViews>
  <sheets>
    <sheet name="Nutrient in-ex" sheetId="1" r:id="rId1"/>
    <sheet name="Respiration summary sheet" sheetId="2" r:id="rId2"/>
    <sheet name="Excurrent velocity" sheetId="3" r:id="rId3"/>
    <sheet name="TOC " sheetId="4" r:id="rId4"/>
    <sheet name="Morphometrics" sheetId="5" r:id="rId5"/>
    <sheet name="Ash weights" sheetId="6" r:id="rId6"/>
    <sheet name="Ammonium 2014" sheetId="7" r:id="rId7"/>
  </sheets>
  <externalReferences>
    <externalReference r:id="rId8"/>
    <externalReference r:id="rId9"/>
    <externalReference r:id="rId10"/>
    <externalReference r:id="rId11"/>
    <externalReference r:id="rId1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3" i="7" l="1"/>
  <c r="B73" i="7"/>
  <c r="C72" i="7"/>
  <c r="B72" i="7"/>
  <c r="C71" i="7"/>
  <c r="B71" i="7"/>
  <c r="C70" i="7"/>
  <c r="B70" i="7"/>
  <c r="C69" i="7"/>
  <c r="B69" i="7"/>
  <c r="C68" i="7"/>
  <c r="B68" i="7"/>
  <c r="C67" i="7"/>
  <c r="B67" i="7"/>
  <c r="C66" i="7"/>
  <c r="B66" i="7"/>
  <c r="C65" i="7"/>
  <c r="B65" i="7"/>
  <c r="C64" i="7"/>
  <c r="B64" i="7"/>
  <c r="C63" i="7"/>
  <c r="B63" i="7"/>
  <c r="C62" i="7"/>
  <c r="B62" i="7"/>
  <c r="C61" i="7"/>
  <c r="B61" i="7"/>
  <c r="C60" i="7"/>
  <c r="B60" i="7"/>
  <c r="C59" i="7"/>
  <c r="B59" i="7"/>
  <c r="C58" i="7"/>
  <c r="B58" i="7"/>
  <c r="C57" i="7"/>
  <c r="B57" i="7"/>
  <c r="C56" i="7"/>
  <c r="B56" i="7"/>
  <c r="C55" i="7"/>
  <c r="B55" i="7"/>
  <c r="C54" i="7"/>
  <c r="B54" i="7"/>
  <c r="C53" i="7"/>
  <c r="B53" i="7"/>
  <c r="C52" i="7"/>
  <c r="B52" i="7"/>
  <c r="C51" i="7"/>
  <c r="B51" i="7"/>
  <c r="C50" i="7"/>
  <c r="B50" i="7"/>
  <c r="C49" i="7"/>
  <c r="B49" i="7"/>
  <c r="C48" i="7"/>
  <c r="B48" i="7"/>
  <c r="C47" i="7"/>
  <c r="B47" i="7"/>
  <c r="C46" i="7"/>
  <c r="B46" i="7"/>
  <c r="C45" i="7"/>
  <c r="B45" i="7"/>
  <c r="C44" i="7"/>
  <c r="B44" i="7"/>
  <c r="C43" i="7"/>
  <c r="B43" i="7"/>
  <c r="C42" i="7"/>
  <c r="B42" i="7"/>
  <c r="C41" i="7"/>
  <c r="B41" i="7"/>
  <c r="H40" i="7"/>
  <c r="G40" i="7"/>
  <c r="I40" i="7" s="1"/>
  <c r="F40" i="7"/>
  <c r="C40" i="7"/>
  <c r="B40" i="7"/>
  <c r="G39" i="7"/>
  <c r="I39" i="7" s="1"/>
  <c r="F39" i="7"/>
  <c r="H39" i="7" s="1"/>
  <c r="C39" i="7"/>
  <c r="B39" i="7"/>
  <c r="H38" i="7"/>
  <c r="G38" i="7"/>
  <c r="I38" i="7" s="1"/>
  <c r="F38" i="7"/>
  <c r="C38" i="7"/>
  <c r="B38" i="7"/>
  <c r="G37" i="7"/>
  <c r="I37" i="7" s="1"/>
  <c r="F37" i="7"/>
  <c r="H37" i="7" s="1"/>
  <c r="C37" i="7"/>
  <c r="B37" i="7"/>
  <c r="H36" i="7"/>
  <c r="G36" i="7"/>
  <c r="I36" i="7" s="1"/>
  <c r="F36" i="7"/>
  <c r="C36" i="7"/>
  <c r="B36" i="7"/>
  <c r="G35" i="7"/>
  <c r="I35" i="7" s="1"/>
  <c r="F35" i="7"/>
  <c r="H35" i="7" s="1"/>
  <c r="C35" i="7"/>
  <c r="B35" i="7"/>
  <c r="H34" i="7"/>
  <c r="G34" i="7"/>
  <c r="I34" i="7" s="1"/>
  <c r="F34" i="7"/>
  <c r="C34" i="7"/>
  <c r="B34" i="7"/>
  <c r="G33" i="7"/>
  <c r="F33" i="7"/>
  <c r="I33" i="7" s="1"/>
  <c r="C33" i="7"/>
  <c r="B33" i="7"/>
  <c r="H32" i="7"/>
  <c r="G32" i="7"/>
  <c r="I32" i="7" s="1"/>
  <c r="F32" i="7"/>
  <c r="C32" i="7"/>
  <c r="B32" i="7"/>
  <c r="G31" i="7"/>
  <c r="G45" i="7" s="1"/>
  <c r="F31" i="7"/>
  <c r="I31" i="7" s="1"/>
  <c r="C31" i="7"/>
  <c r="B31" i="7"/>
  <c r="H30" i="7"/>
  <c r="G30" i="7"/>
  <c r="I30" i="7" s="1"/>
  <c r="F30" i="7"/>
  <c r="C30" i="7"/>
  <c r="I29" i="7"/>
  <c r="G29" i="7"/>
  <c r="F29" i="7"/>
  <c r="H29" i="7" s="1"/>
  <c r="C29" i="7"/>
  <c r="F18" i="7" s="1"/>
  <c r="H18" i="7" s="1"/>
  <c r="G28" i="7"/>
  <c r="I28" i="7" s="1"/>
  <c r="F28" i="7"/>
  <c r="H28" i="7" s="1"/>
  <c r="C28" i="7"/>
  <c r="F48" i="7" s="1"/>
  <c r="G27" i="7"/>
  <c r="I27" i="7" s="1"/>
  <c r="F27" i="7"/>
  <c r="H27" i="7" s="1"/>
  <c r="C27" i="7"/>
  <c r="G19" i="7" s="1"/>
  <c r="I19" i="7" s="1"/>
  <c r="H26" i="7"/>
  <c r="G26" i="7"/>
  <c r="I26" i="7" s="1"/>
  <c r="F26" i="7"/>
  <c r="C26" i="7"/>
  <c r="I25" i="7"/>
  <c r="G25" i="7"/>
  <c r="H25" i="7" s="1"/>
  <c r="F25" i="7"/>
  <c r="C25" i="7"/>
  <c r="G17" i="7" s="1"/>
  <c r="I17" i="7" s="1"/>
  <c r="G24" i="7"/>
  <c r="F24" i="7"/>
  <c r="I24" i="7" s="1"/>
  <c r="C24" i="7"/>
  <c r="G23" i="7"/>
  <c r="I23" i="7" s="1"/>
  <c r="F23" i="7"/>
  <c r="H23" i="7" s="1"/>
  <c r="C23" i="7"/>
  <c r="G15" i="7" s="1"/>
  <c r="H22" i="7"/>
  <c r="G22" i="7"/>
  <c r="I22" i="7" s="1"/>
  <c r="F22" i="7"/>
  <c r="C22" i="7"/>
  <c r="B22" i="7"/>
  <c r="G21" i="7"/>
  <c r="F21" i="7"/>
  <c r="I21" i="7" s="1"/>
  <c r="C21" i="7"/>
  <c r="B21" i="7"/>
  <c r="H20" i="7"/>
  <c r="G20" i="7"/>
  <c r="I20" i="7" s="1"/>
  <c r="F20" i="7"/>
  <c r="C20" i="7"/>
  <c r="B20" i="7"/>
  <c r="F19" i="7"/>
  <c r="C19" i="7"/>
  <c r="B19" i="7"/>
  <c r="G18" i="7"/>
  <c r="I18" i="7" s="1"/>
  <c r="C18" i="7"/>
  <c r="B18" i="7"/>
  <c r="F17" i="7"/>
  <c r="H17" i="7" s="1"/>
  <c r="C17" i="7"/>
  <c r="B17" i="7"/>
  <c r="G16" i="7"/>
  <c r="C16" i="7"/>
  <c r="B16" i="7"/>
  <c r="F15" i="7"/>
  <c r="H15" i="7" s="1"/>
  <c r="C15" i="7"/>
  <c r="B15" i="7"/>
  <c r="H14" i="7"/>
  <c r="G14" i="7"/>
  <c r="I14" i="7" s="1"/>
  <c r="F14" i="7"/>
  <c r="C14" i="7"/>
  <c r="B14" i="7"/>
  <c r="G13" i="7"/>
  <c r="F13" i="7"/>
  <c r="I13" i="7" s="1"/>
  <c r="C13" i="7"/>
  <c r="G12" i="7"/>
  <c r="I12" i="7" s="1"/>
  <c r="F12" i="7"/>
  <c r="H12" i="7" s="1"/>
  <c r="C12" i="7"/>
  <c r="H11" i="7"/>
  <c r="G11" i="7"/>
  <c r="I11" i="7" s="1"/>
  <c r="F11" i="7"/>
  <c r="C11" i="7"/>
  <c r="I10" i="7"/>
  <c r="G10" i="7"/>
  <c r="H10" i="7" s="1"/>
  <c r="F10" i="7"/>
  <c r="C10" i="7"/>
  <c r="L56" i="6"/>
  <c r="K56" i="6"/>
  <c r="J56" i="6"/>
  <c r="L55" i="6"/>
  <c r="K55" i="6"/>
  <c r="J55" i="6"/>
  <c r="H55" i="6"/>
  <c r="G55" i="6"/>
  <c r="I54" i="6"/>
  <c r="I53" i="6"/>
  <c r="I52" i="6"/>
  <c r="I51" i="6"/>
  <c r="I50" i="6"/>
  <c r="I49" i="6"/>
  <c r="I48" i="6"/>
  <c r="I47" i="6"/>
  <c r="I46" i="6"/>
  <c r="M44" i="6"/>
  <c r="N44" i="6" s="1"/>
  <c r="O44" i="6" s="1"/>
  <c r="P44" i="6" s="1"/>
  <c r="I44" i="6"/>
  <c r="M43" i="6"/>
  <c r="N43" i="6" s="1"/>
  <c r="O43" i="6" s="1"/>
  <c r="P43" i="6" s="1"/>
  <c r="I43" i="6"/>
  <c r="M42" i="6"/>
  <c r="N42" i="6" s="1"/>
  <c r="O42" i="6" s="1"/>
  <c r="P42" i="6" s="1"/>
  <c r="I42" i="6"/>
  <c r="N41" i="6"/>
  <c r="O41" i="6" s="1"/>
  <c r="P41" i="6" s="1"/>
  <c r="M41" i="6"/>
  <c r="I41" i="6"/>
  <c r="M40" i="6"/>
  <c r="N40" i="6" s="1"/>
  <c r="O40" i="6" s="1"/>
  <c r="P40" i="6" s="1"/>
  <c r="I40" i="6"/>
  <c r="M39" i="6"/>
  <c r="N39" i="6" s="1"/>
  <c r="O39" i="6" s="1"/>
  <c r="P39" i="6" s="1"/>
  <c r="I39" i="6"/>
  <c r="M38" i="6"/>
  <c r="N38" i="6" s="1"/>
  <c r="O38" i="6" s="1"/>
  <c r="P38" i="6" s="1"/>
  <c r="I38" i="6"/>
  <c r="N37" i="6"/>
  <c r="O37" i="6" s="1"/>
  <c r="P37" i="6" s="1"/>
  <c r="M37" i="6"/>
  <c r="I37" i="6"/>
  <c r="M36" i="6"/>
  <c r="N36" i="6" s="1"/>
  <c r="O36" i="6" s="1"/>
  <c r="P36" i="6" s="1"/>
  <c r="I36" i="6"/>
  <c r="M35" i="6"/>
  <c r="N35" i="6" s="1"/>
  <c r="O35" i="6" s="1"/>
  <c r="P35" i="6" s="1"/>
  <c r="I35" i="6"/>
  <c r="I55" i="6" s="1"/>
  <c r="Q34" i="6"/>
  <c r="N34" i="6"/>
  <c r="M34" i="6"/>
  <c r="I34" i="6"/>
  <c r="L32" i="6"/>
  <c r="K32" i="6"/>
  <c r="J32" i="6"/>
  <c r="H32" i="6"/>
  <c r="G32" i="6"/>
  <c r="I31" i="6"/>
  <c r="I30" i="6"/>
  <c r="I29" i="6"/>
  <c r="I28" i="6"/>
  <c r="I27" i="6"/>
  <c r="I26" i="6"/>
  <c r="M25" i="6"/>
  <c r="N25" i="6" s="1"/>
  <c r="O25" i="6" s="1"/>
  <c r="P25" i="6" s="1"/>
  <c r="I25" i="6"/>
  <c r="M24" i="6"/>
  <c r="N24" i="6" s="1"/>
  <c r="O24" i="6" s="1"/>
  <c r="P24" i="6" s="1"/>
  <c r="I24" i="6"/>
  <c r="M23" i="6"/>
  <c r="N23" i="6" s="1"/>
  <c r="O23" i="6" s="1"/>
  <c r="P23" i="6" s="1"/>
  <c r="I23" i="6"/>
  <c r="N22" i="6"/>
  <c r="O22" i="6" s="1"/>
  <c r="P22" i="6" s="1"/>
  <c r="M22" i="6"/>
  <c r="I22" i="6"/>
  <c r="M21" i="6"/>
  <c r="N21" i="6" s="1"/>
  <c r="O21" i="6" s="1"/>
  <c r="P21" i="6" s="1"/>
  <c r="I21" i="6"/>
  <c r="I32" i="6" s="1"/>
  <c r="Q20" i="6"/>
  <c r="M20" i="6"/>
  <c r="M32" i="6" s="1"/>
  <c r="I20" i="6"/>
  <c r="L18" i="6"/>
  <c r="K18" i="6"/>
  <c r="J18" i="6"/>
  <c r="H18" i="6"/>
  <c r="G18" i="6"/>
  <c r="I17" i="6"/>
  <c r="I16" i="6"/>
  <c r="I15" i="6"/>
  <c r="M14" i="6"/>
  <c r="N14" i="6" s="1"/>
  <c r="O14" i="6" s="1"/>
  <c r="P14" i="6" s="1"/>
  <c r="I14" i="6"/>
  <c r="M13" i="6"/>
  <c r="N13" i="6" s="1"/>
  <c r="O13" i="6" s="1"/>
  <c r="P13" i="6" s="1"/>
  <c r="I13" i="6"/>
  <c r="Q12" i="6"/>
  <c r="N12" i="6"/>
  <c r="O12" i="6" s="1"/>
  <c r="M12" i="6"/>
  <c r="M18" i="6" s="1"/>
  <c r="I12" i="6"/>
  <c r="I18" i="6" s="1"/>
  <c r="M34" i="5"/>
  <c r="D34" i="5"/>
  <c r="M32" i="5"/>
  <c r="D32" i="5"/>
  <c r="M31" i="5"/>
  <c r="M33" i="5" s="1"/>
  <c r="I31" i="5"/>
  <c r="H31" i="5"/>
  <c r="F31" i="5"/>
  <c r="E31" i="5"/>
  <c r="D31" i="5"/>
  <c r="D33" i="5" s="1"/>
  <c r="O30" i="5"/>
  <c r="N30" i="5"/>
  <c r="J30" i="5"/>
  <c r="L30" i="5" s="1"/>
  <c r="G30" i="5"/>
  <c r="C30" i="5"/>
  <c r="B30" i="5"/>
  <c r="O29" i="5"/>
  <c r="N29" i="5"/>
  <c r="K29" i="5"/>
  <c r="J29" i="5"/>
  <c r="L29" i="5" s="1"/>
  <c r="G29" i="5"/>
  <c r="C29" i="5"/>
  <c r="B29" i="5"/>
  <c r="O28" i="5"/>
  <c r="N28" i="5"/>
  <c r="K28" i="5"/>
  <c r="J28" i="5"/>
  <c r="L28" i="5" s="1"/>
  <c r="G28" i="5"/>
  <c r="C28" i="5"/>
  <c r="B28" i="5"/>
  <c r="O27" i="5"/>
  <c r="N27" i="5"/>
  <c r="K27" i="5"/>
  <c r="J27" i="5"/>
  <c r="L27" i="5" s="1"/>
  <c r="G27" i="5"/>
  <c r="C27" i="5"/>
  <c r="B27" i="5"/>
  <c r="O26" i="5"/>
  <c r="N26" i="5"/>
  <c r="K26" i="5"/>
  <c r="J26" i="5"/>
  <c r="L26" i="5" s="1"/>
  <c r="G26" i="5"/>
  <c r="C26" i="5"/>
  <c r="B26" i="5"/>
  <c r="O25" i="5"/>
  <c r="N25" i="5"/>
  <c r="K25" i="5"/>
  <c r="J25" i="5"/>
  <c r="L25" i="5" s="1"/>
  <c r="G25" i="5"/>
  <c r="C25" i="5"/>
  <c r="B25" i="5"/>
  <c r="N24" i="5"/>
  <c r="K24" i="5"/>
  <c r="J24" i="5"/>
  <c r="L24" i="5" s="1"/>
  <c r="G24" i="5"/>
  <c r="C24" i="5"/>
  <c r="B24" i="5"/>
  <c r="O23" i="5"/>
  <c r="N23" i="5"/>
  <c r="K23" i="5"/>
  <c r="J23" i="5"/>
  <c r="L23" i="5" s="1"/>
  <c r="G23" i="5"/>
  <c r="C23" i="5"/>
  <c r="B23" i="5"/>
  <c r="O22" i="5"/>
  <c r="N22" i="5"/>
  <c r="K22" i="5"/>
  <c r="J22" i="5"/>
  <c r="L22" i="5" s="1"/>
  <c r="G22" i="5"/>
  <c r="C22" i="5"/>
  <c r="B22" i="5"/>
  <c r="O21" i="5"/>
  <c r="N21" i="5"/>
  <c r="K21" i="5"/>
  <c r="J21" i="5"/>
  <c r="L21" i="5" s="1"/>
  <c r="G21" i="5"/>
  <c r="C21" i="5"/>
  <c r="B21" i="5"/>
  <c r="O20" i="5"/>
  <c r="N20" i="5"/>
  <c r="K20" i="5"/>
  <c r="J20" i="5"/>
  <c r="L20" i="5" s="1"/>
  <c r="G20" i="5"/>
  <c r="C20" i="5"/>
  <c r="B20" i="5"/>
  <c r="O19" i="5"/>
  <c r="N19" i="5"/>
  <c r="K19" i="5"/>
  <c r="J19" i="5"/>
  <c r="L19" i="5" s="1"/>
  <c r="G19" i="5"/>
  <c r="C19" i="5"/>
  <c r="B19" i="5"/>
  <c r="O18" i="5"/>
  <c r="N18" i="5"/>
  <c r="K18" i="5"/>
  <c r="J18" i="5"/>
  <c r="L18" i="5" s="1"/>
  <c r="G18" i="5"/>
  <c r="C18" i="5"/>
  <c r="B18" i="5"/>
  <c r="O17" i="5"/>
  <c r="N17" i="5"/>
  <c r="K17" i="5"/>
  <c r="J17" i="5"/>
  <c r="L17" i="5" s="1"/>
  <c r="G17" i="5"/>
  <c r="C17" i="5"/>
  <c r="B17" i="5"/>
  <c r="O16" i="5"/>
  <c r="N16" i="5"/>
  <c r="K16" i="5"/>
  <c r="J16" i="5"/>
  <c r="L16" i="5" s="1"/>
  <c r="G16" i="5"/>
  <c r="C16" i="5"/>
  <c r="B16" i="5"/>
  <c r="O15" i="5"/>
  <c r="N15" i="5"/>
  <c r="K15" i="5"/>
  <c r="J15" i="5"/>
  <c r="L15" i="5" s="1"/>
  <c r="G15" i="5"/>
  <c r="C15" i="5"/>
  <c r="B15" i="5"/>
  <c r="O14" i="5"/>
  <c r="O24" i="5" s="1"/>
  <c r="N14" i="5"/>
  <c r="K14" i="5"/>
  <c r="J14" i="5"/>
  <c r="L14" i="5" s="1"/>
  <c r="G14" i="5"/>
  <c r="C14" i="5"/>
  <c r="B14" i="5"/>
  <c r="O13" i="5"/>
  <c r="N13" i="5"/>
  <c r="K13" i="5"/>
  <c r="J13" i="5"/>
  <c r="L13" i="5" s="1"/>
  <c r="G13" i="5"/>
  <c r="C13" i="5"/>
  <c r="B13" i="5"/>
  <c r="O12" i="5"/>
  <c r="N12" i="5"/>
  <c r="K12" i="5"/>
  <c r="J12" i="5"/>
  <c r="L12" i="5" s="1"/>
  <c r="G12" i="5"/>
  <c r="C12" i="5"/>
  <c r="B12" i="5"/>
  <c r="O11" i="5"/>
  <c r="N11" i="5"/>
  <c r="K11" i="5"/>
  <c r="J11" i="5"/>
  <c r="L11" i="5" s="1"/>
  <c r="G11" i="5"/>
  <c r="C11" i="5"/>
  <c r="B11" i="5"/>
  <c r="O10" i="5"/>
  <c r="N10" i="5"/>
  <c r="K10" i="5"/>
  <c r="J10" i="5"/>
  <c r="L10" i="5" s="1"/>
  <c r="G10" i="5"/>
  <c r="C10" i="5"/>
  <c r="B10" i="5"/>
  <c r="O9" i="5"/>
  <c r="N9" i="5"/>
  <c r="K9" i="5"/>
  <c r="J9" i="5"/>
  <c r="L9" i="5" s="1"/>
  <c r="G9" i="5"/>
  <c r="C9" i="5"/>
  <c r="B9" i="5"/>
  <c r="O8" i="5"/>
  <c r="O34" i="5" s="1"/>
  <c r="N8" i="5"/>
  <c r="N34" i="5" s="1"/>
  <c r="K8" i="5"/>
  <c r="J8" i="5"/>
  <c r="L8" i="5" s="1"/>
  <c r="G8" i="5"/>
  <c r="C8" i="5"/>
  <c r="B8" i="5"/>
  <c r="O7" i="5"/>
  <c r="N7" i="5"/>
  <c r="K7" i="5"/>
  <c r="J7" i="5"/>
  <c r="L7" i="5" s="1"/>
  <c r="G7" i="5"/>
  <c r="C7" i="5"/>
  <c r="B7" i="5"/>
  <c r="O6" i="5"/>
  <c r="N6" i="5"/>
  <c r="K6" i="5"/>
  <c r="J6" i="5"/>
  <c r="L6" i="5" s="1"/>
  <c r="G6" i="5"/>
  <c r="C6" i="5"/>
  <c r="B6" i="5"/>
  <c r="O5" i="5"/>
  <c r="O31" i="5" s="1"/>
  <c r="N5" i="5"/>
  <c r="N31" i="5" s="1"/>
  <c r="K5" i="5"/>
  <c r="J5" i="5"/>
  <c r="L5" i="5" s="1"/>
  <c r="L31" i="5" s="1"/>
  <c r="G5" i="5"/>
  <c r="G31" i="5" s="1"/>
  <c r="C5" i="5"/>
  <c r="C31" i="5" s="1"/>
  <c r="B5" i="5"/>
  <c r="B31" i="5" s="1"/>
  <c r="L83" i="4"/>
  <c r="M83" i="4" s="1"/>
  <c r="Z37" i="4" s="1"/>
  <c r="AA37" i="4" s="1"/>
  <c r="L82" i="4"/>
  <c r="M82" i="4" s="1"/>
  <c r="Z36" i="4" s="1"/>
  <c r="AA36" i="4" s="1"/>
  <c r="L81" i="4"/>
  <c r="M81" i="4" s="1"/>
  <c r="Z35" i="4" s="1"/>
  <c r="AA35" i="4" s="1"/>
  <c r="L80" i="4"/>
  <c r="M80" i="4" s="1"/>
  <c r="Z34" i="4" s="1"/>
  <c r="AA34" i="4" s="1"/>
  <c r="L79" i="4"/>
  <c r="M79" i="4" s="1"/>
  <c r="Z33" i="4" s="1"/>
  <c r="AA33" i="4" s="1"/>
  <c r="L77" i="4"/>
  <c r="M77" i="4" s="1"/>
  <c r="U35" i="4" s="1"/>
  <c r="V35" i="4" s="1"/>
  <c r="L76" i="4"/>
  <c r="M76" i="4" s="1"/>
  <c r="U34" i="4" s="1"/>
  <c r="V34" i="4" s="1"/>
  <c r="L75" i="4"/>
  <c r="M75" i="4" s="1"/>
  <c r="U33" i="4" s="1"/>
  <c r="V33" i="4" s="1"/>
  <c r="X33" i="4" s="1"/>
  <c r="L73" i="4"/>
  <c r="M73" i="4" s="1"/>
  <c r="Z32" i="4" s="1"/>
  <c r="AA32" i="4" s="1"/>
  <c r="L72" i="4"/>
  <c r="M72" i="4" s="1"/>
  <c r="Z31" i="4" s="1"/>
  <c r="AA31" i="4" s="1"/>
  <c r="L71" i="4"/>
  <c r="M71" i="4" s="1"/>
  <c r="Z30" i="4" s="1"/>
  <c r="L70" i="4"/>
  <c r="M70" i="4" s="1"/>
  <c r="Z29" i="4" s="1"/>
  <c r="AA29" i="4" s="1"/>
  <c r="L69" i="4"/>
  <c r="M69" i="4" s="1"/>
  <c r="L67" i="4"/>
  <c r="M67" i="4" s="1"/>
  <c r="U30" i="4" s="1"/>
  <c r="V30" i="4" s="1"/>
  <c r="L66" i="4"/>
  <c r="M66" i="4" s="1"/>
  <c r="L65" i="4"/>
  <c r="M65" i="4" s="1"/>
  <c r="L63" i="4"/>
  <c r="M63" i="4" s="1"/>
  <c r="L62" i="4"/>
  <c r="M62" i="4" s="1"/>
  <c r="Z26" i="4" s="1"/>
  <c r="AA26" i="4" s="1"/>
  <c r="L61" i="4"/>
  <c r="M61" i="4" s="1"/>
  <c r="Z25" i="4" s="1"/>
  <c r="AA25" i="4" s="1"/>
  <c r="L60" i="4"/>
  <c r="M60" i="4" s="1"/>
  <c r="Z24" i="4" s="1"/>
  <c r="AA24" i="4" s="1"/>
  <c r="L59" i="4"/>
  <c r="M59" i="4" s="1"/>
  <c r="Z23" i="4" s="1"/>
  <c r="AA23" i="4" s="1"/>
  <c r="L57" i="4"/>
  <c r="M57" i="4" s="1"/>
  <c r="L56" i="4"/>
  <c r="M56" i="4" s="1"/>
  <c r="U24" i="4" s="1"/>
  <c r="V24" i="4" s="1"/>
  <c r="L55" i="4"/>
  <c r="M55" i="4" s="1"/>
  <c r="U23" i="4" s="1"/>
  <c r="L53" i="4"/>
  <c r="M53" i="4" s="1"/>
  <c r="Z22" i="4" s="1"/>
  <c r="L52" i="4"/>
  <c r="M52" i="4" s="1"/>
  <c r="Z21" i="4" s="1"/>
  <c r="L51" i="4"/>
  <c r="M51" i="4" s="1"/>
  <c r="Z20" i="4" s="1"/>
  <c r="L50" i="4"/>
  <c r="M50" i="4" s="1"/>
  <c r="Z19" i="4" s="1"/>
  <c r="AA19" i="4" s="1"/>
  <c r="L49" i="4"/>
  <c r="M49" i="4" s="1"/>
  <c r="Z18" i="4" s="1"/>
  <c r="M48" i="4"/>
  <c r="L48" i="4"/>
  <c r="P47" i="4"/>
  <c r="P48" i="4" s="1"/>
  <c r="L46" i="4"/>
  <c r="M46" i="4" s="1"/>
  <c r="U19" i="4" s="1"/>
  <c r="V19" i="4" s="1"/>
  <c r="L45" i="4"/>
  <c r="M45" i="4" s="1"/>
  <c r="U18" i="4" s="1"/>
  <c r="V18" i="4" s="1"/>
  <c r="L44" i="4"/>
  <c r="M44" i="4" s="1"/>
  <c r="S43" i="4"/>
  <c r="R43" i="4"/>
  <c r="M42" i="4"/>
  <c r="L42" i="4"/>
  <c r="L41" i="4"/>
  <c r="M41" i="4" s="1"/>
  <c r="M40" i="4"/>
  <c r="L40" i="4"/>
  <c r="L39" i="4"/>
  <c r="M39" i="4" s="1"/>
  <c r="L38" i="4"/>
  <c r="M38" i="4" s="1"/>
  <c r="L36" i="4"/>
  <c r="M36" i="4" s="1"/>
  <c r="U14" i="4" s="1"/>
  <c r="V14" i="4" s="1"/>
  <c r="M35" i="4"/>
  <c r="L35" i="4"/>
  <c r="L34" i="4"/>
  <c r="M34" i="4" s="1"/>
  <c r="M32" i="4"/>
  <c r="L32" i="4"/>
  <c r="L31" i="4"/>
  <c r="M31" i="4" s="1"/>
  <c r="AA30" i="4"/>
  <c r="M30" i="4"/>
  <c r="Z9" i="4" s="1"/>
  <c r="AA9" i="4" s="1"/>
  <c r="L30" i="4"/>
  <c r="U29" i="4"/>
  <c r="V29" i="4" s="1"/>
  <c r="L29" i="4"/>
  <c r="M29" i="4" s="1"/>
  <c r="Z8" i="4" s="1"/>
  <c r="AA8" i="4" s="1"/>
  <c r="Z28" i="4"/>
  <c r="U28" i="4"/>
  <c r="L28" i="4"/>
  <c r="M28" i="4" s="1"/>
  <c r="Z7" i="4" s="1"/>
  <c r="Z27" i="4"/>
  <c r="AA27" i="4" s="1"/>
  <c r="L26" i="4"/>
  <c r="M26" i="4" s="1"/>
  <c r="U25" i="4"/>
  <c r="V25" i="4" s="1"/>
  <c r="L25" i="4"/>
  <c r="M25" i="4" s="1"/>
  <c r="U8" i="4" s="1"/>
  <c r="M24" i="4"/>
  <c r="L24" i="4"/>
  <c r="AA22" i="4"/>
  <c r="M22" i="4"/>
  <c r="L22" i="4"/>
  <c r="AA21" i="4"/>
  <c r="M21" i="4"/>
  <c r="L21" i="4"/>
  <c r="AA20" i="4"/>
  <c r="L20" i="4"/>
  <c r="M20" i="4" s="1"/>
  <c r="S7" i="4" s="1"/>
  <c r="S38" i="4" s="1"/>
  <c r="S42" i="4" s="1"/>
  <c r="AA18" i="4"/>
  <c r="M18" i="4"/>
  <c r="L18" i="4"/>
  <c r="Z17" i="4"/>
  <c r="AA17" i="4" s="1"/>
  <c r="U17" i="4"/>
  <c r="L17" i="4"/>
  <c r="M17" i="4" s="1"/>
  <c r="Z16" i="4"/>
  <c r="AA16" i="4" s="1"/>
  <c r="L16" i="4"/>
  <c r="M16" i="4" s="1"/>
  <c r="Z15" i="4"/>
  <c r="AA15" i="4" s="1"/>
  <c r="Z14" i="4"/>
  <c r="AA14" i="4" s="1"/>
  <c r="L14" i="4"/>
  <c r="M14" i="4" s="1"/>
  <c r="Z13" i="4"/>
  <c r="AA13" i="4" s="1"/>
  <c r="U13" i="4"/>
  <c r="V13" i="4" s="1"/>
  <c r="L13" i="4"/>
  <c r="M13" i="4" s="1"/>
  <c r="Z12" i="4"/>
  <c r="AA12" i="4" s="1"/>
  <c r="U12" i="4"/>
  <c r="V12" i="4" s="1"/>
  <c r="X12" i="4" s="1"/>
  <c r="M12" i="4"/>
  <c r="L12" i="4"/>
  <c r="D12" i="4"/>
  <c r="Z11" i="4"/>
  <c r="AA11" i="4" s="1"/>
  <c r="L11" i="4"/>
  <c r="M11" i="4" s="1"/>
  <c r="Q7" i="4" s="1"/>
  <c r="Z10" i="4"/>
  <c r="AA10" i="4" s="1"/>
  <c r="Q10" i="4"/>
  <c r="U9" i="4"/>
  <c r="V9" i="4" s="1"/>
  <c r="S9" i="4"/>
  <c r="R9" i="4"/>
  <c r="Q9" i="4"/>
  <c r="L9" i="4"/>
  <c r="M9" i="4" s="1"/>
  <c r="P10" i="4" s="1"/>
  <c r="S8" i="4"/>
  <c r="R8" i="4"/>
  <c r="Q8" i="4"/>
  <c r="L8" i="4"/>
  <c r="M8" i="4" s="1"/>
  <c r="P9" i="4" s="1"/>
  <c r="V7" i="4"/>
  <c r="U7" i="4"/>
  <c r="R7" i="4"/>
  <c r="R38" i="4" s="1"/>
  <c r="R42" i="4" s="1"/>
  <c r="L7" i="4"/>
  <c r="M7" i="4" s="1"/>
  <c r="P8" i="4" s="1"/>
  <c r="M6" i="4"/>
  <c r="P7" i="4" s="1"/>
  <c r="L6" i="4"/>
  <c r="R26" i="3"/>
  <c r="L26" i="3"/>
  <c r="K26" i="3"/>
  <c r="J26" i="3"/>
  <c r="I26" i="3"/>
  <c r="H26" i="3"/>
  <c r="G26" i="3"/>
  <c r="F26" i="3"/>
  <c r="C26" i="3"/>
  <c r="R25" i="3"/>
  <c r="L25" i="3"/>
  <c r="K25" i="3"/>
  <c r="J25" i="3"/>
  <c r="I25" i="3"/>
  <c r="H25" i="3"/>
  <c r="G25" i="3"/>
  <c r="F25" i="3"/>
  <c r="C25" i="3"/>
  <c r="R24" i="3"/>
  <c r="L24" i="3"/>
  <c r="K24" i="3"/>
  <c r="J24" i="3"/>
  <c r="I24" i="3"/>
  <c r="H24" i="3"/>
  <c r="G24" i="3"/>
  <c r="F24" i="3"/>
  <c r="C24" i="3"/>
  <c r="R23" i="3"/>
  <c r="L23" i="3"/>
  <c r="K23" i="3"/>
  <c r="J23" i="3"/>
  <c r="I23" i="3"/>
  <c r="H23" i="3"/>
  <c r="G23" i="3"/>
  <c r="F23" i="3"/>
  <c r="C23" i="3"/>
  <c r="R22" i="3"/>
  <c r="L22" i="3"/>
  <c r="K22" i="3"/>
  <c r="J22" i="3"/>
  <c r="I22" i="3"/>
  <c r="H22" i="3"/>
  <c r="G22" i="3"/>
  <c r="F22" i="3"/>
  <c r="C22" i="3"/>
  <c r="R21" i="3"/>
  <c r="K21" i="3"/>
  <c r="J21" i="3"/>
  <c r="I21" i="3"/>
  <c r="H21" i="3"/>
  <c r="G21" i="3"/>
  <c r="F21" i="3"/>
  <c r="C21" i="3"/>
  <c r="R20" i="3"/>
  <c r="R19" i="3"/>
  <c r="L19" i="3"/>
  <c r="K19" i="3"/>
  <c r="J19" i="3"/>
  <c r="I19" i="3"/>
  <c r="H19" i="3"/>
  <c r="F19" i="3"/>
  <c r="C19" i="3"/>
  <c r="R18" i="3"/>
  <c r="L18" i="3"/>
  <c r="K18" i="3"/>
  <c r="J18" i="3"/>
  <c r="I18" i="3"/>
  <c r="H18" i="3"/>
  <c r="G18" i="3"/>
  <c r="C18" i="3"/>
  <c r="R17" i="3"/>
  <c r="L17" i="3"/>
  <c r="K17" i="3"/>
  <c r="J17" i="3"/>
  <c r="I17" i="3"/>
  <c r="H17" i="3"/>
  <c r="G17" i="3"/>
  <c r="F17" i="3"/>
  <c r="C17" i="3"/>
  <c r="R16" i="3"/>
  <c r="L16" i="3"/>
  <c r="K16" i="3"/>
  <c r="J16" i="3"/>
  <c r="I16" i="3"/>
  <c r="H16" i="3"/>
  <c r="G16" i="3"/>
  <c r="F16" i="3"/>
  <c r="C16" i="3"/>
  <c r="R15" i="3"/>
  <c r="K15" i="3"/>
  <c r="J15" i="3"/>
  <c r="I15" i="3"/>
  <c r="H15" i="3"/>
  <c r="G15" i="3"/>
  <c r="F15" i="3"/>
  <c r="C15" i="3"/>
  <c r="R14" i="3"/>
  <c r="L14" i="3"/>
  <c r="K14" i="3"/>
  <c r="J14" i="3"/>
  <c r="I14" i="3"/>
  <c r="H14" i="3"/>
  <c r="G14" i="3"/>
  <c r="F14" i="3"/>
  <c r="C14" i="3"/>
  <c r="R13" i="3"/>
  <c r="L13" i="3"/>
  <c r="K13" i="3"/>
  <c r="J13" i="3"/>
  <c r="I13" i="3"/>
  <c r="H13" i="3"/>
  <c r="G13" i="3"/>
  <c r="F13" i="3"/>
  <c r="C13" i="3"/>
  <c r="R12" i="3"/>
  <c r="L12" i="3"/>
  <c r="K12" i="3"/>
  <c r="J12" i="3"/>
  <c r="I12" i="3"/>
  <c r="H12" i="3"/>
  <c r="G12" i="3"/>
  <c r="F12" i="3"/>
  <c r="C12" i="3"/>
  <c r="R11" i="3"/>
  <c r="L11" i="3"/>
  <c r="K11" i="3"/>
  <c r="J11" i="3"/>
  <c r="H11" i="3"/>
  <c r="G11" i="3"/>
  <c r="F11" i="3"/>
  <c r="C11" i="3"/>
  <c r="R10" i="3"/>
  <c r="L10" i="3"/>
  <c r="K10" i="3"/>
  <c r="J10" i="3"/>
  <c r="I10" i="3"/>
  <c r="H10" i="3"/>
  <c r="G10" i="3"/>
  <c r="F10" i="3"/>
  <c r="C10" i="3"/>
  <c r="R9" i="3"/>
  <c r="L9" i="3"/>
  <c r="K9" i="3"/>
  <c r="J9" i="3"/>
  <c r="I9" i="3"/>
  <c r="H9" i="3"/>
  <c r="G9" i="3"/>
  <c r="K43" i="2"/>
  <c r="J43" i="2"/>
  <c r="G43" i="2"/>
  <c r="D43" i="2"/>
  <c r="H43" i="2" s="1"/>
  <c r="I43" i="2" s="1"/>
  <c r="C43" i="2"/>
  <c r="E43" i="2" s="1"/>
  <c r="F43" i="2" s="1"/>
  <c r="J42" i="2"/>
  <c r="K42" i="2" s="1"/>
  <c r="G42" i="2"/>
  <c r="D42" i="2"/>
  <c r="H42" i="2" s="1"/>
  <c r="I42" i="2" s="1"/>
  <c r="C42" i="2"/>
  <c r="K41" i="2"/>
  <c r="J41" i="2"/>
  <c r="G41" i="2"/>
  <c r="D41" i="2"/>
  <c r="H41" i="2" s="1"/>
  <c r="I41" i="2" s="1"/>
  <c r="C41" i="2"/>
  <c r="E41" i="2" s="1"/>
  <c r="F41" i="2" s="1"/>
  <c r="J40" i="2"/>
  <c r="K40" i="2" s="1"/>
  <c r="G40" i="2"/>
  <c r="E40" i="2"/>
  <c r="D40" i="2"/>
  <c r="H40" i="2" s="1"/>
  <c r="I40" i="2" s="1"/>
  <c r="C40" i="2"/>
  <c r="K27" i="2"/>
  <c r="L27" i="2" s="1"/>
  <c r="J27" i="2"/>
  <c r="G27" i="2"/>
  <c r="H27" i="2" s="1"/>
  <c r="I27" i="2" s="1"/>
  <c r="E27" i="2"/>
  <c r="F27" i="2" s="1"/>
  <c r="D27" i="2"/>
  <c r="C27" i="2"/>
  <c r="J26" i="2"/>
  <c r="K26" i="2" s="1"/>
  <c r="L26" i="2" s="1"/>
  <c r="G26" i="2"/>
  <c r="H26" i="2" s="1"/>
  <c r="I26" i="2" s="1"/>
  <c r="E26" i="2"/>
  <c r="F26" i="2" s="1"/>
  <c r="D26" i="2"/>
  <c r="C26" i="2"/>
  <c r="K25" i="2"/>
  <c r="J25" i="2"/>
  <c r="G25" i="2"/>
  <c r="H25" i="2" s="1"/>
  <c r="I25" i="2" s="1"/>
  <c r="E25" i="2"/>
  <c r="F25" i="2" s="1"/>
  <c r="D25" i="2"/>
  <c r="C25" i="2"/>
  <c r="J24" i="2"/>
  <c r="K24" i="2" s="1"/>
  <c r="G24" i="2"/>
  <c r="H24" i="2" s="1"/>
  <c r="I24" i="2" s="1"/>
  <c r="E24" i="2"/>
  <c r="F24" i="2" s="1"/>
  <c r="D24" i="2"/>
  <c r="C24" i="2"/>
  <c r="K23" i="2"/>
  <c r="J23" i="2"/>
  <c r="G23" i="2"/>
  <c r="H23" i="2" s="1"/>
  <c r="I23" i="2" s="1"/>
  <c r="E23" i="2"/>
  <c r="D23" i="2"/>
  <c r="C23" i="2"/>
  <c r="J22" i="2"/>
  <c r="K22" i="2" s="1"/>
  <c r="L22" i="2" s="1"/>
  <c r="G22" i="2"/>
  <c r="E22" i="2"/>
  <c r="F22" i="2" s="1"/>
  <c r="D22" i="2"/>
  <c r="H22" i="2" s="1"/>
  <c r="I22" i="2" s="1"/>
  <c r="C22" i="2"/>
  <c r="K21" i="2"/>
  <c r="L21" i="2" s="1"/>
  <c r="J21" i="2"/>
  <c r="G21" i="2"/>
  <c r="H21" i="2" s="1"/>
  <c r="I21" i="2" s="1"/>
  <c r="E21" i="2"/>
  <c r="D21" i="2"/>
  <c r="C21" i="2"/>
  <c r="J20" i="2"/>
  <c r="K20" i="2" s="1"/>
  <c r="G20" i="2"/>
  <c r="E20" i="2"/>
  <c r="F20" i="2" s="1"/>
  <c r="D20" i="2"/>
  <c r="H20" i="2" s="1"/>
  <c r="I20" i="2" s="1"/>
  <c r="C20" i="2"/>
  <c r="O19" i="2"/>
  <c r="K19" i="2"/>
  <c r="L19" i="2" s="1"/>
  <c r="J19" i="2"/>
  <c r="G19" i="2"/>
  <c r="H19" i="2" s="1"/>
  <c r="I19" i="2" s="1"/>
  <c r="E19" i="2"/>
  <c r="D19" i="2"/>
  <c r="C19" i="2"/>
  <c r="J18" i="2"/>
  <c r="K18" i="2" s="1"/>
  <c r="G18" i="2"/>
  <c r="E18" i="2"/>
  <c r="F18" i="2" s="1"/>
  <c r="D18" i="2"/>
  <c r="H18" i="2" s="1"/>
  <c r="I18" i="2" s="1"/>
  <c r="C18" i="2"/>
  <c r="K17" i="2"/>
  <c r="J17" i="2"/>
  <c r="G17" i="2"/>
  <c r="H17" i="2" s="1"/>
  <c r="I17" i="2" s="1"/>
  <c r="O17" i="2" s="1"/>
  <c r="E17" i="2"/>
  <c r="D17" i="2"/>
  <c r="C17" i="2"/>
  <c r="J16" i="2"/>
  <c r="K16" i="2" s="1"/>
  <c r="G16" i="2"/>
  <c r="E16" i="2"/>
  <c r="F16" i="2" s="1"/>
  <c r="D16" i="2"/>
  <c r="H16" i="2" s="1"/>
  <c r="I16" i="2" s="1"/>
  <c r="C16" i="2"/>
  <c r="O15" i="2"/>
  <c r="K15" i="2"/>
  <c r="L15" i="2" s="1"/>
  <c r="J15" i="2"/>
  <c r="G15" i="2"/>
  <c r="H15" i="2" s="1"/>
  <c r="I15" i="2" s="1"/>
  <c r="E15" i="2"/>
  <c r="D15" i="2"/>
  <c r="C15" i="2"/>
  <c r="J14" i="2"/>
  <c r="K14" i="2" s="1"/>
  <c r="G14" i="2"/>
  <c r="E14" i="2"/>
  <c r="F14" i="2" s="1"/>
  <c r="D14" i="2"/>
  <c r="H14" i="2" s="1"/>
  <c r="I14" i="2" s="1"/>
  <c r="C14" i="2"/>
  <c r="K13" i="2"/>
  <c r="J13" i="2"/>
  <c r="G13" i="2"/>
  <c r="H13" i="2" s="1"/>
  <c r="I13" i="2" s="1"/>
  <c r="O13" i="2" s="1"/>
  <c r="E13" i="2"/>
  <c r="D13" i="2"/>
  <c r="C13" i="2"/>
  <c r="J12" i="2"/>
  <c r="K12" i="2" s="1"/>
  <c r="G12" i="2"/>
  <c r="E12" i="2"/>
  <c r="D12" i="2"/>
  <c r="H12" i="2" s="1"/>
  <c r="I12" i="2" s="1"/>
  <c r="C12" i="2"/>
  <c r="K11" i="2"/>
  <c r="J11" i="2"/>
  <c r="J32" i="2" s="1"/>
  <c r="G11" i="2"/>
  <c r="F11" i="2"/>
  <c r="E11" i="2"/>
  <c r="E32" i="2" s="1"/>
  <c r="D11" i="2"/>
  <c r="D35" i="2" s="1"/>
  <c r="C11" i="2"/>
  <c r="T10" i="2"/>
  <c r="E42" i="2" s="1"/>
  <c r="F42" i="2" s="1"/>
  <c r="S10" i="2"/>
  <c r="F40" i="2" s="1"/>
  <c r="R10" i="2"/>
  <c r="G48" i="7" l="1"/>
  <c r="G44" i="7"/>
  <c r="G46" i="7" s="1"/>
  <c r="I15" i="7"/>
  <c r="G47" i="7"/>
  <c r="G43" i="7"/>
  <c r="H19" i="7"/>
  <c r="F43" i="7"/>
  <c r="F45" i="7"/>
  <c r="F47" i="7"/>
  <c r="H13" i="7"/>
  <c r="F16" i="7"/>
  <c r="H16" i="7" s="1"/>
  <c r="H43" i="7" s="1"/>
  <c r="H21" i="7"/>
  <c r="H24" i="7"/>
  <c r="H31" i="7"/>
  <c r="H45" i="7" s="1"/>
  <c r="H33" i="7"/>
  <c r="F44" i="7"/>
  <c r="F46" i="7" s="1"/>
  <c r="P12" i="6"/>
  <c r="P18" i="6" s="1"/>
  <c r="O18" i="6"/>
  <c r="N55" i="6"/>
  <c r="N18" i="6"/>
  <c r="M56" i="6"/>
  <c r="N20" i="6"/>
  <c r="O34" i="6"/>
  <c r="M55" i="6"/>
  <c r="O33" i="5"/>
  <c r="N33" i="5"/>
  <c r="K30" i="5"/>
  <c r="K31" i="5" s="1"/>
  <c r="J31" i="5"/>
  <c r="P31" i="5" s="1"/>
  <c r="N32" i="5"/>
  <c r="O32" i="5"/>
  <c r="W7" i="4"/>
  <c r="V8" i="4"/>
  <c r="V38" i="4" s="1"/>
  <c r="Z41" i="4"/>
  <c r="AA7" i="4"/>
  <c r="P38" i="4"/>
  <c r="P42" i="4" s="1"/>
  <c r="P49" i="4" s="1"/>
  <c r="P40" i="4"/>
  <c r="P39" i="4" s="1"/>
  <c r="P43" i="4" s="1"/>
  <c r="P41" i="4"/>
  <c r="Q38" i="4"/>
  <c r="Q42" i="4" s="1"/>
  <c r="Q49" i="4" s="1"/>
  <c r="Q40" i="4"/>
  <c r="Q39" i="4" s="1"/>
  <c r="Q43" i="4" s="1"/>
  <c r="Q41" i="4"/>
  <c r="AC14" i="4"/>
  <c r="AC16" i="4"/>
  <c r="AC15" i="4"/>
  <c r="AC13" i="4"/>
  <c r="AC12" i="4"/>
  <c r="E28" i="4"/>
  <c r="E25" i="4"/>
  <c r="E17" i="4"/>
  <c r="E16" i="4"/>
  <c r="E14" i="4"/>
  <c r="E27" i="4"/>
  <c r="E26" i="4"/>
  <c r="E15" i="4"/>
  <c r="E13" i="4"/>
  <c r="E24" i="4"/>
  <c r="E18" i="4"/>
  <c r="E19" i="4"/>
  <c r="U40" i="4"/>
  <c r="U39" i="4" s="1"/>
  <c r="V28" i="4"/>
  <c r="U41" i="4"/>
  <c r="W28" i="4"/>
  <c r="W23" i="4"/>
  <c r="V23" i="4"/>
  <c r="X23" i="4" s="1"/>
  <c r="AC33" i="4"/>
  <c r="AC37" i="4"/>
  <c r="AC35" i="4"/>
  <c r="AC36" i="4"/>
  <c r="AC34" i="4"/>
  <c r="E12" i="4"/>
  <c r="E21" i="4"/>
  <c r="E22" i="4"/>
  <c r="E23" i="4"/>
  <c r="AA28" i="4"/>
  <c r="Z38" i="4"/>
  <c r="Z42" i="4" s="1"/>
  <c r="Z40" i="4"/>
  <c r="Z39" i="4" s="1"/>
  <c r="W12" i="4"/>
  <c r="U38" i="4"/>
  <c r="U42" i="4" s="1"/>
  <c r="V17" i="4"/>
  <c r="X17" i="4" s="1"/>
  <c r="W17" i="4"/>
  <c r="E20" i="4"/>
  <c r="W33" i="4"/>
  <c r="O12" i="2"/>
  <c r="P18" i="2"/>
  <c r="O18" i="2"/>
  <c r="P14" i="2"/>
  <c r="O14" i="2"/>
  <c r="P16" i="2"/>
  <c r="O16" i="2"/>
  <c r="L14" i="2"/>
  <c r="L18" i="2"/>
  <c r="N22" i="2"/>
  <c r="M22" i="2"/>
  <c r="O23" i="2"/>
  <c r="N27" i="2"/>
  <c r="M27" i="2"/>
  <c r="P42" i="2"/>
  <c r="O42" i="2"/>
  <c r="P43" i="2"/>
  <c r="L43" i="2"/>
  <c r="O43" i="2"/>
  <c r="C35" i="2"/>
  <c r="C33" i="2"/>
  <c r="C34" i="2" s="1"/>
  <c r="C31" i="2"/>
  <c r="C29" i="2"/>
  <c r="C30" i="2"/>
  <c r="C32" i="2"/>
  <c r="G35" i="2"/>
  <c r="G33" i="2"/>
  <c r="G34" i="2" s="1"/>
  <c r="G31" i="2"/>
  <c r="G29" i="2"/>
  <c r="G30" i="2"/>
  <c r="H11" i="2"/>
  <c r="G32" i="2"/>
  <c r="L13" i="2"/>
  <c r="L17" i="2"/>
  <c r="L20" i="2"/>
  <c r="O21" i="2"/>
  <c r="P22" i="2"/>
  <c r="O22" i="2"/>
  <c r="L25" i="2"/>
  <c r="P26" i="2"/>
  <c r="O26" i="2"/>
  <c r="L40" i="2"/>
  <c r="L12" i="2"/>
  <c r="L16" i="2"/>
  <c r="P20" i="2"/>
  <c r="O20" i="2"/>
  <c r="L23" i="2"/>
  <c r="P24" i="2"/>
  <c r="O24" i="2"/>
  <c r="N26" i="2"/>
  <c r="M26" i="2"/>
  <c r="O27" i="2"/>
  <c r="P27" i="2"/>
  <c r="P40" i="2"/>
  <c r="O40" i="2"/>
  <c r="L42" i="2"/>
  <c r="K35" i="2"/>
  <c r="K33" i="2"/>
  <c r="K34" i="2" s="1"/>
  <c r="K31" i="2"/>
  <c r="K29" i="2"/>
  <c r="K30" i="2"/>
  <c r="K32" i="2"/>
  <c r="F12" i="2"/>
  <c r="P12" i="2" s="1"/>
  <c r="E29" i="2"/>
  <c r="M15" i="2"/>
  <c r="P17" i="2"/>
  <c r="N19" i="2"/>
  <c r="M19" i="2"/>
  <c r="M21" i="2"/>
  <c r="L24" i="2"/>
  <c r="O25" i="2"/>
  <c r="P25" i="2"/>
  <c r="P41" i="2"/>
  <c r="L41" i="2"/>
  <c r="O41" i="2"/>
  <c r="E31" i="2"/>
  <c r="E33" i="2"/>
  <c r="E35" i="2"/>
  <c r="J29" i="2"/>
  <c r="D30" i="2"/>
  <c r="J31" i="2"/>
  <c r="D32" i="2"/>
  <c r="J33" i="2"/>
  <c r="J34" i="2" s="1"/>
  <c r="J35" i="2"/>
  <c r="E30" i="2"/>
  <c r="F13" i="2"/>
  <c r="F29" i="2" s="1"/>
  <c r="F15" i="2"/>
  <c r="P15" i="2" s="1"/>
  <c r="F17" i="2"/>
  <c r="F19" i="2"/>
  <c r="P19" i="2" s="1"/>
  <c r="F21" i="2"/>
  <c r="P21" i="2" s="1"/>
  <c r="F23" i="2"/>
  <c r="P23" i="2" s="1"/>
  <c r="D29" i="2"/>
  <c r="J30" i="2"/>
  <c r="D31" i="2"/>
  <c r="D33" i="2"/>
  <c r="D34" i="2" s="1"/>
  <c r="H44" i="7" l="1"/>
  <c r="H46" i="7" s="1"/>
  <c r="H48" i="7"/>
  <c r="H47" i="7"/>
  <c r="I16" i="7"/>
  <c r="I45" i="7" s="1"/>
  <c r="O55" i="6"/>
  <c r="O56" i="6"/>
  <c r="P34" i="6"/>
  <c r="N32" i="6"/>
  <c r="O20" i="6"/>
  <c r="N56" i="6"/>
  <c r="F9" i="6" s="1"/>
  <c r="AB12" i="4"/>
  <c r="AB16" i="4"/>
  <c r="AB15" i="4"/>
  <c r="AB13" i="4"/>
  <c r="AB14" i="4"/>
  <c r="V46" i="4"/>
  <c r="AB24" i="4"/>
  <c r="AB23" i="4"/>
  <c r="AB27" i="4"/>
  <c r="AB25" i="4"/>
  <c r="AB26" i="4"/>
  <c r="AC17" i="4"/>
  <c r="AC22" i="4"/>
  <c r="AC21" i="4"/>
  <c r="AC20" i="4"/>
  <c r="AC19" i="4"/>
  <c r="AC18" i="4"/>
  <c r="V45" i="4"/>
  <c r="AA45" i="4"/>
  <c r="AA38" i="4"/>
  <c r="AA40" i="4"/>
  <c r="AA46" i="4"/>
  <c r="AB30" i="4"/>
  <c r="AB32" i="4"/>
  <c r="AB28" i="4"/>
  <c r="AB31" i="4"/>
  <c r="AB29" i="4"/>
  <c r="X7" i="4"/>
  <c r="AA41" i="4"/>
  <c r="V41" i="4"/>
  <c r="X28" i="4"/>
  <c r="V40" i="4"/>
  <c r="V39" i="4" s="1"/>
  <c r="AB37" i="4"/>
  <c r="AB35" i="4"/>
  <c r="AB36" i="4"/>
  <c r="AB34" i="4"/>
  <c r="AB33" i="4"/>
  <c r="AC26" i="4"/>
  <c r="AC25" i="4"/>
  <c r="AC27" i="4"/>
  <c r="AC24" i="4"/>
  <c r="AC23" i="4"/>
  <c r="AB22" i="4"/>
  <c r="AB21" i="4"/>
  <c r="AB20" i="4"/>
  <c r="AB19" i="4"/>
  <c r="AB18" i="4"/>
  <c r="AB17" i="4"/>
  <c r="W38" i="4"/>
  <c r="AB9" i="4"/>
  <c r="AB10" i="4"/>
  <c r="AB8" i="4"/>
  <c r="AB7" i="4"/>
  <c r="AB11" i="4"/>
  <c r="F31" i="2"/>
  <c r="N41" i="2"/>
  <c r="M41" i="2"/>
  <c r="M24" i="2"/>
  <c r="N24" i="2"/>
  <c r="P13" i="2"/>
  <c r="E34" i="2"/>
  <c r="N18" i="2"/>
  <c r="M18" i="2"/>
  <c r="N40" i="2"/>
  <c r="M40" i="2"/>
  <c r="F30" i="2"/>
  <c r="F33" i="2"/>
  <c r="N21" i="2"/>
  <c r="N42" i="2"/>
  <c r="M42" i="2"/>
  <c r="N16" i="2"/>
  <c r="M16" i="2"/>
  <c r="N17" i="2"/>
  <c r="M17" i="2"/>
  <c r="H35" i="2"/>
  <c r="H33" i="2"/>
  <c r="H31" i="2"/>
  <c r="H29" i="2"/>
  <c r="I11" i="2"/>
  <c r="H32" i="2"/>
  <c r="H30" i="2"/>
  <c r="N14" i="2"/>
  <c r="M14" i="2"/>
  <c r="N20" i="2"/>
  <c r="M20" i="2"/>
  <c r="N13" i="2"/>
  <c r="M13" i="2"/>
  <c r="F35" i="2"/>
  <c r="N15" i="2"/>
  <c r="N23" i="2"/>
  <c r="M23" i="2"/>
  <c r="N12" i="2"/>
  <c r="M12" i="2"/>
  <c r="N25" i="2"/>
  <c r="M25" i="2"/>
  <c r="N43" i="2"/>
  <c r="M43" i="2"/>
  <c r="F32" i="2"/>
  <c r="I48" i="7" l="1"/>
  <c r="I43" i="7"/>
  <c r="I47" i="7"/>
  <c r="I44" i="7"/>
  <c r="I46" i="7" s="1"/>
  <c r="P55" i="6"/>
  <c r="P20" i="6"/>
  <c r="P32" i="6" s="1"/>
  <c r="O32" i="6"/>
  <c r="AB41" i="4"/>
  <c r="AD7" i="4"/>
  <c r="AE25" i="4"/>
  <c r="AC31" i="4"/>
  <c r="AE31" i="4" s="1"/>
  <c r="AC29" i="4"/>
  <c r="AC28" i="4"/>
  <c r="AC30" i="4"/>
  <c r="AE30" i="4" s="1"/>
  <c r="AC32" i="4"/>
  <c r="AE32" i="4" s="1"/>
  <c r="X38" i="4"/>
  <c r="AC8" i="4"/>
  <c r="AE8" i="4" s="1"/>
  <c r="AC11" i="4"/>
  <c r="AE11" i="4" s="1"/>
  <c r="AC10" i="4"/>
  <c r="AE10" i="4" s="1"/>
  <c r="AC7" i="4"/>
  <c r="AC9" i="4"/>
  <c r="AE9" i="4" s="1"/>
  <c r="AE20" i="4"/>
  <c r="AD24" i="4"/>
  <c r="AE19" i="4"/>
  <c r="AE17" i="4"/>
  <c r="AE23" i="4"/>
  <c r="AE26" i="4"/>
  <c r="AD33" i="4"/>
  <c r="AB40" i="4"/>
  <c r="AB39" i="4" s="1"/>
  <c r="AB46" i="4"/>
  <c r="AB45" i="4"/>
  <c r="AB38" i="4"/>
  <c r="AB42" i="4" s="1"/>
  <c r="AD28" i="4"/>
  <c r="AE21" i="4"/>
  <c r="AE27" i="4"/>
  <c r="AD17" i="4"/>
  <c r="AE24" i="4"/>
  <c r="AA39" i="4"/>
  <c r="AE18" i="4"/>
  <c r="AE22" i="4"/>
  <c r="AD12" i="4"/>
  <c r="H34" i="2"/>
  <c r="I32" i="2"/>
  <c r="I30" i="2"/>
  <c r="I29" i="2"/>
  <c r="P11" i="2"/>
  <c r="I35" i="2"/>
  <c r="I33" i="2"/>
  <c r="I34" i="2" s="1"/>
  <c r="I31" i="2"/>
  <c r="O11" i="2"/>
  <c r="L11" i="2"/>
  <c r="F34" i="2"/>
  <c r="P56" i="6" l="1"/>
  <c r="F7" i="6" s="1"/>
  <c r="AC46" i="4"/>
  <c r="AE28" i="4"/>
  <c r="AC45" i="4"/>
  <c r="AC38" i="4"/>
  <c r="AE38" i="4" s="1"/>
  <c r="AC40" i="4"/>
  <c r="AC39" i="4" s="1"/>
  <c r="AD38" i="4"/>
  <c r="AC41" i="4"/>
  <c r="AE41" i="4" s="1"/>
  <c r="AE7" i="4"/>
  <c r="AE12" i="4"/>
  <c r="AE36" i="4"/>
  <c r="AE35" i="4"/>
  <c r="AE13" i="4"/>
  <c r="AE14" i="4"/>
  <c r="AE16" i="4"/>
  <c r="AE37" i="4"/>
  <c r="AE34" i="4"/>
  <c r="AE15" i="4"/>
  <c r="AE33" i="4"/>
  <c r="AE29" i="4"/>
  <c r="L35" i="2"/>
  <c r="L33" i="2"/>
  <c r="L34" i="2" s="1"/>
  <c r="L31" i="2"/>
  <c r="L29" i="2"/>
  <c r="N11" i="2"/>
  <c r="M11" i="2"/>
  <c r="L32" i="2"/>
  <c r="L30" i="2"/>
  <c r="O35" i="2"/>
  <c r="O33" i="2"/>
  <c r="O34" i="2" s="1"/>
  <c r="O31" i="2"/>
  <c r="O29" i="2"/>
  <c r="O32" i="2"/>
  <c r="O30" i="2"/>
  <c r="P35" i="2"/>
  <c r="P33" i="2"/>
  <c r="P34" i="2" s="1"/>
  <c r="P31" i="2"/>
  <c r="P29" i="2"/>
  <c r="P32" i="2"/>
  <c r="P30" i="2"/>
  <c r="AE40" i="4" l="1"/>
  <c r="AE39" i="4" s="1"/>
  <c r="M32" i="2"/>
  <c r="M30" i="2"/>
  <c r="M29" i="2"/>
  <c r="M35" i="2"/>
  <c r="M33" i="2"/>
  <c r="M31" i="2"/>
  <c r="N32" i="2"/>
  <c r="N30" i="2"/>
  <c r="N35" i="2"/>
  <c r="N33" i="2"/>
  <c r="N34" i="2" s="1"/>
  <c r="N31" i="2"/>
  <c r="N29" i="2"/>
  <c r="M34" i="2" l="1"/>
</calcChain>
</file>

<file path=xl/comments1.xml><?xml version="1.0" encoding="utf-8"?>
<comments xmlns="http://schemas.openxmlformats.org/spreadsheetml/2006/main">
  <authors>
    <author>sleys</author>
    <author>Sally</author>
  </authors>
  <commentList>
    <comment ref="F9" authorId="0" shapeId="0">
      <text>
        <r>
          <rPr>
            <b/>
            <sz val="9"/>
            <color indexed="81"/>
            <rFont val="Tahoma"/>
            <family val="2"/>
          </rPr>
          <t>sleys:</t>
        </r>
        <r>
          <rPr>
            <sz val="9"/>
            <color indexed="81"/>
            <rFont val="Tahoma"/>
            <family val="2"/>
          </rPr>
          <t xml:space="preserve">
proportion of wet that is dry (cell R9)</t>
        </r>
      </text>
    </comment>
    <comment ref="E41" authorId="1" shapeId="0">
      <text>
        <r>
          <rPr>
            <b/>
            <sz val="9"/>
            <color indexed="81"/>
            <rFont val="Tahoma"/>
            <family val="2"/>
          </rPr>
          <t>Sally:</t>
        </r>
        <r>
          <rPr>
            <sz val="9"/>
            <color indexed="81"/>
            <rFont val="Tahoma"/>
            <family val="2"/>
          </rPr>
          <t xml:space="preserve">
No wet weight so calculated based on ratio of Vol/wet weight (cell S5)</t>
        </r>
      </text>
    </comment>
    <comment ref="E42" authorId="1" shapeId="0">
      <text>
        <r>
          <rPr>
            <b/>
            <sz val="9"/>
            <color indexed="81"/>
            <rFont val="Tahoma"/>
            <family val="2"/>
          </rPr>
          <t>Sally:</t>
        </r>
        <r>
          <rPr>
            <sz val="9"/>
            <color indexed="81"/>
            <rFont val="Tahoma"/>
            <family val="2"/>
          </rPr>
          <t xml:space="preserve">
No wet weight so calculated based on ratio of Vol/wet weight (cell S5)</t>
        </r>
      </text>
    </comment>
  </commentList>
</comments>
</file>

<file path=xl/comments2.xml><?xml version="1.0" encoding="utf-8"?>
<comments xmlns="http://schemas.openxmlformats.org/spreadsheetml/2006/main">
  <authors>
    <author>author</author>
    <author>Sally Leys</author>
  </authors>
  <commentList>
    <comment ref="D8" authorId="0" shapeId="0">
      <text>
        <r>
          <rPr>
            <b/>
            <sz val="9"/>
            <color indexed="81"/>
            <rFont val="Tahoma"/>
            <family val="2"/>
          </rPr>
          <t>author:</t>
        </r>
        <r>
          <rPr>
            <sz val="9"/>
            <color indexed="81"/>
            <rFont val="Tahoma"/>
            <family val="2"/>
          </rPr>
          <t xml:space="preserve">
From Geodia Recording Log Oct 2012</t>
        </r>
      </text>
    </comment>
    <comment ref="G8" authorId="0" shapeId="0">
      <text>
        <r>
          <rPr>
            <b/>
            <sz val="9"/>
            <color indexed="81"/>
            <rFont val="Tahoma"/>
            <family val="2"/>
          </rPr>
          <t>author:</t>
        </r>
        <r>
          <rPr>
            <sz val="9"/>
            <color indexed="81"/>
            <rFont val="Tahoma"/>
            <family val="2"/>
          </rPr>
          <t xml:space="preserve">
from first 5 min average record
</t>
        </r>
      </text>
    </comment>
    <comment ref="H8" authorId="0" shapeId="0">
      <text>
        <r>
          <rPr>
            <b/>
            <sz val="9"/>
            <color indexed="81"/>
            <rFont val="Tahoma"/>
            <family val="2"/>
          </rPr>
          <t>author:</t>
        </r>
        <r>
          <rPr>
            <sz val="9"/>
            <color indexed="81"/>
            <rFont val="Tahoma"/>
            <family val="2"/>
          </rPr>
          <t xml:space="preserve">
end of last 5 min  average before the treatment
</t>
        </r>
      </text>
    </comment>
    <comment ref="K8" authorId="0" shapeId="0">
      <text>
        <r>
          <rPr>
            <b/>
            <sz val="9"/>
            <color indexed="81"/>
            <rFont val="Tahoma"/>
            <family val="2"/>
          </rPr>
          <t>author:</t>
        </r>
        <r>
          <rPr>
            <sz val="9"/>
            <color indexed="81"/>
            <rFont val="Tahoma"/>
            <family val="2"/>
          </rPr>
          <t xml:space="preserve">
from Raymond's header notes - start sediment
</t>
        </r>
      </text>
    </comment>
    <comment ref="L8" authorId="0" shapeId="0">
      <text>
        <r>
          <rPr>
            <b/>
            <sz val="9"/>
            <color indexed="81"/>
            <rFont val="Tahoma"/>
            <family val="2"/>
          </rPr>
          <t>author:</t>
        </r>
        <r>
          <rPr>
            <sz val="9"/>
            <color indexed="81"/>
            <rFont val="Tahoma"/>
            <family val="2"/>
          </rPr>
          <t xml:space="preserve">
from Raymond's header comments 'end sediment'</t>
        </r>
      </text>
    </comment>
    <comment ref="R8" authorId="1" shapeId="0">
      <text>
        <r>
          <rPr>
            <b/>
            <sz val="9"/>
            <color indexed="81"/>
            <rFont val="Tahoma"/>
            <family val="2"/>
          </rPr>
          <t>Sally Leys:</t>
        </r>
        <r>
          <rPr>
            <sz val="9"/>
            <color indexed="81"/>
            <rFont val="Tahoma"/>
            <family val="2"/>
          </rPr>
          <t xml:space="preserve">
this value estimates the average flow across the osculum assuming parabolic flow. It calculates the scalar velocity and assumes 0.5 of that is the average - based on Denny 1993</t>
        </r>
      </text>
    </comment>
    <comment ref="B19" authorId="0" shapeId="0">
      <text>
        <r>
          <rPr>
            <b/>
            <sz val="9"/>
            <color indexed="81"/>
            <rFont val="Tahoma"/>
            <family val="2"/>
          </rPr>
          <t>author:</t>
        </r>
        <r>
          <rPr>
            <sz val="9"/>
            <color indexed="81"/>
            <rFont val="Tahoma"/>
            <family val="2"/>
          </rPr>
          <t xml:space="preserve">
According to Geodia Recording Log (for the sediment expt) the sponge with this weight was done with Nat Sed high on Day 11. No record for Nat Sed Med on Day 8</t>
        </r>
      </text>
    </comment>
  </commentList>
</comments>
</file>

<file path=xl/comments3.xml><?xml version="1.0" encoding="utf-8"?>
<comments xmlns="http://schemas.openxmlformats.org/spreadsheetml/2006/main">
  <authors>
    <author>Sally Leys</author>
    <author>Sally</author>
  </authors>
  <commentList>
    <comment ref="M5" authorId="0" shapeId="0">
      <text>
        <r>
          <rPr>
            <b/>
            <sz val="9"/>
            <color indexed="81"/>
            <rFont val="Tahoma"/>
            <family val="2"/>
          </rPr>
          <t>Sally Leys:</t>
        </r>
        <r>
          <rPr>
            <sz val="9"/>
            <color indexed="81"/>
            <rFont val="Tahoma"/>
            <family val="2"/>
          </rPr>
          <t xml:space="preserve">
using the standard curve of Y=0.0049x
conversion factor of 0.0049 </t>
        </r>
      </text>
    </comment>
    <comment ref="AD24" authorId="1" shapeId="0">
      <text>
        <r>
          <rPr>
            <b/>
            <sz val="9"/>
            <color indexed="81"/>
            <rFont val="Tahoma"/>
            <family val="2"/>
          </rPr>
          <t>Sally:</t>
        </r>
        <r>
          <rPr>
            <sz val="9"/>
            <color indexed="81"/>
            <rFont val="Tahoma"/>
            <family val="2"/>
          </rPr>
          <t xml:space="preserve">
removed G17 and G21 because 17 is odd and G21 has high ammonia and comment that an animal may have been in it</t>
        </r>
      </text>
    </comment>
  </commentList>
</comments>
</file>

<file path=xl/comments4.xml><?xml version="1.0" encoding="utf-8"?>
<comments xmlns="http://schemas.openxmlformats.org/spreadsheetml/2006/main">
  <authors>
    <author>sleys</author>
  </authors>
  <commentList>
    <comment ref="I4" authorId="0" shapeId="0">
      <text>
        <r>
          <rPr>
            <b/>
            <sz val="9"/>
            <color indexed="81"/>
            <rFont val="Tahoma"/>
            <family val="2"/>
          </rPr>
          <t>sleys:</t>
        </r>
        <r>
          <rPr>
            <sz val="9"/>
            <color indexed="81"/>
            <rFont val="Tahoma"/>
            <family val="2"/>
          </rPr>
          <t xml:space="preserve">
from Gbarretti weights -spl
proportion of the wet weight that is dry
</t>
        </r>
      </text>
    </comment>
    <comment ref="K4" authorId="0" shapeId="0">
      <text>
        <r>
          <rPr>
            <b/>
            <sz val="9"/>
            <color indexed="81"/>
            <rFont val="Tahoma"/>
            <family val="2"/>
          </rPr>
          <t>sleys:</t>
        </r>
        <r>
          <rPr>
            <sz val="9"/>
            <color indexed="81"/>
            <rFont val="Tahoma"/>
            <family val="2"/>
          </rPr>
          <t xml:space="preserve">
portion that is ash (68.56%)</t>
        </r>
      </text>
    </comment>
    <comment ref="L4" authorId="0" shapeId="0">
      <text>
        <r>
          <rPr>
            <b/>
            <sz val="9"/>
            <color indexed="81"/>
            <rFont val="Tahoma"/>
            <family val="2"/>
          </rPr>
          <t>sleys:</t>
        </r>
        <r>
          <rPr>
            <sz val="9"/>
            <color indexed="81"/>
            <rFont val="Tahoma"/>
            <family val="2"/>
          </rPr>
          <t xml:space="preserve">
Portion that is organic (100-68.56%) or 31.44%</t>
        </r>
      </text>
    </comment>
  </commentList>
</comments>
</file>

<file path=xl/comments5.xml><?xml version="1.0" encoding="utf-8"?>
<comments xmlns="http://schemas.openxmlformats.org/spreadsheetml/2006/main">
  <authors>
    <author>Amanda Kahn</author>
    <author>Sally</author>
    <author>Raymondb</author>
  </authors>
  <commentList>
    <comment ref="F11" authorId="0" shapeId="0">
      <text>
        <r>
          <rPr>
            <b/>
            <sz val="9"/>
            <color indexed="81"/>
            <rFont val="Tahoma"/>
            <family val="2"/>
          </rPr>
          <t>Amanda Kahn:</t>
        </r>
        <r>
          <rPr>
            <sz val="9"/>
            <color indexed="81"/>
            <rFont val="Tahoma"/>
            <family val="2"/>
          </rPr>
          <t xml:space="preserve">
Number scored onto the bottom of the weigh boats.</t>
        </r>
      </text>
    </comment>
    <comment ref="H11" authorId="1" shapeId="0">
      <text>
        <r>
          <rPr>
            <b/>
            <sz val="9"/>
            <color indexed="81"/>
            <rFont val="Tahoma"/>
            <family val="2"/>
          </rPr>
          <t>Sally:</t>
        </r>
        <r>
          <rPr>
            <sz val="9"/>
            <color indexed="81"/>
            <rFont val="Tahoma"/>
            <family val="2"/>
          </rPr>
          <t xml:space="preserve">
weigh boat dry weight + sponge drip weight</t>
        </r>
      </text>
    </comment>
    <comment ref="K11" authorId="2" shapeId="0">
      <text>
        <r>
          <rPr>
            <b/>
            <sz val="8"/>
            <color indexed="81"/>
            <rFont val="Tahoma"/>
            <family val="2"/>
          </rPr>
          <t>Raymondb:</t>
        </r>
        <r>
          <rPr>
            <sz val="8"/>
            <color indexed="81"/>
            <rFont val="Tahoma"/>
            <family val="2"/>
          </rPr>
          <t xml:space="preserve">
reweighed before burning</t>
        </r>
      </text>
    </comment>
  </commentList>
</comments>
</file>

<file path=xl/comments6.xml><?xml version="1.0" encoding="utf-8"?>
<comments xmlns="http://schemas.openxmlformats.org/spreadsheetml/2006/main">
  <authors>
    <author>Amanda Kahn</author>
  </authors>
  <commentList>
    <comment ref="E10" authorId="0" shapeId="0">
      <text>
        <r>
          <rPr>
            <b/>
            <sz val="9"/>
            <color indexed="81"/>
            <rFont val="Tahoma"/>
            <family val="2"/>
          </rPr>
          <t>Amanda Kahn:</t>
        </r>
        <r>
          <rPr>
            <sz val="9"/>
            <color indexed="81"/>
            <rFont val="Tahoma"/>
            <family val="2"/>
          </rPr>
          <t xml:space="preserve">
Bad standard curve. Do not use.</t>
        </r>
      </text>
    </comment>
    <comment ref="E30" authorId="0" shapeId="0">
      <text>
        <r>
          <rPr>
            <b/>
            <sz val="9"/>
            <color indexed="81"/>
            <rFont val="Tahoma"/>
            <family val="2"/>
          </rPr>
          <t>Amanda Kahn:</t>
        </r>
        <r>
          <rPr>
            <sz val="9"/>
            <color indexed="81"/>
            <rFont val="Tahoma"/>
            <family val="2"/>
          </rPr>
          <t xml:space="preserve">
There may have been an animal in this osculum.</t>
        </r>
      </text>
    </comment>
  </commentList>
</comments>
</file>

<file path=xl/sharedStrings.xml><?xml version="1.0" encoding="utf-8"?>
<sst xmlns="http://schemas.openxmlformats.org/spreadsheetml/2006/main" count="646" uniqueCount="461">
  <si>
    <t>Neither DOC nor Ammonium worked from 2011 and so we did Ammonium again in 2014, and calculated DOC as TOC-bac</t>
  </si>
  <si>
    <t>Group #</t>
  </si>
  <si>
    <t>Year</t>
  </si>
  <si>
    <t>Sponge ID</t>
  </si>
  <si>
    <t>Volume (mL)</t>
  </si>
  <si>
    <t>Bacteria cells/ml</t>
  </si>
  <si>
    <t>NH4 (nmol/L)</t>
  </si>
  <si>
    <t>NO2(µmol/L)</t>
  </si>
  <si>
    <t>NO3(µmol/L)</t>
  </si>
  <si>
    <t>PO4(µmol/L)</t>
  </si>
  <si>
    <t>Si(µmol/L)</t>
  </si>
  <si>
    <t>IN</t>
  </si>
  <si>
    <t>EX</t>
  </si>
  <si>
    <t>Diff</t>
  </si>
  <si>
    <t>% Diff</t>
  </si>
  <si>
    <t>A1</t>
  </si>
  <si>
    <t>Ammonium numbers from 2014 below</t>
  </si>
  <si>
    <t>A2</t>
  </si>
  <si>
    <t>A5</t>
  </si>
  <si>
    <t>A9</t>
  </si>
  <si>
    <t>B3</t>
  </si>
  <si>
    <t>C2A</t>
  </si>
  <si>
    <t>C2B</t>
  </si>
  <si>
    <t>C4A</t>
  </si>
  <si>
    <t>C5</t>
  </si>
  <si>
    <t>C6</t>
  </si>
  <si>
    <t>C7</t>
  </si>
  <si>
    <t>C4B</t>
  </si>
  <si>
    <t>C8</t>
  </si>
  <si>
    <t>D3</t>
  </si>
  <si>
    <t>D4</t>
  </si>
  <si>
    <t>D1</t>
  </si>
  <si>
    <t>E2</t>
  </si>
  <si>
    <t>E3</t>
  </si>
  <si>
    <t>E4</t>
  </si>
  <si>
    <t>E5</t>
  </si>
  <si>
    <t>E6</t>
  </si>
  <si>
    <t>E7</t>
  </si>
  <si>
    <t>E8</t>
  </si>
  <si>
    <t>E9</t>
  </si>
  <si>
    <t>F2</t>
  </si>
  <si>
    <t>F4</t>
  </si>
  <si>
    <t>F6</t>
  </si>
  <si>
    <t>F8</t>
  </si>
  <si>
    <t>G1</t>
  </si>
  <si>
    <t>G2</t>
  </si>
  <si>
    <t>G3</t>
  </si>
  <si>
    <t>G4</t>
  </si>
  <si>
    <t>G5</t>
  </si>
  <si>
    <t>H1</t>
  </si>
  <si>
    <t>H2</t>
  </si>
  <si>
    <t>H3</t>
  </si>
  <si>
    <t>H4</t>
  </si>
  <si>
    <t>H5</t>
  </si>
  <si>
    <t>H6</t>
  </si>
  <si>
    <t>H7</t>
  </si>
  <si>
    <t>I1</t>
  </si>
  <si>
    <t>I2</t>
  </si>
  <si>
    <t>I3</t>
  </si>
  <si>
    <t>J1</t>
  </si>
  <si>
    <t>J2</t>
  </si>
  <si>
    <t>J3</t>
  </si>
  <si>
    <t>J4</t>
  </si>
  <si>
    <t>J5</t>
  </si>
  <si>
    <t>J6</t>
  </si>
  <si>
    <t>J7</t>
  </si>
  <si>
    <t>J8</t>
  </si>
  <si>
    <t>J9</t>
  </si>
  <si>
    <t>J10</t>
  </si>
  <si>
    <t>IN1</t>
  </si>
  <si>
    <t>IN2</t>
  </si>
  <si>
    <t>IN3</t>
  </si>
  <si>
    <t>in nanomoles here</t>
  </si>
  <si>
    <t>IN4</t>
  </si>
  <si>
    <t>G6</t>
  </si>
  <si>
    <t>IN5</t>
  </si>
  <si>
    <t>G7</t>
  </si>
  <si>
    <t>IN6</t>
  </si>
  <si>
    <t>G8</t>
  </si>
  <si>
    <t>G9</t>
  </si>
  <si>
    <t>G10</t>
  </si>
  <si>
    <t>IN7</t>
  </si>
  <si>
    <t>G11</t>
  </si>
  <si>
    <t>IN8</t>
  </si>
  <si>
    <t>G12</t>
  </si>
  <si>
    <t>IN9</t>
  </si>
  <si>
    <t>G13</t>
  </si>
  <si>
    <t>G14</t>
  </si>
  <si>
    <t>G15</t>
  </si>
  <si>
    <t>IN10</t>
  </si>
  <si>
    <t>G16</t>
  </si>
  <si>
    <t>IN11</t>
  </si>
  <si>
    <t>G17</t>
  </si>
  <si>
    <t>IN12</t>
  </si>
  <si>
    <t>G18</t>
  </si>
  <si>
    <t>G19</t>
  </si>
  <si>
    <t>G20</t>
  </si>
  <si>
    <t>G21</t>
  </si>
  <si>
    <t>IN13</t>
  </si>
  <si>
    <t>G22</t>
  </si>
  <si>
    <t>IN14</t>
  </si>
  <si>
    <t>G23</t>
  </si>
  <si>
    <t>IN15</t>
  </si>
  <si>
    <t>G24</t>
  </si>
  <si>
    <t>G25</t>
  </si>
  <si>
    <t>G26</t>
  </si>
  <si>
    <t>IN16</t>
  </si>
  <si>
    <t>G27</t>
  </si>
  <si>
    <t>IN17</t>
  </si>
  <si>
    <t>G28</t>
  </si>
  <si>
    <t>IN18</t>
  </si>
  <si>
    <t>G29</t>
  </si>
  <si>
    <t>G30</t>
  </si>
  <si>
    <t>G31</t>
  </si>
  <si>
    <t>converted from nanomoles to micromoles below</t>
  </si>
  <si>
    <t>Average</t>
  </si>
  <si>
    <t>SD</t>
  </si>
  <si>
    <t>SE</t>
  </si>
  <si>
    <t>n</t>
  </si>
  <si>
    <t>min</t>
  </si>
  <si>
    <t>max</t>
  </si>
  <si>
    <t>Geodia Barretti In/Ex Nutrient data</t>
  </si>
  <si>
    <t>Average flow and respiration rates from pre-treated sponges 2012</t>
  </si>
  <si>
    <t>Sally's notes: May-June 2015</t>
  </si>
  <si>
    <t xml:space="preserve">The data comes from sediment tank experiments done in 2012, from which we used the control period - 'pre treatment' for flow and oxygen removal </t>
  </si>
  <si>
    <t>The flow data is from the Vectrino files (listed in the 'Pumping Summary' spreadsheet) and determined as 0.5xscalar velocity (SQRT(x^2 + y^2 + z^2), to account for parabolic flow</t>
  </si>
  <si>
    <t>Dry weight correction - from sheet 'weight conversion' (summarized in columns P-T this sheet)</t>
  </si>
  <si>
    <t>The data has been transferred  and graphs plotted in SigmaPlot</t>
  </si>
  <si>
    <t>Wet weight to dry weight conversion</t>
  </si>
  <si>
    <t>Date/time</t>
  </si>
  <si>
    <t>Volume</t>
  </si>
  <si>
    <t>osculum area</t>
  </si>
  <si>
    <t>Wet weight</t>
  </si>
  <si>
    <t>Dry weight (corrected)</t>
  </si>
  <si>
    <t>Excurrent flow rate</t>
  </si>
  <si>
    <t>volume flow rate</t>
  </si>
  <si>
    <t>oxygen removal</t>
  </si>
  <si>
    <t xml:space="preserve">oxygen removal </t>
  </si>
  <si>
    <t>Respiration rate</t>
  </si>
  <si>
    <t>volume corrected Respiration rate</t>
  </si>
  <si>
    <t>weight corrected Respiration rate</t>
  </si>
  <si>
    <t xml:space="preserve">volumetric flow per ml tissue </t>
  </si>
  <si>
    <t>volumetric flow rate per gram dw</t>
  </si>
  <si>
    <t>Av Sponge wt (g)</t>
  </si>
  <si>
    <t>Sponge d/wt (g)</t>
  </si>
  <si>
    <t>volume/wet weight</t>
  </si>
  <si>
    <t>Day</t>
  </si>
  <si>
    <t>(mL)</t>
  </si>
  <si>
    <t>(cm^2)</t>
  </si>
  <si>
    <t>(g ww)</t>
  </si>
  <si>
    <t>(g dw)</t>
  </si>
  <si>
    <t>(cm/s)</t>
  </si>
  <si>
    <t>(mL/s)</t>
  </si>
  <si>
    <t>(L/hr)</t>
  </si>
  <si>
    <t>(mg/L)</t>
  </si>
  <si>
    <t>(uMol/L)</t>
  </si>
  <si>
    <t>(umol/hr)</t>
  </si>
  <si>
    <t>(uM/L/hr/mL tissue)</t>
  </si>
  <si>
    <t>(uM/L/hr/gdw tissue)</t>
  </si>
  <si>
    <t>(L/hr/mL tissue)</t>
  </si>
  <si>
    <t>(L/hr/gdw tissue)</t>
  </si>
  <si>
    <t>Geodia weights</t>
  </si>
  <si>
    <t>Day 3 (nat sed low)</t>
  </si>
  <si>
    <t>Day 4 (nat sed High)</t>
  </si>
  <si>
    <t>Day 5 (control)</t>
  </si>
  <si>
    <t>Day 5 (bentonite low)</t>
  </si>
  <si>
    <t>Day 5 (nat sed low)</t>
  </si>
  <si>
    <t>Day 6 (barite med)</t>
  </si>
  <si>
    <t>Day 7 (control)</t>
  </si>
  <si>
    <t>Day 7 (bentonite low)</t>
  </si>
  <si>
    <t>Day 7 (nat sed low)</t>
  </si>
  <si>
    <t>Day 8 (barite high)</t>
  </si>
  <si>
    <t>Day 8 (bentonite high)</t>
  </si>
  <si>
    <t>Day 10 (control)</t>
  </si>
  <si>
    <t>Day 10 (bentonite high)</t>
  </si>
  <si>
    <t>Day 12 (barite high)</t>
  </si>
  <si>
    <t>Day12 (nat sed High)</t>
  </si>
  <si>
    <t>Day 13 (barite high)</t>
  </si>
  <si>
    <t>Day 13 (nat sed Med)</t>
  </si>
  <si>
    <t>Median</t>
  </si>
  <si>
    <t>N</t>
  </si>
  <si>
    <t>Grey numbers below from 2013 and 2014 were not used since we did not have the original vectrino files to calculate flow rate</t>
  </si>
  <si>
    <t>Day 6 (bentonite med)</t>
  </si>
  <si>
    <t>Day 4 (barite med)</t>
  </si>
  <si>
    <t>Oxygen comes from the Presence instruments corrected for temperature using a Hobo temp sensor. The numbers were calculated by Raymond and put in each of the Sediment Spreadsheets. Oxygen conversion is as such: mg/L = 0.7 ml/L; mL/L = 44.61 uM/L</t>
  </si>
  <si>
    <t>This sheet has the summary of the flow data for excurrent flow rate calculations</t>
  </si>
  <si>
    <t>Data comes from the 'pre treatment' portion of each experiment carried out in 2012 for which Sally has the data</t>
  </si>
  <si>
    <t>Experiments were done in gray tanks, two placed in each of two large fish totes</t>
  </si>
  <si>
    <t xml:space="preserve">Tanks were: 1-Control, 2-Barite, 3-Bentonite, 4-Nat Sed </t>
  </si>
  <si>
    <t xml:space="preserve">Data is linked to the sheet for 'ease'. </t>
  </si>
  <si>
    <t>Pumping data from processed Vectrino .vno files (saved with filenames that are listed as dates: ddmmyy.xlsx)</t>
  </si>
  <si>
    <t>Velocities calculated in columns OPQ are worked up from the raw data files of the Vectrino using 5 min averages.</t>
  </si>
  <si>
    <t>Pre treatment time in 5 min averages</t>
  </si>
  <si>
    <t xml:space="preserve"> start/end sediment treatment</t>
  </si>
  <si>
    <t>Sponge ID.</t>
  </si>
  <si>
    <t>Date</t>
  </si>
  <si>
    <t>Tank #</t>
  </si>
  <si>
    <t>Weight (g)</t>
  </si>
  <si>
    <t>Start time</t>
  </si>
  <si>
    <t>End 'control period' time</t>
  </si>
  <si>
    <t>End Expt time</t>
  </si>
  <si>
    <t>From Raymond's sheets Average excurrent flow (cm/s )</t>
  </si>
  <si>
    <t xml:space="preserve">listed start </t>
  </si>
  <si>
    <t>end</t>
  </si>
  <si>
    <t>Vectrino filename</t>
  </si>
  <si>
    <t>Z velocity (cm/s)</t>
  </si>
  <si>
    <t>Scalar SQRT(X^2+Y^2+Z^2) (cm/s)</t>
  </si>
  <si>
    <t>Raymond's scalar SQRT(X^2+Z^2) (cm/s)</t>
  </si>
  <si>
    <t>parabolic flow estimate (0.5*scalar) (cm/s)</t>
  </si>
  <si>
    <t>Comments</t>
  </si>
  <si>
    <t>Nat Sed Low Day 3</t>
  </si>
  <si>
    <t>A8</t>
  </si>
  <si>
    <t>Tank 4_071012</t>
  </si>
  <si>
    <t>Nat Sed High Day 4</t>
  </si>
  <si>
    <t>C3</t>
  </si>
  <si>
    <t>Tank 4_081012</t>
  </si>
  <si>
    <t>Control Day 5</t>
  </si>
  <si>
    <t>A10</t>
  </si>
  <si>
    <t xml:space="preserve">   09:11:52</t>
  </si>
  <si>
    <t>Tank1_091012</t>
  </si>
  <si>
    <t>Bentonite low Day 5</t>
  </si>
  <si>
    <t>C4</t>
  </si>
  <si>
    <t>Tank3_09101220121009145810</t>
  </si>
  <si>
    <t>Nat Sed Low Day 5</t>
  </si>
  <si>
    <t>Tank 4_091012</t>
  </si>
  <si>
    <t>Barite medium Day 6</t>
  </si>
  <si>
    <t>D2</t>
  </si>
  <si>
    <t>Tank2_101012/Tank2_101012b</t>
  </si>
  <si>
    <t>Only needed to use the file Tank2_101012</t>
  </si>
  <si>
    <t>Control Day 7</t>
  </si>
  <si>
    <t>none</t>
  </si>
  <si>
    <t>Tank 1_111012</t>
  </si>
  <si>
    <t>Bentonite Low Day 7</t>
  </si>
  <si>
    <t>D6</t>
  </si>
  <si>
    <t>Tank 3_111012</t>
  </si>
  <si>
    <t>Averages for Z and Z2 very different (0.8 vs 1.7)</t>
  </si>
  <si>
    <t>Nat Sed Low Day 7</t>
  </si>
  <si>
    <t>E1</t>
  </si>
  <si>
    <t>Tank 4_111012</t>
  </si>
  <si>
    <t>Barite high Day 8</t>
  </si>
  <si>
    <t>Tank2_121012</t>
  </si>
  <si>
    <t>Nat Sed Med Day 8</t>
  </si>
  <si>
    <t>Tank 4_121012</t>
  </si>
  <si>
    <t>Bentonite High Day 8</t>
  </si>
  <si>
    <t>C9</t>
  </si>
  <si>
    <t>9.34 pm</t>
  </si>
  <si>
    <t>9.45am</t>
  </si>
  <si>
    <t>Tank 3_121012</t>
  </si>
  <si>
    <t>Control Day 10</t>
  </si>
  <si>
    <t>Tank1_141012</t>
  </si>
  <si>
    <t>Bentonite high Day 10</t>
  </si>
  <si>
    <t>Tank3_141012</t>
  </si>
  <si>
    <t>Barite High Day 12</t>
  </si>
  <si>
    <t>Tank 2_161012</t>
  </si>
  <si>
    <t>Nat Sed High Day 12</t>
  </si>
  <si>
    <t>Tank4_161012</t>
  </si>
  <si>
    <t>Barite high Day 13</t>
  </si>
  <si>
    <t>Tank 2_171012</t>
  </si>
  <si>
    <t>Nat Sed Med Day 13</t>
  </si>
  <si>
    <t>Tank 4_171012</t>
  </si>
  <si>
    <t>TOC in ambient and tank water  - collected by Raymond and James and analyzed by James.</t>
  </si>
  <si>
    <t>TOC Standard Curve</t>
  </si>
  <si>
    <t>TOC</t>
  </si>
  <si>
    <t>Abs</t>
  </si>
  <si>
    <t>All numbers - TOC Averages below</t>
  </si>
  <si>
    <t>mg/L</t>
  </si>
  <si>
    <t>(no unit)</t>
  </si>
  <si>
    <t>Rep1</t>
  </si>
  <si>
    <t>Rep2</t>
  </si>
  <si>
    <t>Rep3</t>
  </si>
  <si>
    <t>Rep4</t>
  </si>
  <si>
    <t>Mean</t>
  </si>
  <si>
    <t>160m</t>
  </si>
  <si>
    <t>Tank</t>
  </si>
  <si>
    <t>Control B</t>
  </si>
  <si>
    <t>Control A</t>
  </si>
  <si>
    <t>Sample#</t>
  </si>
  <si>
    <t xml:space="preserve">In </t>
  </si>
  <si>
    <t xml:space="preserve">Ex </t>
  </si>
  <si>
    <t>Difference</t>
  </si>
  <si>
    <t>Av diff</t>
  </si>
  <si>
    <t>percent removed</t>
  </si>
  <si>
    <t>HI 160m TOC1</t>
  </si>
  <si>
    <t>umol/L</t>
  </si>
  <si>
    <t>HI 160m TOC2</t>
  </si>
  <si>
    <t>In1</t>
  </si>
  <si>
    <t>HI 160m TOC3</t>
  </si>
  <si>
    <t>In2</t>
  </si>
  <si>
    <t>HI 160m TOC4</t>
  </si>
  <si>
    <t>In3</t>
  </si>
  <si>
    <t>Abs (minus blank)</t>
  </si>
  <si>
    <t>HI Tank1 TOC1</t>
  </si>
  <si>
    <t>HI Tank1 TOC2</t>
  </si>
  <si>
    <t>In4</t>
  </si>
  <si>
    <t>HI Tank1 TOC3</t>
  </si>
  <si>
    <t>In5</t>
  </si>
  <si>
    <t>HI Tank1 TOC4</t>
  </si>
  <si>
    <t>In6</t>
  </si>
  <si>
    <t>Control1 TOC Before Tube T2</t>
  </si>
  <si>
    <t>Control2 TOC Before Tube T2</t>
  </si>
  <si>
    <t>In7</t>
  </si>
  <si>
    <t>Control3 TOC Before Tube T2</t>
  </si>
  <si>
    <t>In8</t>
  </si>
  <si>
    <t>In9</t>
  </si>
  <si>
    <t>Control1 TOC After Tube T2</t>
  </si>
  <si>
    <t>Control2 TOC After Tube T2</t>
  </si>
  <si>
    <t>Control3 TOC After Tube T2</t>
  </si>
  <si>
    <t>In10</t>
  </si>
  <si>
    <t>In1 TOC T1 5/6/14</t>
  </si>
  <si>
    <t>In11</t>
  </si>
  <si>
    <t>In2 TOC T1 5/6/14</t>
  </si>
  <si>
    <t>In12</t>
  </si>
  <si>
    <t>In3 TOC T1 5/6/14</t>
  </si>
  <si>
    <t>G1 Ex TOC T1 5/6/14</t>
  </si>
  <si>
    <t>In13</t>
  </si>
  <si>
    <t>G2 Ex TOC T1 5/6/14</t>
  </si>
  <si>
    <t>In14</t>
  </si>
  <si>
    <t>G3 Ex TOC T1 5/6/14</t>
  </si>
  <si>
    <t>In15</t>
  </si>
  <si>
    <t>G4 Ex TOC T1 5/6/14</t>
  </si>
  <si>
    <t>G5 Ex TOC T1 5/6/14</t>
  </si>
  <si>
    <t>In16</t>
  </si>
  <si>
    <t>In4 TOC T2 5/6/14</t>
  </si>
  <si>
    <t>In17</t>
  </si>
  <si>
    <t>In5 TOC T2 5/6/14</t>
  </si>
  <si>
    <t>In18</t>
  </si>
  <si>
    <t>In6 TOC T2 5/6/14</t>
  </si>
  <si>
    <t>G6 Ex TOC T2 5/6/14</t>
  </si>
  <si>
    <t>G7 Ex TOC T2 5/6/14</t>
  </si>
  <si>
    <t>se</t>
  </si>
  <si>
    <t>G8 Ex TOC T2 5/6/14</t>
  </si>
  <si>
    <t>sd</t>
  </si>
  <si>
    <t>G9 Ex TOC T2 5/6/14</t>
  </si>
  <si>
    <t>G10 Ex TOC T2 5/6/14</t>
  </si>
  <si>
    <t>uM/L</t>
  </si>
  <si>
    <t>av uM/L</t>
  </si>
  <si>
    <t>In7 TOC T1 7/6/14</t>
  </si>
  <si>
    <t>In8 TOC T1 7/6/14</t>
  </si>
  <si>
    <t xml:space="preserve">min </t>
  </si>
  <si>
    <t>In9 TOC T1 7/6/14</t>
  </si>
  <si>
    <t>Bacterial cells</t>
  </si>
  <si>
    <t>G11 Ex TOC T1 7/6/14</t>
  </si>
  <si>
    <t>Bacterial carbon</t>
  </si>
  <si>
    <t>G12 Ex TOC T1 7/6/14</t>
  </si>
  <si>
    <t>DOC (TOC-Bac)</t>
  </si>
  <si>
    <t>G13 Ex TOC T1 7/6/14</t>
  </si>
  <si>
    <t>G14 Ex TOC T1 7/6/14</t>
  </si>
  <si>
    <t>G15 Ex TOC T1 7/6/14</t>
  </si>
  <si>
    <t>G16 Ex TOC T1 7/6/14</t>
  </si>
  <si>
    <t>In10 TOC T2 7/6/14</t>
  </si>
  <si>
    <t>In11 TOC T2 7/6/14</t>
  </si>
  <si>
    <t>In12 TOC T2 7/6/14</t>
  </si>
  <si>
    <t>G17 Ex TOC T2 7/6/14</t>
  </si>
  <si>
    <t>G18 Ex TOC T2 7/6/14</t>
  </si>
  <si>
    <t>G19 Ex TOC T2 7/6/14</t>
  </si>
  <si>
    <t>G20 Ex TOC T2 7/6/14</t>
  </si>
  <si>
    <t>G21 Ex TOC T2 7/6/14</t>
  </si>
  <si>
    <t>In13 TOC T1 8/6/14</t>
  </si>
  <si>
    <t>In14 TOC T1 8/6/14</t>
  </si>
  <si>
    <t>In15 TOC T1 8/6/14</t>
  </si>
  <si>
    <t>G22 Ex TOC T1 8/6/14</t>
  </si>
  <si>
    <t>G23 Ex TOC T1 8/6/14</t>
  </si>
  <si>
    <t>G24 Ex TOC T1 8/6/14</t>
  </si>
  <si>
    <t>G25 Ex TOC T1 8/6/14</t>
  </si>
  <si>
    <t>G26 Ex TOC T1 8/6/14</t>
  </si>
  <si>
    <t>In16 TOC T2 8/6/14</t>
  </si>
  <si>
    <t>In17 TOC T2 8/6/14</t>
  </si>
  <si>
    <t>In18 TOC T2 8/6/14</t>
  </si>
  <si>
    <t>G27 Ex TOC T2 8/6/14</t>
  </si>
  <si>
    <t>G28 Ex TOC T2 8/6/14</t>
  </si>
  <si>
    <t>G29 Ex TOC T2 8/6/14</t>
  </si>
  <si>
    <t>G30 Ex TOC T2 8/6/14</t>
  </si>
  <si>
    <t>G31 Ex TOC T2 8/6/14</t>
  </si>
  <si>
    <t>Wet weight to dry weight of Geodia Barretti</t>
  </si>
  <si>
    <t>G.Barretti</t>
  </si>
  <si>
    <t>Individual</t>
  </si>
  <si>
    <t>Length cubed</t>
  </si>
  <si>
    <t>Size (cm3)</t>
  </si>
  <si>
    <t>L</t>
  </si>
  <si>
    <t>W</t>
  </si>
  <si>
    <t>H</t>
  </si>
  <si>
    <t>Av dimension (mm^3)</t>
  </si>
  <si>
    <t>Sponge wet wt (kg)</t>
  </si>
  <si>
    <t>proportion dry/wt</t>
  </si>
  <si>
    <t>Sponge dry wt (kg)</t>
  </si>
  <si>
    <t xml:space="preserve">Ash or inorganic (kg) </t>
  </si>
  <si>
    <t>Ash-free-dry weight (organic)</t>
  </si>
  <si>
    <t>Sponge volume (L)</t>
  </si>
  <si>
    <t>Ratio volume/wwt</t>
  </si>
  <si>
    <t>Volume/dry weight</t>
  </si>
  <si>
    <t>14 (Lab)</t>
  </si>
  <si>
    <t>10 (Lab)</t>
  </si>
  <si>
    <t>8 (lab) disease</t>
  </si>
  <si>
    <t>7 (lab)</t>
  </si>
  <si>
    <t>16 (Lab)</t>
  </si>
  <si>
    <t>20 (Lab)</t>
  </si>
  <si>
    <t>8 subsample 1</t>
  </si>
  <si>
    <t>wt (grams)</t>
  </si>
  <si>
    <t>8 subsample 2</t>
  </si>
  <si>
    <t>8 subsample 3</t>
  </si>
  <si>
    <t>work by James, Raymond and Tina</t>
  </si>
  <si>
    <t>Measurements for Ash Free Dry Weight -Austervoll May 2014</t>
  </si>
  <si>
    <t>Raymond and Tina have wet/dry weights - this sheet is to calculate the ash-free dry weight and the weight of hydration of spicules</t>
  </si>
  <si>
    <t>Raymond and James carried out this subanalysis June 6-2-14</t>
  </si>
  <si>
    <t>Chose  3 sponges of Large, Medium and Small size</t>
  </si>
  <si>
    <t>Total volume</t>
  </si>
  <si>
    <t>Wet Weight (g)</t>
  </si>
  <si>
    <t>Drip weight (g)</t>
  </si>
  <si>
    <t>Proportion of wet weight that is Ash-Free-Dry weight</t>
  </si>
  <si>
    <t>Sponge 1</t>
  </si>
  <si>
    <t>i.e. 8.3% organic of the whole wet sponge</t>
  </si>
  <si>
    <t>Sponge 2</t>
  </si>
  <si>
    <t>Proportion of dry weight that is Ash-Free-Dry weight</t>
  </si>
  <si>
    <t>Sponge 3</t>
  </si>
  <si>
    <t>i.e. 31.4% of the whole dry weight is organic</t>
  </si>
  <si>
    <t>Proportion of wet weight that is Ash-free-</t>
  </si>
  <si>
    <t>volume/dry weight</t>
  </si>
  <si>
    <t>Sponge individual</t>
  </si>
  <si>
    <t>Volume (ml)</t>
  </si>
  <si>
    <t>WW (g)</t>
  </si>
  <si>
    <t>Drip Wt (g)</t>
  </si>
  <si>
    <t>Weigh boat number</t>
  </si>
  <si>
    <t>Weigh boat mass (g)</t>
  </si>
  <si>
    <t>sponge plus boat mass (g)</t>
  </si>
  <si>
    <t>wet weight sponge piece (g)</t>
  </si>
  <si>
    <t>sponge dry (oven) (g)</t>
  </si>
  <si>
    <t>Dry wt (crushed  reweighed) (g)</t>
  </si>
  <si>
    <t>Mass after Burnt @ 450</t>
  </si>
  <si>
    <t>Proportion Ash of Dry wt</t>
  </si>
  <si>
    <t>Proportion Organic of Dry</t>
  </si>
  <si>
    <t>Ash-free-dry weight</t>
  </si>
  <si>
    <t xml:space="preserve">Sp3-S1 </t>
  </si>
  <si>
    <t>A</t>
  </si>
  <si>
    <t>B</t>
  </si>
  <si>
    <t>C</t>
  </si>
  <si>
    <t xml:space="preserve">Sp3-S2 </t>
  </si>
  <si>
    <t xml:space="preserve">Sp2-S1 </t>
  </si>
  <si>
    <t>D</t>
  </si>
  <si>
    <t>E</t>
  </si>
  <si>
    <t>F</t>
  </si>
  <si>
    <t>Sp2-S2</t>
  </si>
  <si>
    <t>Sp1-S1</t>
  </si>
  <si>
    <t>G</t>
  </si>
  <si>
    <t>I</t>
  </si>
  <si>
    <t>J</t>
  </si>
  <si>
    <t>K</t>
  </si>
  <si>
    <t>Sp1-S2</t>
  </si>
  <si>
    <t>Average of all</t>
  </si>
  <si>
    <t>Summary of 2014 ammonium samples from Ammonium results.xlsx</t>
  </si>
  <si>
    <t>Pasted from previous pages of spreadsheets in the file Ammonium results.xlsx.  In/Ex sampling of Geodia barretti over four days from two separate tanks.</t>
  </si>
  <si>
    <t>3 replicate In samples were collected from each tank, plus 5-6 Ex samples from each tank.</t>
  </si>
  <si>
    <t>In samples were averaged together for each of the tanks.</t>
  </si>
  <si>
    <t>Grayed out cells are numbers that were not used in the summary calculations because they were either controls/tests or, for the first set (G1-G5), had a  bad standard curve.</t>
  </si>
  <si>
    <t>In/Ex samples summarized</t>
  </si>
  <si>
    <t>Ammonium (nM)</t>
  </si>
  <si>
    <t>Date sampled</t>
  </si>
  <si>
    <t>Sample name</t>
  </si>
  <si>
    <t>nM</t>
  </si>
  <si>
    <t>In situ deep water (160m)</t>
  </si>
  <si>
    <t>Max</t>
  </si>
  <si>
    <t>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</si>
</sst>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00"/>
    <numFmt numFmtId="165" formatCode="0.0000"/>
    <numFmt numFmtId="166" formatCode="0.00000"/>
    <numFmt numFmtId="167" formatCode="0.0"/>
    <numFmt numFmtId="168" formatCode="[$-F400]h:mm:ss\ AM/PM"/>
    <numFmt numFmtId="170" formatCode="0.0%"/>
    <numFmt numFmtId="171" formatCode="0.000000"/>
    <numFmt numFmtId="172" formatCode="[$-409]d\-mmm\-yy;@"/>
  </numFmts>
  <fonts count="2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u/>
      <sz val="14"/>
      <color rgb="FF0070C0"/>
      <name val="Calibri Light"/>
      <family val="1"/>
      <scheme val="major"/>
    </font>
    <font>
      <u/>
      <sz val="14"/>
      <color theme="3" tint="-0.249977111117893"/>
      <name val="Calibri Light"/>
      <family val="1"/>
      <scheme val="major"/>
    </font>
    <font>
      <i/>
      <sz val="11"/>
      <color theme="1"/>
      <name val="Calibri"/>
      <family val="2"/>
      <scheme val="minor"/>
    </font>
    <font>
      <sz val="11"/>
      <name val="Calibri"/>
      <family val="2"/>
      <scheme val="minor"/>
    </font>
    <font>
      <sz val="11"/>
      <color theme="1" tint="0.499984740745262"/>
      <name val="Calibri"/>
      <family val="2"/>
      <scheme val="minor"/>
    </font>
    <font>
      <b/>
      <sz val="9"/>
      <color indexed="81"/>
      <name val="Tahoma"/>
      <family val="2"/>
    </font>
    <font>
      <sz val="9"/>
      <color indexed="81"/>
      <name val="Tahoma"/>
      <family val="2"/>
    </font>
    <font>
      <b/>
      <sz val="14"/>
      <color theme="4" tint="-0.249977111117893"/>
      <name val="Cambria"/>
      <family val="1"/>
    </font>
    <font>
      <b/>
      <sz val="16"/>
      <color theme="3"/>
      <name val="Calibri Light"/>
      <family val="1"/>
      <scheme val="major"/>
    </font>
    <font>
      <b/>
      <sz val="14"/>
      <color theme="4"/>
      <name val="Calibri Light"/>
      <family val="1"/>
      <scheme val="major"/>
    </font>
    <font>
      <b/>
      <sz val="10"/>
      <name val="Arial"/>
      <family val="2"/>
    </font>
    <font>
      <sz val="11"/>
      <color theme="3"/>
      <name val="Calibri Light"/>
      <family val="1"/>
      <scheme val="major"/>
    </font>
    <font>
      <sz val="10"/>
      <color indexed="12"/>
      <name val="Arial"/>
      <family val="2"/>
    </font>
    <font>
      <sz val="10"/>
      <name val="Arial"/>
      <family val="2"/>
    </font>
    <font>
      <sz val="11"/>
      <color indexed="8"/>
      <name val="Calibri"/>
      <family val="2"/>
    </font>
    <font>
      <sz val="10"/>
      <color indexed="8"/>
      <name val="Arial"/>
      <family val="2"/>
    </font>
    <font>
      <b/>
      <sz val="11"/>
      <color rgb="FFFF0000"/>
      <name val="Calibri"/>
      <family val="2"/>
      <scheme val="minor"/>
    </font>
    <font>
      <b/>
      <sz val="10"/>
      <color indexed="12"/>
      <name val="Arial"/>
      <family val="2"/>
    </font>
    <font>
      <b/>
      <sz val="8"/>
      <color indexed="81"/>
      <name val="Tahoma"/>
      <family val="2"/>
    </font>
    <font>
      <sz val="8"/>
      <color indexed="81"/>
      <name val="Tahoma"/>
      <family val="2"/>
    </font>
    <font>
      <b/>
      <u/>
      <sz val="14"/>
      <color theme="4" tint="-0.249977111117893"/>
      <name val="Cambria"/>
      <family val="1"/>
    </font>
    <font>
      <sz val="16"/>
      <color theme="4"/>
      <name val="Calibri"/>
      <family val="2"/>
      <scheme val="minor"/>
    </font>
  </fonts>
  <fills count="8">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2"/>
        <bgColor indexed="64"/>
      </patternFill>
    </fill>
  </fills>
  <borders count="18">
    <border>
      <left/>
      <right/>
      <top/>
      <bottom/>
      <diagonal/>
    </border>
    <border>
      <left/>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9" fontId="1" fillId="0" borderId="0" applyFont="0" applyFill="0" applyBorder="0" applyAlignment="0" applyProtection="0"/>
  </cellStyleXfs>
  <cellXfs count="276">
    <xf numFmtId="0" fontId="0" fillId="0" borderId="0" xfId="0"/>
    <xf numFmtId="0" fontId="4" fillId="0" borderId="0" xfId="0" applyFont="1" applyAlignment="1">
      <alignment horizontal="left"/>
    </xf>
    <xf numFmtId="0" fontId="5" fillId="0" borderId="0" xfId="0" applyFont="1" applyAlignment="1">
      <alignment horizontal="left"/>
    </xf>
    <xf numFmtId="0" fontId="0" fillId="0" borderId="0" xfId="0" applyAlignment="1">
      <alignment horizontal="left"/>
    </xf>
    <xf numFmtId="0" fontId="6" fillId="0" borderId="0" xfId="0" applyFont="1"/>
    <xf numFmtId="0" fontId="0" fillId="0" borderId="0" xfId="0" applyAlignment="1">
      <alignment horizontal="center"/>
    </xf>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0" fillId="0" borderId="1" xfId="0" applyBorder="1" applyAlignment="1">
      <alignment horizontal="center" wrapText="1"/>
    </xf>
    <xf numFmtId="0" fontId="0" fillId="0" borderId="1" xfId="0" applyBorder="1" applyAlignment="1">
      <alignment wrapText="1"/>
    </xf>
    <xf numFmtId="0" fontId="0" fillId="0" borderId="0" xfId="0" applyBorder="1"/>
    <xf numFmtId="0" fontId="0" fillId="0" borderId="1" xfId="0" applyBorder="1" applyAlignment="1">
      <alignment horizontal="center" wrapText="1"/>
    </xf>
    <xf numFmtId="0" fontId="0" fillId="0" borderId="0" xfId="0" applyBorder="1" applyAlignment="1">
      <alignment horizontal="center" wrapText="1"/>
    </xf>
    <xf numFmtId="2" fontId="0" fillId="0" borderId="0" xfId="0" applyNumberFormat="1"/>
    <xf numFmtId="2" fontId="0" fillId="0" borderId="0" xfId="0" applyNumberFormat="1" applyBorder="1"/>
    <xf numFmtId="14" fontId="0" fillId="0" borderId="2" xfId="0" applyNumberFormat="1" applyBorder="1"/>
    <xf numFmtId="1" fontId="0" fillId="0" borderId="0" xfId="0" applyNumberFormat="1"/>
    <xf numFmtId="2" fontId="0" fillId="0" borderId="0" xfId="0" applyNumberFormat="1" applyFill="1"/>
    <xf numFmtId="164" fontId="0" fillId="0" borderId="0" xfId="0" applyNumberFormat="1"/>
    <xf numFmtId="165" fontId="0" fillId="0" borderId="0" xfId="0" applyNumberFormat="1"/>
    <xf numFmtId="14" fontId="0" fillId="0" borderId="2" xfId="0" applyNumberFormat="1" applyFill="1" applyBorder="1"/>
    <xf numFmtId="0" fontId="0" fillId="0" borderId="0" xfId="0" applyFill="1"/>
    <xf numFmtId="1" fontId="0" fillId="0" borderId="0" xfId="0" applyNumberFormat="1" applyFill="1"/>
    <xf numFmtId="164" fontId="0" fillId="0" borderId="0" xfId="0" applyNumberFormat="1" applyFill="1"/>
    <xf numFmtId="165" fontId="0" fillId="0" borderId="0" xfId="0" applyNumberFormat="1" applyFill="1"/>
    <xf numFmtId="0" fontId="0" fillId="2" borderId="0" xfId="0" applyFill="1"/>
    <xf numFmtId="14" fontId="7" fillId="0" borderId="2" xfId="0" applyNumberFormat="1" applyFont="1" applyBorder="1"/>
    <xf numFmtId="0" fontId="7" fillId="0" borderId="0" xfId="0" applyFont="1"/>
    <xf numFmtId="1" fontId="7" fillId="0" borderId="0" xfId="0" applyNumberFormat="1" applyFont="1"/>
    <xf numFmtId="2" fontId="7" fillId="0" borderId="0" xfId="0" applyNumberFormat="1" applyFont="1"/>
    <xf numFmtId="2" fontId="7" fillId="0" borderId="0" xfId="0" applyNumberFormat="1" applyFont="1" applyFill="1"/>
    <xf numFmtId="164" fontId="7" fillId="0" borderId="0" xfId="0" applyNumberFormat="1" applyFont="1"/>
    <xf numFmtId="165" fontId="7" fillId="0" borderId="0" xfId="0" applyNumberFormat="1" applyFont="1"/>
    <xf numFmtId="14" fontId="7" fillId="0" borderId="2" xfId="0" applyNumberFormat="1" applyFont="1" applyFill="1" applyBorder="1"/>
    <xf numFmtId="0" fontId="7" fillId="0" borderId="0" xfId="0" applyFont="1" applyFill="1"/>
    <xf numFmtId="1" fontId="7" fillId="0" borderId="0" xfId="0" applyNumberFormat="1" applyFont="1" applyFill="1"/>
    <xf numFmtId="164" fontId="7" fillId="0" borderId="0" xfId="0" applyNumberFormat="1" applyFont="1" applyFill="1"/>
    <xf numFmtId="165" fontId="7" fillId="0" borderId="0" xfId="0" applyNumberFormat="1" applyFont="1" applyFill="1"/>
    <xf numFmtId="0" fontId="8" fillId="0" borderId="0" xfId="0" applyFont="1" applyFill="1"/>
    <xf numFmtId="0" fontId="8" fillId="0" borderId="0" xfId="0" applyFont="1"/>
    <xf numFmtId="2" fontId="0" fillId="2" borderId="0" xfId="0" applyNumberFormat="1" applyFill="1"/>
    <xf numFmtId="164" fontId="0" fillId="2" borderId="0" xfId="0" applyNumberFormat="1" applyFill="1"/>
    <xf numFmtId="166" fontId="0" fillId="0" borderId="0" xfId="0" applyNumberFormat="1"/>
    <xf numFmtId="0" fontId="0" fillId="3" borderId="0" xfId="0" applyFill="1"/>
    <xf numFmtId="2" fontId="0" fillId="3" borderId="0" xfId="0" applyNumberFormat="1" applyFill="1"/>
    <xf numFmtId="164" fontId="0" fillId="3" borderId="0" xfId="0" applyNumberFormat="1" applyFill="1"/>
    <xf numFmtId="166" fontId="0" fillId="3" borderId="0" xfId="0" applyNumberFormat="1" applyFill="1"/>
    <xf numFmtId="165" fontId="0" fillId="3" borderId="0" xfId="0" applyNumberFormat="1" applyFill="1"/>
    <xf numFmtId="14" fontId="8" fillId="3" borderId="2" xfId="0" applyNumberFormat="1" applyFont="1" applyFill="1" applyBorder="1"/>
    <xf numFmtId="0" fontId="8" fillId="3" borderId="0" xfId="0" applyFont="1" applyFill="1"/>
    <xf numFmtId="1" fontId="8" fillId="3" borderId="0" xfId="0" applyNumberFormat="1" applyFont="1" applyFill="1"/>
    <xf numFmtId="2" fontId="8" fillId="3" borderId="0" xfId="0" applyNumberFormat="1" applyFont="1" applyFill="1"/>
    <xf numFmtId="164" fontId="8" fillId="3" borderId="0" xfId="0" applyNumberFormat="1" applyFont="1" applyFill="1"/>
    <xf numFmtId="166" fontId="8" fillId="3" borderId="0" xfId="0" applyNumberFormat="1" applyFont="1" applyFill="1"/>
    <xf numFmtId="165" fontId="8" fillId="3" borderId="0" xfId="0" applyNumberFormat="1" applyFont="1" applyFill="1"/>
    <xf numFmtId="14" fontId="8" fillId="3" borderId="0" xfId="0" applyNumberFormat="1" applyFont="1" applyFill="1" applyBorder="1"/>
    <xf numFmtId="167" fontId="8" fillId="3" borderId="0" xfId="0" applyNumberFormat="1" applyFont="1" applyFill="1"/>
    <xf numFmtId="0" fontId="11" fillId="0" borderId="0" xfId="0" applyFont="1"/>
    <xf numFmtId="0" fontId="12" fillId="0" borderId="0" xfId="0" applyFont="1"/>
    <xf numFmtId="168" fontId="0" fillId="0" borderId="0" xfId="0" applyNumberFormat="1"/>
    <xf numFmtId="0" fontId="0" fillId="0" borderId="0" xfId="0" applyAlignment="1">
      <alignment horizontal="right"/>
    </xf>
    <xf numFmtId="0" fontId="0" fillId="0" borderId="0" xfId="0" applyBorder="1" applyAlignment="1">
      <alignment horizontal="center" vertical="center"/>
    </xf>
    <xf numFmtId="0" fontId="0" fillId="0" borderId="0" xfId="0" applyFill="1" applyAlignment="1">
      <alignment horizontal="center" wrapText="1"/>
    </xf>
    <xf numFmtId="0" fontId="0" fillId="0" borderId="0" xfId="0" applyFill="1" applyBorder="1" applyAlignment="1">
      <alignment horizontal="center" vertical="center"/>
    </xf>
    <xf numFmtId="0" fontId="0" fillId="0" borderId="0" xfId="0" applyFill="1" applyAlignment="1">
      <alignment horizontal="center"/>
    </xf>
    <xf numFmtId="168" fontId="0" fillId="0" borderId="0" xfId="0" applyNumberFormat="1" applyFill="1"/>
    <xf numFmtId="0" fontId="0" fillId="0" borderId="0" xfId="0" applyFill="1" applyAlignment="1">
      <alignment horizontal="right"/>
    </xf>
    <xf numFmtId="0" fontId="0" fillId="0" borderId="1" xfId="0" applyBorder="1" applyAlignment="1">
      <alignment horizontal="center"/>
    </xf>
    <xf numFmtId="0" fontId="0" fillId="0" borderId="0" xfId="0" applyAlignment="1"/>
    <xf numFmtId="0" fontId="0" fillId="0" borderId="0" xfId="0" applyAlignment="1">
      <alignment horizontal="left"/>
    </xf>
    <xf numFmtId="0" fontId="0" fillId="0" borderId="1" xfId="0" applyBorder="1" applyAlignment="1">
      <alignment horizontal="center" vertical="center"/>
    </xf>
    <xf numFmtId="0" fontId="3" fillId="0" borderId="1" xfId="0" applyFont="1" applyBorder="1" applyAlignment="1">
      <alignment horizontal="center" vertical="center"/>
    </xf>
    <xf numFmtId="168" fontId="0" fillId="0" borderId="1" xfId="0" applyNumberFormat="1" applyBorder="1"/>
    <xf numFmtId="0" fontId="0" fillId="0" borderId="1" xfId="0" applyBorder="1"/>
    <xf numFmtId="0" fontId="0" fillId="0" borderId="1" xfId="0" applyFill="1" applyBorder="1"/>
    <xf numFmtId="0" fontId="0" fillId="0" borderId="1" xfId="0" applyFill="1" applyBorder="1" applyAlignment="1">
      <alignment wrapText="1"/>
    </xf>
    <xf numFmtId="14" fontId="0" fillId="0" borderId="0" xfId="0" applyNumberFormat="1" applyFill="1" applyBorder="1" applyAlignment="1">
      <alignment horizontal="right"/>
    </xf>
    <xf numFmtId="0" fontId="0" fillId="0" borderId="0" xfId="0" applyFill="1" applyBorder="1"/>
    <xf numFmtId="0" fontId="0" fillId="0" borderId="0" xfId="0" applyBorder="1" applyAlignment="1">
      <alignment horizontal="center"/>
    </xf>
    <xf numFmtId="0" fontId="0" fillId="0" borderId="0" xfId="0" applyFill="1" applyBorder="1" applyAlignment="1">
      <alignment horizontal="right" vertical="center"/>
    </xf>
    <xf numFmtId="168" fontId="0" fillId="0" borderId="0" xfId="0" applyNumberFormat="1" applyFill="1" applyBorder="1" applyAlignment="1">
      <alignment horizontal="right"/>
    </xf>
    <xf numFmtId="0" fontId="0" fillId="0" borderId="0" xfId="0" applyFill="1" applyBorder="1" applyAlignment="1">
      <alignment horizontal="right"/>
    </xf>
    <xf numFmtId="167" fontId="0" fillId="0" borderId="0" xfId="0" applyNumberFormat="1" applyFill="1"/>
    <xf numFmtId="167" fontId="0" fillId="0" borderId="0" xfId="0" applyNumberFormat="1"/>
    <xf numFmtId="168" fontId="0" fillId="0" borderId="0" xfId="0" applyNumberFormat="1" applyFont="1" applyFill="1" applyBorder="1" applyAlignment="1">
      <alignment horizontal="right" vertical="center" wrapText="1"/>
    </xf>
    <xf numFmtId="168" fontId="0" fillId="0" borderId="0" xfId="0" applyNumberFormat="1" applyFont="1" applyFill="1" applyBorder="1" applyAlignment="1">
      <alignment horizontal="right" vertical="center"/>
    </xf>
    <xf numFmtId="14" fontId="0" fillId="0" borderId="0" xfId="0" applyNumberFormat="1"/>
    <xf numFmtId="0" fontId="0" fillId="0" borderId="0" xfId="0" applyFill="1" applyBorder="1" applyAlignment="1">
      <alignment horizontal="center"/>
    </xf>
    <xf numFmtId="168" fontId="0" fillId="0" borderId="0" xfId="0" applyNumberFormat="1" applyAlignment="1">
      <alignment horizontal="right"/>
    </xf>
    <xf numFmtId="168" fontId="0" fillId="0" borderId="0" xfId="0" applyNumberFormat="1" applyBorder="1"/>
    <xf numFmtId="168" fontId="0" fillId="0" borderId="0" xfId="0" applyNumberFormat="1" applyFill="1" applyBorder="1" applyAlignment="1">
      <alignment horizontal="right" vertical="center"/>
    </xf>
    <xf numFmtId="21" fontId="0" fillId="0" borderId="0" xfId="0" applyNumberFormat="1" applyFill="1"/>
    <xf numFmtId="14" fontId="7" fillId="0" borderId="0" xfId="0" applyNumberFormat="1" applyFont="1"/>
    <xf numFmtId="0" fontId="7" fillId="0" borderId="0" xfId="0" applyFont="1" applyAlignment="1">
      <alignment horizontal="center"/>
    </xf>
    <xf numFmtId="168" fontId="7" fillId="0" borderId="0" xfId="0" applyNumberFormat="1" applyFont="1"/>
    <xf numFmtId="168" fontId="7" fillId="0" borderId="0" xfId="0" applyNumberFormat="1" applyFont="1" applyAlignment="1">
      <alignment horizontal="right"/>
    </xf>
    <xf numFmtId="0" fontId="7" fillId="0" borderId="0" xfId="0" applyFont="1" applyBorder="1"/>
    <xf numFmtId="167" fontId="7" fillId="0" borderId="0" xfId="0" applyNumberFormat="1" applyFont="1"/>
    <xf numFmtId="0" fontId="7" fillId="0" borderId="0" xfId="0" applyFont="1" applyFill="1" applyBorder="1"/>
    <xf numFmtId="14" fontId="7" fillId="0" borderId="0" xfId="0" applyNumberFormat="1" applyFont="1" applyFill="1" applyBorder="1" applyAlignment="1">
      <alignment horizontal="right"/>
    </xf>
    <xf numFmtId="0" fontId="7" fillId="0" borderId="0" xfId="0" applyFont="1" applyFill="1" applyBorder="1" applyAlignment="1">
      <alignment horizontal="center"/>
    </xf>
    <xf numFmtId="0" fontId="7" fillId="0" borderId="0" xfId="0" applyFont="1" applyFill="1" applyBorder="1" applyAlignment="1">
      <alignment horizontal="right"/>
    </xf>
    <xf numFmtId="168" fontId="7" fillId="0" borderId="0" xfId="0" applyNumberFormat="1" applyFont="1" applyFill="1" applyBorder="1" applyAlignment="1">
      <alignment horizontal="right"/>
    </xf>
    <xf numFmtId="14" fontId="7" fillId="0" borderId="0" xfId="0" applyNumberFormat="1" applyFont="1" applyFill="1"/>
    <xf numFmtId="0" fontId="7" fillId="0" borderId="0" xfId="0" applyFont="1" applyFill="1" applyAlignment="1">
      <alignment horizontal="center"/>
    </xf>
    <xf numFmtId="168" fontId="7" fillId="0" borderId="0" xfId="0" applyNumberFormat="1" applyFont="1" applyFill="1"/>
    <xf numFmtId="168" fontId="7" fillId="0" borderId="0" xfId="0" applyNumberFormat="1" applyFont="1" applyFill="1" applyAlignment="1">
      <alignment horizontal="right"/>
    </xf>
    <xf numFmtId="167" fontId="7" fillId="0" borderId="0" xfId="0" applyNumberFormat="1" applyFont="1" applyFill="1"/>
    <xf numFmtId="0" fontId="8" fillId="0" borderId="0" xfId="0" applyFont="1" applyFill="1" applyBorder="1"/>
    <xf numFmtId="0" fontId="8" fillId="0" borderId="0" xfId="0" applyFont="1" applyBorder="1"/>
    <xf numFmtId="0" fontId="13" fillId="0" borderId="0" xfId="0" applyFont="1"/>
    <xf numFmtId="0" fontId="14" fillId="0" borderId="0" xfId="0" applyFont="1" applyFill="1" applyBorder="1"/>
    <xf numFmtId="0" fontId="15" fillId="0" borderId="0" xfId="0" applyFont="1"/>
    <xf numFmtId="0" fontId="14" fillId="0" borderId="0" xfId="0" applyFont="1"/>
    <xf numFmtId="0" fontId="14" fillId="0" borderId="0" xfId="0" applyFont="1" applyAlignment="1">
      <alignment horizontal="center"/>
    </xf>
    <xf numFmtId="0" fontId="14" fillId="0" borderId="0" xfId="0" applyFont="1" applyFill="1" applyBorder="1" applyAlignment="1">
      <alignment horizontal="center"/>
    </xf>
    <xf numFmtId="0" fontId="16" fillId="0" borderId="0" xfId="0" applyFont="1" applyFill="1" applyBorder="1" applyAlignment="1">
      <alignment horizontal="center"/>
    </xf>
    <xf numFmtId="0" fontId="3" fillId="0" borderId="0" xfId="0" applyFont="1" applyAlignment="1">
      <alignment horizontal="center"/>
    </xf>
    <xf numFmtId="0" fontId="3" fillId="0" borderId="0" xfId="0" applyFont="1" applyAlignment="1">
      <alignment horizontal="center"/>
    </xf>
    <xf numFmtId="0" fontId="17" fillId="0" borderId="0" xfId="0" applyFont="1" applyAlignment="1">
      <alignment horizontal="center"/>
    </xf>
    <xf numFmtId="0" fontId="17" fillId="0" borderId="0" xfId="0" applyFont="1" applyBorder="1" applyAlignment="1">
      <alignment horizontal="center"/>
    </xf>
    <xf numFmtId="0" fontId="14" fillId="0" borderId="0" xfId="0" applyFont="1" applyBorder="1" applyAlignment="1">
      <alignment horizontal="center"/>
    </xf>
    <xf numFmtId="0" fontId="0" fillId="0" borderId="0" xfId="0" applyFill="1" applyBorder="1" applyAlignment="1">
      <alignment horizontal="left"/>
    </xf>
    <xf numFmtId="1" fontId="0" fillId="0" borderId="3" xfId="0" applyNumberFormat="1" applyBorder="1" applyAlignment="1">
      <alignment horizontal="center"/>
    </xf>
    <xf numFmtId="164" fontId="18" fillId="0" borderId="3" xfId="0" applyNumberFormat="1" applyFont="1" applyBorder="1" applyAlignment="1">
      <alignment horizontal="center" wrapText="1"/>
    </xf>
    <xf numFmtId="164" fontId="0" fillId="0" borderId="4" xfId="0" applyNumberFormat="1" applyFont="1" applyFill="1" applyBorder="1" applyAlignment="1">
      <alignment horizontal="center" wrapText="1"/>
    </xf>
    <xf numFmtId="164" fontId="0" fillId="0" borderId="5" xfId="0" applyNumberFormat="1" applyBorder="1" applyAlignment="1">
      <alignment horizontal="center"/>
    </xf>
    <xf numFmtId="164" fontId="0" fillId="0" borderId="6" xfId="0" applyNumberFormat="1" applyBorder="1" applyAlignment="1">
      <alignment horizontal="center"/>
    </xf>
    <xf numFmtId="164" fontId="0" fillId="0" borderId="3" xfId="0" applyNumberFormat="1" applyFill="1" applyBorder="1" applyAlignment="1">
      <alignment horizontal="center"/>
    </xf>
    <xf numFmtId="2" fontId="0" fillId="0" borderId="6" xfId="0" applyNumberFormat="1" applyFill="1" applyBorder="1" applyAlignment="1">
      <alignment horizontal="center"/>
    </xf>
    <xf numFmtId="2" fontId="0" fillId="0" borderId="0" xfId="0" applyNumberFormat="1" applyFill="1" applyBorder="1" applyAlignment="1">
      <alignment horizontal="center"/>
    </xf>
    <xf numFmtId="0" fontId="0" fillId="0" borderId="1" xfId="0" applyBorder="1" applyAlignment="1">
      <alignment horizontal="center"/>
    </xf>
    <xf numFmtId="1" fontId="0" fillId="0" borderId="7" xfId="0" applyNumberFormat="1" applyBorder="1" applyAlignment="1">
      <alignment horizontal="center"/>
    </xf>
    <xf numFmtId="164" fontId="18" fillId="0" borderId="7" xfId="0" applyNumberFormat="1" applyFont="1" applyBorder="1" applyAlignment="1">
      <alignment horizontal="center" wrapText="1"/>
    </xf>
    <xf numFmtId="164" fontId="0" fillId="0" borderId="8" xfId="0" applyNumberFormat="1" applyFont="1" applyFill="1" applyBorder="1" applyAlignment="1">
      <alignment horizontal="center" wrapText="1"/>
    </xf>
    <xf numFmtId="164" fontId="0" fillId="0" borderId="0" xfId="0" applyNumberFormat="1" applyBorder="1" applyAlignment="1">
      <alignment horizontal="center"/>
    </xf>
    <xf numFmtId="164" fontId="0" fillId="0" borderId="9" xfId="0" applyNumberFormat="1" applyBorder="1" applyAlignment="1">
      <alignment horizontal="center"/>
    </xf>
    <xf numFmtId="164" fontId="0" fillId="0" borderId="7" xfId="0" applyNumberFormat="1" applyFill="1" applyBorder="1" applyAlignment="1">
      <alignment horizontal="center"/>
    </xf>
    <xf numFmtId="2" fontId="0" fillId="0" borderId="9" xfId="0" applyNumberFormat="1" applyFill="1" applyBorder="1" applyAlignment="1">
      <alignment horizontal="center"/>
    </xf>
    <xf numFmtId="2" fontId="0" fillId="0" borderId="0" xfId="0" applyNumberFormat="1" applyAlignment="1">
      <alignment horizontal="center"/>
    </xf>
    <xf numFmtId="1" fontId="0" fillId="0" borderId="10" xfId="0" applyNumberFormat="1" applyBorder="1" applyAlignment="1">
      <alignment horizontal="center"/>
    </xf>
    <xf numFmtId="164" fontId="18" fillId="0" borderId="10" xfId="0" applyNumberFormat="1" applyFont="1" applyBorder="1" applyAlignment="1">
      <alignment horizontal="center" wrapText="1"/>
    </xf>
    <xf numFmtId="164" fontId="0" fillId="0" borderId="0" xfId="0" applyNumberFormat="1" applyFont="1" applyFill="1" applyBorder="1" applyAlignment="1">
      <alignment horizontal="center" wrapText="1"/>
    </xf>
    <xf numFmtId="164" fontId="0" fillId="0" borderId="11" xfId="0" applyNumberFormat="1" applyFont="1" applyFill="1" applyBorder="1" applyAlignment="1">
      <alignment horizontal="center" wrapText="1"/>
    </xf>
    <xf numFmtId="164" fontId="0" fillId="0" borderId="1" xfId="0" applyNumberFormat="1" applyBorder="1" applyAlignment="1">
      <alignment horizontal="center"/>
    </xf>
    <xf numFmtId="164" fontId="0" fillId="0" borderId="12" xfId="0" applyNumberFormat="1" applyBorder="1" applyAlignment="1">
      <alignment horizontal="center"/>
    </xf>
    <xf numFmtId="164" fontId="0" fillId="0" borderId="10" xfId="0" applyNumberFormat="1" applyFill="1" applyBorder="1" applyAlignment="1">
      <alignment horizontal="center"/>
    </xf>
    <xf numFmtId="2" fontId="0" fillId="0" borderId="12" xfId="0" applyNumberFormat="1" applyFill="1" applyBorder="1" applyAlignment="1">
      <alignment horizontal="center"/>
    </xf>
    <xf numFmtId="164" fontId="19" fillId="0" borderId="0" xfId="0" applyNumberFormat="1" applyFont="1" applyFill="1" applyBorder="1" applyAlignment="1">
      <alignment horizontal="center" wrapText="1"/>
    </xf>
    <xf numFmtId="2" fontId="14" fillId="0" borderId="0" xfId="0" applyNumberFormat="1" applyFont="1" applyFill="1" applyBorder="1" applyAlignment="1">
      <alignment horizontal="center"/>
    </xf>
    <xf numFmtId="164" fontId="0" fillId="0" borderId="5" xfId="0" applyNumberFormat="1" applyFont="1" applyFill="1" applyBorder="1" applyAlignment="1">
      <alignment horizontal="center" wrapText="1"/>
    </xf>
    <xf numFmtId="164" fontId="16" fillId="0" borderId="6" xfId="0" applyNumberFormat="1" applyFont="1" applyFill="1" applyBorder="1" applyAlignment="1">
      <alignment horizontal="center" wrapText="1"/>
    </xf>
    <xf numFmtId="2" fontId="0" fillId="0" borderId="3" xfId="0" applyNumberFormat="1" applyFill="1" applyBorder="1" applyAlignment="1">
      <alignment horizontal="center"/>
    </xf>
    <xf numFmtId="164" fontId="14" fillId="0" borderId="0" xfId="0" applyNumberFormat="1" applyFont="1" applyFill="1" applyBorder="1" applyAlignment="1">
      <alignment horizontal="center" wrapText="1"/>
    </xf>
    <xf numFmtId="1" fontId="17" fillId="0" borderId="13" xfId="0" applyNumberFormat="1" applyFont="1" applyBorder="1" applyAlignment="1">
      <alignment horizontal="center"/>
    </xf>
    <xf numFmtId="164" fontId="17" fillId="0" borderId="14" xfId="0" applyNumberFormat="1" applyFont="1" applyBorder="1" applyAlignment="1">
      <alignment horizontal="center"/>
    </xf>
    <xf numFmtId="167" fontId="14" fillId="0" borderId="15" xfId="0" applyNumberFormat="1" applyFont="1" applyBorder="1" applyAlignment="1">
      <alignment horizontal="center"/>
    </xf>
    <xf numFmtId="164" fontId="16" fillId="0" borderId="9" xfId="0" applyNumberFormat="1" applyFont="1" applyFill="1" applyBorder="1" applyAlignment="1">
      <alignment horizontal="center" wrapText="1"/>
    </xf>
    <xf numFmtId="2" fontId="0" fillId="0" borderId="7" xfId="0" applyNumberFormat="1" applyFill="1" applyBorder="1" applyAlignment="1">
      <alignment horizontal="center"/>
    </xf>
    <xf numFmtId="2" fontId="0" fillId="0" borderId="3" xfId="0" applyNumberFormat="1" applyBorder="1" applyAlignment="1">
      <alignment horizontal="center"/>
    </xf>
    <xf numFmtId="167" fontId="14" fillId="0" borderId="3" xfId="0" applyNumberFormat="1" applyFont="1" applyBorder="1" applyAlignment="1">
      <alignment horizontal="center"/>
    </xf>
    <xf numFmtId="2" fontId="0" fillId="0" borderId="7" xfId="0" applyNumberFormat="1" applyBorder="1" applyAlignment="1">
      <alignment horizontal="center"/>
    </xf>
    <xf numFmtId="167" fontId="14" fillId="0" borderId="7" xfId="0" applyNumberFormat="1" applyFont="1" applyBorder="1" applyAlignment="1">
      <alignment horizontal="center"/>
    </xf>
    <xf numFmtId="164" fontId="0" fillId="0" borderId="1" xfId="0" applyNumberFormat="1" applyFont="1" applyFill="1" applyBorder="1" applyAlignment="1">
      <alignment horizontal="center" wrapText="1"/>
    </xf>
    <xf numFmtId="164" fontId="16" fillId="0" borderId="12" xfId="0" applyNumberFormat="1" applyFont="1" applyFill="1" applyBorder="1" applyAlignment="1">
      <alignment horizontal="center" wrapText="1"/>
    </xf>
    <xf numFmtId="2" fontId="0" fillId="0" borderId="10" xfId="0" applyNumberFormat="1" applyFill="1" applyBorder="1" applyAlignment="1">
      <alignment horizontal="center"/>
    </xf>
    <xf numFmtId="0" fontId="0" fillId="0" borderId="5" xfId="0" applyFill="1" applyBorder="1" applyAlignment="1">
      <alignment horizontal="center"/>
    </xf>
    <xf numFmtId="0" fontId="16" fillId="0" borderId="6" xfId="0" applyFont="1" applyFill="1" applyBorder="1" applyAlignment="1">
      <alignment horizontal="center"/>
    </xf>
    <xf numFmtId="0" fontId="16" fillId="0" borderId="9" xfId="0" applyFont="1" applyFill="1" applyBorder="1" applyAlignment="1">
      <alignment horizontal="center"/>
    </xf>
    <xf numFmtId="0" fontId="0" fillId="0" borderId="1" xfId="0" applyFill="1" applyBorder="1" applyAlignment="1">
      <alignment horizontal="center"/>
    </xf>
    <xf numFmtId="0" fontId="16" fillId="0" borderId="12" xfId="0" applyFont="1" applyFill="1" applyBorder="1" applyAlignment="1">
      <alignment horizontal="center"/>
    </xf>
    <xf numFmtId="164" fontId="0" fillId="0" borderId="0" xfId="0" applyNumberFormat="1" applyFill="1" applyBorder="1" applyAlignment="1">
      <alignment horizontal="center"/>
    </xf>
    <xf numFmtId="2" fontId="0" fillId="0" borderId="10" xfId="0" applyNumberFormat="1" applyBorder="1" applyAlignment="1">
      <alignment horizontal="center"/>
    </xf>
    <xf numFmtId="0" fontId="8" fillId="0" borderId="0" xfId="0" applyFont="1" applyBorder="1" applyAlignment="1">
      <alignment horizontal="center" wrapText="1"/>
    </xf>
    <xf numFmtId="2" fontId="8" fillId="0" borderId="0" xfId="0" applyNumberFormat="1" applyFont="1" applyAlignment="1">
      <alignment horizontal="center"/>
    </xf>
    <xf numFmtId="2" fontId="8" fillId="0" borderId="0" xfId="0" applyNumberFormat="1" applyFont="1"/>
    <xf numFmtId="167" fontId="14" fillId="0" borderId="10" xfId="0" applyNumberFormat="1" applyFont="1" applyBorder="1" applyAlignment="1">
      <alignment horizontal="center"/>
    </xf>
    <xf numFmtId="0" fontId="0" fillId="0" borderId="0" xfId="0" applyBorder="1" applyAlignment="1">
      <alignment wrapText="1"/>
    </xf>
    <xf numFmtId="164" fontId="0" fillId="0" borderId="4" xfId="0" applyNumberFormat="1" applyBorder="1" applyAlignment="1">
      <alignment horizontal="center"/>
    </xf>
    <xf numFmtId="0" fontId="0" fillId="0" borderId="6" xfId="0" applyFill="1" applyBorder="1" applyAlignment="1">
      <alignment horizontal="center"/>
    </xf>
    <xf numFmtId="164" fontId="0" fillId="0" borderId="8" xfId="0" applyNumberFormat="1" applyBorder="1" applyAlignment="1">
      <alignment horizontal="center"/>
    </xf>
    <xf numFmtId="0" fontId="0" fillId="0" borderId="9" xfId="0" applyFill="1" applyBorder="1" applyAlignment="1">
      <alignment horizontal="center"/>
    </xf>
    <xf numFmtId="2" fontId="0" fillId="0" borderId="1" xfId="0" applyNumberFormat="1" applyBorder="1" applyAlignment="1">
      <alignment horizontal="center"/>
    </xf>
    <xf numFmtId="170" fontId="0" fillId="0" borderId="0" xfId="1" applyNumberFormat="1" applyFont="1"/>
    <xf numFmtId="10" fontId="0" fillId="0" borderId="0" xfId="1" applyNumberFormat="1" applyFont="1"/>
    <xf numFmtId="2" fontId="0" fillId="0" borderId="16" xfId="0" applyNumberFormat="1" applyBorder="1"/>
    <xf numFmtId="2" fontId="0" fillId="0" borderId="16" xfId="0" applyNumberFormat="1" applyBorder="1" applyAlignment="1">
      <alignment horizontal="center"/>
    </xf>
    <xf numFmtId="164" fontId="0" fillId="0" borderId="16" xfId="0" applyNumberFormat="1" applyBorder="1" applyAlignment="1">
      <alignment horizontal="center"/>
    </xf>
    <xf numFmtId="164" fontId="2" fillId="0" borderId="0" xfId="0" applyNumberFormat="1" applyFont="1" applyBorder="1" applyAlignment="1">
      <alignment horizontal="center"/>
    </xf>
    <xf numFmtId="0" fontId="14" fillId="0" borderId="0" xfId="0" applyFont="1" applyFill="1" applyBorder="1" applyAlignment="1">
      <alignment horizontal="right"/>
    </xf>
    <xf numFmtId="164" fontId="20" fillId="0" borderId="0" xfId="0" applyNumberFormat="1" applyFont="1" applyFill="1"/>
    <xf numFmtId="164" fontId="0" fillId="0" borderId="0" xfId="0" applyNumberFormat="1" applyAlignment="1">
      <alignment horizontal="right"/>
    </xf>
    <xf numFmtId="0" fontId="16" fillId="0" borderId="5" xfId="0" applyFont="1" applyFill="1" applyBorder="1" applyAlignment="1">
      <alignment horizontal="center"/>
    </xf>
    <xf numFmtId="2" fontId="0" fillId="0" borderId="0" xfId="0" applyNumberFormat="1" applyBorder="1" applyAlignment="1">
      <alignment horizontal="center"/>
    </xf>
    <xf numFmtId="0" fontId="16" fillId="0" borderId="0" xfId="0" applyFont="1" applyFill="1" applyBorder="1"/>
    <xf numFmtId="0" fontId="21" fillId="0" borderId="0" xfId="0" applyFont="1" applyFill="1" applyBorder="1"/>
    <xf numFmtId="165" fontId="16" fillId="0" borderId="0" xfId="0" applyNumberFormat="1" applyFont="1" applyFill="1" applyBorder="1" applyAlignment="1">
      <alignment horizontal="center"/>
    </xf>
    <xf numFmtId="0" fontId="16" fillId="0" borderId="1" xfId="0" applyFont="1" applyFill="1" applyBorder="1" applyAlignment="1">
      <alignment horizontal="center"/>
    </xf>
    <xf numFmtId="0" fontId="0" fillId="0" borderId="0" xfId="0" applyFill="1" applyBorder="1" applyAlignment="1">
      <alignment horizontal="center" wrapText="1"/>
    </xf>
    <xf numFmtId="0" fontId="17" fillId="0" borderId="0" xfId="0" applyFont="1" applyBorder="1" applyAlignment="1">
      <alignment wrapText="1"/>
    </xf>
    <xf numFmtId="0" fontId="16" fillId="0" borderId="0" xfId="0" applyFont="1" applyFill="1" applyBorder="1" applyAlignment="1"/>
    <xf numFmtId="0" fontId="21" fillId="0" borderId="0" xfId="0" applyFont="1" applyFill="1" applyBorder="1" applyAlignment="1">
      <alignment horizontal="center"/>
    </xf>
    <xf numFmtId="165" fontId="21" fillId="0" borderId="0" xfId="0" applyNumberFormat="1" applyFont="1" applyFill="1" applyBorder="1" applyAlignment="1">
      <alignment horizontal="center"/>
    </xf>
    <xf numFmtId="164" fontId="0" fillId="0" borderId="11" xfId="0" applyNumberFormat="1" applyFill="1" applyBorder="1" applyAlignment="1">
      <alignment horizontal="center" wrapText="1"/>
    </xf>
    <xf numFmtId="164" fontId="0" fillId="0" borderId="1" xfId="0" applyNumberFormat="1" applyFill="1" applyBorder="1" applyAlignment="1">
      <alignment horizontal="center" wrapText="1"/>
    </xf>
    <xf numFmtId="0" fontId="21" fillId="0" borderId="0" xfId="0" applyFont="1" applyFill="1" applyBorder="1" applyAlignment="1">
      <alignment horizontal="left"/>
    </xf>
    <xf numFmtId="164" fontId="0" fillId="0" borderId="4" xfId="0" applyNumberFormat="1" applyFill="1" applyBorder="1" applyAlignment="1">
      <alignment horizontal="center" wrapText="1"/>
    </xf>
    <xf numFmtId="164" fontId="0" fillId="0" borderId="5" xfId="0" applyNumberFormat="1" applyFill="1" applyBorder="1" applyAlignment="1">
      <alignment horizontal="center" wrapText="1"/>
    </xf>
    <xf numFmtId="164" fontId="0" fillId="0" borderId="8" xfId="0" applyNumberFormat="1" applyFill="1" applyBorder="1" applyAlignment="1">
      <alignment horizontal="center" wrapText="1"/>
    </xf>
    <xf numFmtId="164" fontId="0" fillId="0" borderId="0" xfId="0" applyNumberFormat="1" applyFill="1" applyBorder="1" applyAlignment="1">
      <alignment horizontal="center" wrapText="1"/>
    </xf>
    <xf numFmtId="164" fontId="16" fillId="0" borderId="0" xfId="0" applyNumberFormat="1" applyFont="1" applyFill="1" applyBorder="1" applyAlignment="1">
      <alignment horizontal="center" wrapText="1"/>
    </xf>
    <xf numFmtId="164" fontId="21" fillId="0" borderId="0" xfId="0" applyNumberFormat="1" applyFont="1" applyFill="1" applyBorder="1" applyAlignment="1">
      <alignment horizontal="center" wrapText="1"/>
    </xf>
    <xf numFmtId="0" fontId="16" fillId="0" borderId="0" xfId="0" applyFont="1" applyFill="1" applyBorder="1" applyAlignment="1">
      <alignment horizontal="center" wrapText="1"/>
    </xf>
    <xf numFmtId="164" fontId="21" fillId="0" borderId="0" xfId="0" applyNumberFormat="1" applyFont="1" applyFill="1" applyBorder="1" applyAlignment="1">
      <alignment horizontal="center"/>
    </xf>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center" wrapText="1"/>
    </xf>
    <xf numFmtId="0" fontId="3" fillId="0" borderId="1" xfId="0" applyFont="1" applyBorder="1" applyAlignment="1">
      <alignment wrapText="1"/>
    </xf>
    <xf numFmtId="0" fontId="3" fillId="0" borderId="0" xfId="0" applyFont="1" applyFill="1" applyBorder="1" applyAlignment="1">
      <alignment horizontal="center" wrapText="1"/>
    </xf>
    <xf numFmtId="171" fontId="0" fillId="0" borderId="0" xfId="0" applyNumberFormat="1"/>
    <xf numFmtId="0" fontId="0" fillId="4" borderId="0" xfId="0" applyFill="1" applyAlignment="1">
      <alignment horizontal="right"/>
    </xf>
    <xf numFmtId="2" fontId="0" fillId="4" borderId="0" xfId="0" applyNumberFormat="1" applyFill="1"/>
    <xf numFmtId="0" fontId="0" fillId="0" borderId="4" xfId="0" applyBorder="1"/>
    <xf numFmtId="0" fontId="0" fillId="0" borderId="5" xfId="0" applyBorder="1" applyAlignment="1">
      <alignment horizontal="center" wrapText="1"/>
    </xf>
    <xf numFmtId="0" fontId="0" fillId="0" borderId="6" xfId="0" applyBorder="1" applyAlignment="1">
      <alignment horizontal="center" wrapText="1"/>
    </xf>
    <xf numFmtId="0" fontId="0" fillId="5" borderId="8" xfId="0" applyFill="1" applyBorder="1" applyAlignment="1">
      <alignment horizontal="left" wrapText="1"/>
    </xf>
    <xf numFmtId="0" fontId="0" fillId="5" borderId="0" xfId="0" applyFill="1" applyBorder="1" applyAlignment="1">
      <alignment horizontal="left" wrapText="1"/>
    </xf>
    <xf numFmtId="0" fontId="0" fillId="5" borderId="0" xfId="0" applyFill="1"/>
    <xf numFmtId="0" fontId="0" fillId="0" borderId="8" xfId="0" applyBorder="1"/>
    <xf numFmtId="0" fontId="0" fillId="0" borderId="9" xfId="0" applyBorder="1"/>
    <xf numFmtId="0" fontId="0" fillId="5" borderId="0" xfId="0" applyFill="1" applyBorder="1"/>
    <xf numFmtId="2" fontId="0" fillId="5" borderId="0" xfId="0" applyNumberFormat="1" applyFill="1" applyBorder="1"/>
    <xf numFmtId="0" fontId="0" fillId="6" borderId="8" xfId="0" applyFill="1" applyBorder="1" applyAlignment="1">
      <alignment horizontal="left" wrapText="1"/>
    </xf>
    <xf numFmtId="0" fontId="0" fillId="6" borderId="0" xfId="0" applyFill="1" applyBorder="1" applyAlignment="1">
      <alignment horizontal="left" wrapText="1"/>
    </xf>
    <xf numFmtId="0" fontId="0" fillId="6" borderId="0" xfId="0" applyFill="1"/>
    <xf numFmtId="0" fontId="0" fillId="0" borderId="11" xfId="0" applyBorder="1"/>
    <xf numFmtId="0" fontId="0" fillId="0" borderId="12" xfId="0" applyBorder="1"/>
    <xf numFmtId="0" fontId="0" fillId="6" borderId="0" xfId="0" applyFill="1" applyBorder="1"/>
    <xf numFmtId="0" fontId="0" fillId="0" borderId="0" xfId="0" applyFill="1" applyBorder="1" applyAlignment="1">
      <alignment horizontal="center" wrapText="1"/>
    </xf>
    <xf numFmtId="0" fontId="0" fillId="0" borderId="0" xfId="0" applyBorder="1" applyAlignment="1">
      <alignment horizontal="center" wrapText="1"/>
    </xf>
    <xf numFmtId="0" fontId="0" fillId="0" borderId="1" xfId="0" applyFill="1" applyBorder="1" applyAlignment="1">
      <alignment horizontal="center" wrapText="1"/>
    </xf>
    <xf numFmtId="0" fontId="0" fillId="7" borderId="0" xfId="0" applyFill="1"/>
    <xf numFmtId="0" fontId="0" fillId="7" borderId="0" xfId="0" applyFill="1" applyBorder="1"/>
    <xf numFmtId="0" fontId="0" fillId="7" borderId="1" xfId="0" applyFill="1" applyBorder="1"/>
    <xf numFmtId="0" fontId="0" fillId="0" borderId="17" xfId="0" applyBorder="1"/>
    <xf numFmtId="164" fontId="0" fillId="0" borderId="17" xfId="0" applyNumberFormat="1" applyBorder="1"/>
    <xf numFmtId="0" fontId="24" fillId="0" borderId="0" xfId="0" applyFont="1"/>
    <xf numFmtId="172" fontId="25" fillId="0" borderId="0" xfId="0" applyNumberFormat="1" applyFont="1"/>
    <xf numFmtId="172" fontId="7" fillId="0" borderId="0" xfId="0" applyNumberFormat="1" applyFont="1"/>
    <xf numFmtId="172" fontId="0" fillId="0" borderId="0" xfId="0" applyNumberFormat="1"/>
    <xf numFmtId="0" fontId="0" fillId="3" borderId="4" xfId="0" applyFill="1" applyBorder="1"/>
    <xf numFmtId="0" fontId="0" fillId="3" borderId="5" xfId="0" applyFill="1" applyBorder="1"/>
    <xf numFmtId="9" fontId="0" fillId="3" borderId="6" xfId="2" applyNumberFormat="1" applyFont="1" applyFill="1" applyBorder="1"/>
    <xf numFmtId="0" fontId="0" fillId="3" borderId="8" xfId="0" applyFill="1" applyBorder="1"/>
    <xf numFmtId="0" fontId="0" fillId="3" borderId="0" xfId="0" applyFill="1" applyBorder="1"/>
    <xf numFmtId="9" fontId="0" fillId="3" borderId="9" xfId="2" applyNumberFormat="1" applyFont="1" applyFill="1" applyBorder="1"/>
    <xf numFmtId="172" fontId="0" fillId="3" borderId="0" xfId="0" applyNumberFormat="1" applyFill="1"/>
    <xf numFmtId="167" fontId="0" fillId="3" borderId="0" xfId="0" applyNumberFormat="1" applyFill="1"/>
    <xf numFmtId="0" fontId="0" fillId="3" borderId="11" xfId="0" applyFill="1" applyBorder="1"/>
    <xf numFmtId="0" fontId="0" fillId="3" borderId="1" xfId="0" applyFill="1" applyBorder="1"/>
    <xf numFmtId="9" fontId="0" fillId="3" borderId="12" xfId="2" applyNumberFormat="1" applyFont="1" applyFill="1" applyBorder="1"/>
    <xf numFmtId="0" fontId="3" fillId="0" borderId="0" xfId="0" applyFont="1"/>
    <xf numFmtId="0" fontId="0" fillId="0" borderId="8" xfId="0" applyFill="1" applyBorder="1"/>
    <xf numFmtId="2" fontId="0" fillId="0" borderId="0" xfId="0" applyNumberFormat="1" applyFill="1" applyBorder="1"/>
    <xf numFmtId="9" fontId="0" fillId="0" borderId="9" xfId="2" applyNumberFormat="1" applyFont="1" applyFill="1" applyBorder="1"/>
    <xf numFmtId="2" fontId="0" fillId="0" borderId="5" xfId="0" applyNumberFormat="1" applyBorder="1"/>
    <xf numFmtId="9" fontId="0" fillId="0" borderId="6" xfId="2" applyNumberFormat="1" applyFont="1" applyBorder="1"/>
    <xf numFmtId="9" fontId="0" fillId="0" borderId="9" xfId="2" applyNumberFormat="1" applyFont="1" applyBorder="1"/>
    <xf numFmtId="2" fontId="0" fillId="0" borderId="1" xfId="0" applyNumberFormat="1" applyBorder="1"/>
    <xf numFmtId="9" fontId="0" fillId="0" borderId="12" xfId="2" applyNumberFormat="1" applyFont="1" applyBorder="1"/>
    <xf numFmtId="167" fontId="3" fillId="0" borderId="0" xfId="0" applyNumberFormat="1" applyFont="1"/>
    <xf numFmtId="2" fontId="3" fillId="0" borderId="0" xfId="0" applyNumberFormat="1" applyFont="1"/>
    <xf numFmtId="9" fontId="3" fillId="0" borderId="0" xfId="2" applyFont="1"/>
    <xf numFmtId="1" fontId="3" fillId="0" borderId="0" xfId="2" applyNumberFormat="1" applyFont="1"/>
    <xf numFmtId="170" fontId="3" fillId="0" borderId="0" xfId="0" applyNumberFormat="1" applyFont="1"/>
  </cellXfs>
  <cellStyles count="3">
    <cellStyle name="Normal" xfId="0" builtinId="0"/>
    <cellStyle name="Percent" xfId="1" builtinId="5"/>
    <cellStyle name="Percent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Gross water</a:t>
            </a:r>
            <a:r>
              <a:rPr lang="en-US" baseline="0"/>
              <a:t> transport rate</a:t>
            </a:r>
            <a:endParaRPr lang="en-US"/>
          </a:p>
        </c:rich>
      </c:tx>
      <c:layout/>
      <c:overlay val="0"/>
    </c:title>
    <c:autoTitleDeleted val="0"/>
    <c:plotArea>
      <c:layout/>
      <c:scatterChart>
        <c:scatterStyle val="lineMarker"/>
        <c:varyColors val="0"/>
        <c:ser>
          <c:idx val="0"/>
          <c:order val="0"/>
          <c:tx>
            <c:strRef>
              <c:f>'[1]Respiration summary'!$H$9:$I$9</c:f>
              <c:strCache>
                <c:ptCount val="1"/>
                <c:pt idx="0">
                  <c:v>volume flow rate</c:v>
                </c:pt>
              </c:strCache>
            </c:strRef>
          </c:tx>
          <c:spPr>
            <a:ln w="28575">
              <a:noFill/>
            </a:ln>
          </c:spPr>
          <c:trendline>
            <c:trendlineType val="linear"/>
            <c:dispRSqr val="0"/>
            <c:dispEq val="0"/>
          </c:trendline>
          <c:xVal>
            <c:numRef>
              <c:f>'[1]Respiration summary'!$C$11:$C$27</c:f>
              <c:numCache>
                <c:formatCode>0</c:formatCode>
                <c:ptCount val="17"/>
                <c:pt idx="0">
                  <c:v>1000</c:v>
                </c:pt>
                <c:pt idx="1">
                  <c:v>500</c:v>
                </c:pt>
                <c:pt idx="2">
                  <c:v>1580</c:v>
                </c:pt>
                <c:pt idx="3">
                  <c:v>1420</c:v>
                </c:pt>
                <c:pt idx="4">
                  <c:v>570</c:v>
                </c:pt>
                <c:pt idx="5">
                  <c:v>3200</c:v>
                </c:pt>
                <c:pt idx="6">
                  <c:v>420</c:v>
                </c:pt>
                <c:pt idx="7">
                  <c:v>550</c:v>
                </c:pt>
                <c:pt idx="8">
                  <c:v>2700</c:v>
                </c:pt>
                <c:pt idx="9">
                  <c:v>500</c:v>
                </c:pt>
                <c:pt idx="10">
                  <c:v>600</c:v>
                </c:pt>
                <c:pt idx="11">
                  <c:v>270</c:v>
                </c:pt>
                <c:pt idx="12">
                  <c:v>180</c:v>
                </c:pt>
                <c:pt idx="13">
                  <c:v>3500</c:v>
                </c:pt>
                <c:pt idx="14">
                  <c:v>700</c:v>
                </c:pt>
                <c:pt idx="15">
                  <c:v>150</c:v>
                </c:pt>
                <c:pt idx="16">
                  <c:v>1000</c:v>
                </c:pt>
              </c:numCache>
            </c:numRef>
          </c:xVal>
          <c:yVal>
            <c:numRef>
              <c:f>'[1]Respiration summary'!$I$11:$I$27</c:f>
              <c:numCache>
                <c:formatCode>0.00</c:formatCode>
                <c:ptCount val="17"/>
                <c:pt idx="0">
                  <c:v>22.266969533325053</c:v>
                </c:pt>
                <c:pt idx="1">
                  <c:v>33.821941290759817</c:v>
                </c:pt>
                <c:pt idx="2">
                  <c:v>19.831089098910319</c:v>
                </c:pt>
                <c:pt idx="3">
                  <c:v>14.674472956279846</c:v>
                </c:pt>
                <c:pt idx="4">
                  <c:v>10.542010787264182</c:v>
                </c:pt>
                <c:pt idx="5">
                  <c:v>9.497603739560013</c:v>
                </c:pt>
                <c:pt idx="6">
                  <c:v>17.86261234212331</c:v>
                </c:pt>
                <c:pt idx="7">
                  <c:v>13.338014170083209</c:v>
                </c:pt>
                <c:pt idx="8">
                  <c:v>13.306412853880271</c:v>
                </c:pt>
                <c:pt idx="9">
                  <c:v>17.681089749805555</c:v>
                </c:pt>
                <c:pt idx="10">
                  <c:v>7.179722996243405</c:v>
                </c:pt>
                <c:pt idx="11">
                  <c:v>5.1869297542864725</c:v>
                </c:pt>
                <c:pt idx="12">
                  <c:v>5.1094476407400604</c:v>
                </c:pt>
                <c:pt idx="13">
                  <c:v>88.108402299241746</c:v>
                </c:pt>
                <c:pt idx="14">
                  <c:v>7.5920164264538208</c:v>
                </c:pt>
                <c:pt idx="15">
                  <c:v>3.7604395957415409</c:v>
                </c:pt>
                <c:pt idx="16">
                  <c:v>9.5700666116105442</c:v>
                </c:pt>
              </c:numCache>
            </c:numRef>
          </c:yVal>
          <c:smooth val="0"/>
          <c:extLst>
            <c:ext xmlns:c16="http://schemas.microsoft.com/office/drawing/2014/chart" uri="{C3380CC4-5D6E-409C-BE32-E72D297353CC}">
              <c16:uniqueId val="{00000000-3B38-403A-8CAE-2BB1A13A0E73}"/>
            </c:ext>
          </c:extLst>
        </c:ser>
        <c:dLbls>
          <c:showLegendKey val="0"/>
          <c:showVal val="0"/>
          <c:showCatName val="0"/>
          <c:showSerName val="0"/>
          <c:showPercent val="0"/>
          <c:showBubbleSize val="0"/>
        </c:dLbls>
        <c:axId val="116056640"/>
        <c:axId val="116057216"/>
      </c:scatterChart>
      <c:valAx>
        <c:axId val="116056640"/>
        <c:scaling>
          <c:orientation val="minMax"/>
        </c:scaling>
        <c:delete val="0"/>
        <c:axPos val="b"/>
        <c:title>
          <c:tx>
            <c:rich>
              <a:bodyPr/>
              <a:lstStyle/>
              <a:p>
                <a:pPr>
                  <a:defRPr/>
                </a:pPr>
                <a:r>
                  <a:rPr lang="en-US"/>
                  <a:t>Sponge Volume (mL)</a:t>
                </a:r>
              </a:p>
            </c:rich>
          </c:tx>
          <c:layout/>
          <c:overlay val="0"/>
        </c:title>
        <c:numFmt formatCode="0" sourceLinked="1"/>
        <c:majorTickMark val="out"/>
        <c:minorTickMark val="none"/>
        <c:tickLblPos val="nextTo"/>
        <c:crossAx val="116057216"/>
        <c:crosses val="autoZero"/>
        <c:crossBetween val="midCat"/>
      </c:valAx>
      <c:valAx>
        <c:axId val="116057216"/>
        <c:scaling>
          <c:orientation val="minMax"/>
        </c:scaling>
        <c:delete val="0"/>
        <c:axPos val="l"/>
        <c:majorGridlines/>
        <c:title>
          <c:tx>
            <c:rich>
              <a:bodyPr rot="-5400000" vert="horz"/>
              <a:lstStyle/>
              <a:p>
                <a:pPr>
                  <a:defRPr/>
                </a:pPr>
                <a:r>
                  <a:rPr lang="en-US"/>
                  <a:t>Volume flow rate (L/hr)</a:t>
                </a:r>
              </a:p>
            </c:rich>
          </c:tx>
          <c:layout/>
          <c:overlay val="0"/>
        </c:title>
        <c:numFmt formatCode="0" sourceLinked="0"/>
        <c:majorTickMark val="out"/>
        <c:minorTickMark val="none"/>
        <c:tickLblPos val="nextTo"/>
        <c:crossAx val="116056640"/>
        <c:crosses val="autoZero"/>
        <c:crossBetween val="midCat"/>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errBars>
            <c:errBarType val="both"/>
            <c:errValType val="cust"/>
            <c:noEndCap val="0"/>
            <c:plus>
              <c:numRef>
                <c:f>'[4]NH4 2014'!$F$46:$G$46</c:f>
                <c:numCache>
                  <c:formatCode>General</c:formatCode>
                  <c:ptCount val="2"/>
                  <c:pt idx="0">
                    <c:v>6.7414802626203967</c:v>
                  </c:pt>
                  <c:pt idx="1">
                    <c:v>2.6500842423689579</c:v>
                  </c:pt>
                </c:numCache>
              </c:numRef>
            </c:plus>
            <c:minus>
              <c:numRef>
                <c:f>'[4]NH4 2014'!$F$46:$G$46</c:f>
                <c:numCache>
                  <c:formatCode>General</c:formatCode>
                  <c:ptCount val="2"/>
                  <c:pt idx="0">
                    <c:v>6.7414802626203967</c:v>
                  </c:pt>
                  <c:pt idx="1">
                    <c:v>2.6500842423689579</c:v>
                  </c:pt>
                </c:numCache>
              </c:numRef>
            </c:minus>
          </c:errBars>
          <c:cat>
            <c:strRef>
              <c:f>'[4]NH4 2014'!$F$9:$G$9</c:f>
              <c:strCache>
                <c:ptCount val="2"/>
                <c:pt idx="0">
                  <c:v>IN</c:v>
                </c:pt>
                <c:pt idx="1">
                  <c:v>EX</c:v>
                </c:pt>
              </c:strCache>
            </c:strRef>
          </c:cat>
          <c:val>
            <c:numRef>
              <c:f>'[4]NH4 2014'!$F$43:$G$43</c:f>
              <c:numCache>
                <c:formatCode>General</c:formatCode>
                <c:ptCount val="2"/>
                <c:pt idx="0">
                  <c:v>44.952120177754118</c:v>
                </c:pt>
                <c:pt idx="1">
                  <c:v>20.798730054081769</c:v>
                </c:pt>
              </c:numCache>
            </c:numRef>
          </c:val>
          <c:extLst>
            <c:ext xmlns:c16="http://schemas.microsoft.com/office/drawing/2014/chart" uri="{C3380CC4-5D6E-409C-BE32-E72D297353CC}">
              <c16:uniqueId val="{00000000-576A-4E9C-AE87-6507CE511B23}"/>
            </c:ext>
          </c:extLst>
        </c:ser>
        <c:dLbls>
          <c:showLegendKey val="0"/>
          <c:showVal val="0"/>
          <c:showCatName val="0"/>
          <c:showSerName val="0"/>
          <c:showPercent val="0"/>
          <c:showBubbleSize val="0"/>
        </c:dLbls>
        <c:gapWidth val="150"/>
        <c:axId val="116971520"/>
        <c:axId val="140349376"/>
      </c:barChart>
      <c:catAx>
        <c:axId val="116971520"/>
        <c:scaling>
          <c:orientation val="minMax"/>
        </c:scaling>
        <c:delete val="0"/>
        <c:axPos val="b"/>
        <c:numFmt formatCode="General" sourceLinked="0"/>
        <c:majorTickMark val="out"/>
        <c:minorTickMark val="none"/>
        <c:tickLblPos val="nextTo"/>
        <c:crossAx val="140349376"/>
        <c:crosses val="autoZero"/>
        <c:auto val="1"/>
        <c:lblAlgn val="ctr"/>
        <c:lblOffset val="100"/>
        <c:noMultiLvlLbl val="0"/>
      </c:catAx>
      <c:valAx>
        <c:axId val="140349376"/>
        <c:scaling>
          <c:orientation val="minMax"/>
        </c:scaling>
        <c:delete val="0"/>
        <c:axPos val="l"/>
        <c:majorGridlines/>
        <c:title>
          <c:tx>
            <c:rich>
              <a:bodyPr rot="-5400000" vert="horz"/>
              <a:lstStyle/>
              <a:p>
                <a:pPr>
                  <a:defRPr/>
                </a:pPr>
                <a:r>
                  <a:rPr lang="en-US"/>
                  <a:t>Ammonium (nM)</a:t>
                </a:r>
              </a:p>
            </c:rich>
          </c:tx>
          <c:layout/>
          <c:overlay val="0"/>
        </c:title>
        <c:numFmt formatCode="General" sourceLinked="1"/>
        <c:majorTickMark val="out"/>
        <c:minorTickMark val="none"/>
        <c:tickLblPos val="nextTo"/>
        <c:crossAx val="116971520"/>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In</c:v>
          </c:tx>
          <c:spPr>
            <a:ln w="28575">
              <a:noFill/>
            </a:ln>
          </c:spPr>
          <c:xVal>
            <c:strRef>
              <c:f>'[4]NH4 2014'!$E$10:$E$40</c:f>
              <c:strCache>
                <c:ptCount val="31"/>
                <c:pt idx="0">
                  <c:v>G1</c:v>
                </c:pt>
                <c:pt idx="1">
                  <c:v>G2</c:v>
                </c:pt>
                <c:pt idx="2">
                  <c:v>G3</c:v>
                </c:pt>
                <c:pt idx="3">
                  <c:v>G4</c:v>
                </c:pt>
                <c:pt idx="4">
                  <c:v>G5</c:v>
                </c:pt>
                <c:pt idx="5">
                  <c:v>G6</c:v>
                </c:pt>
                <c:pt idx="6">
                  <c:v>G7</c:v>
                </c:pt>
                <c:pt idx="7">
                  <c:v>G8</c:v>
                </c:pt>
                <c:pt idx="8">
                  <c:v>G9</c:v>
                </c:pt>
                <c:pt idx="9">
                  <c:v>G10</c:v>
                </c:pt>
                <c:pt idx="10">
                  <c:v>G11</c:v>
                </c:pt>
                <c:pt idx="11">
                  <c:v>G12</c:v>
                </c:pt>
                <c:pt idx="12">
                  <c:v>G13</c:v>
                </c:pt>
                <c:pt idx="13">
                  <c:v>G14</c:v>
                </c:pt>
                <c:pt idx="14">
                  <c:v>G15</c:v>
                </c:pt>
                <c:pt idx="15">
                  <c:v>G16</c:v>
                </c:pt>
                <c:pt idx="16">
                  <c:v>G17</c:v>
                </c:pt>
                <c:pt idx="17">
                  <c:v>G18</c:v>
                </c:pt>
                <c:pt idx="18">
                  <c:v>G19</c:v>
                </c:pt>
                <c:pt idx="19">
                  <c:v>G20</c:v>
                </c:pt>
                <c:pt idx="20">
                  <c:v>G21</c:v>
                </c:pt>
                <c:pt idx="21">
                  <c:v>G22</c:v>
                </c:pt>
                <c:pt idx="22">
                  <c:v>G23</c:v>
                </c:pt>
                <c:pt idx="23">
                  <c:v>G24</c:v>
                </c:pt>
                <c:pt idx="24">
                  <c:v>G25</c:v>
                </c:pt>
                <c:pt idx="25">
                  <c:v>G26</c:v>
                </c:pt>
                <c:pt idx="26">
                  <c:v>G27</c:v>
                </c:pt>
                <c:pt idx="27">
                  <c:v>G28</c:v>
                </c:pt>
                <c:pt idx="28">
                  <c:v>G29</c:v>
                </c:pt>
                <c:pt idx="29">
                  <c:v>G30</c:v>
                </c:pt>
                <c:pt idx="30">
                  <c:v>G31</c:v>
                </c:pt>
              </c:strCache>
            </c:strRef>
          </c:xVal>
          <c:yVal>
            <c:numRef>
              <c:f>'[4]NH4 2014'!$F$10:$F$40</c:f>
              <c:numCache>
                <c:formatCode>General</c:formatCode>
                <c:ptCount val="31"/>
                <c:pt idx="0">
                  <c:v>153.28310512363413</c:v>
                </c:pt>
                <c:pt idx="1">
                  <c:v>153.28310512363413</c:v>
                </c:pt>
                <c:pt idx="2">
                  <c:v>153.28310512363413</c:v>
                </c:pt>
                <c:pt idx="3">
                  <c:v>153.28310512363413</c:v>
                </c:pt>
                <c:pt idx="4">
                  <c:v>153.28310512363413</c:v>
                </c:pt>
                <c:pt idx="5">
                  <c:v>81.753578654170767</c:v>
                </c:pt>
                <c:pt idx="6">
                  <c:v>81.753578654170767</c:v>
                </c:pt>
                <c:pt idx="7">
                  <c:v>81.753578654170767</c:v>
                </c:pt>
                <c:pt idx="8">
                  <c:v>81.753578654170767</c:v>
                </c:pt>
                <c:pt idx="9">
                  <c:v>81.753578654170767</c:v>
                </c:pt>
                <c:pt idx="10">
                  <c:v>32.498288292216522</c:v>
                </c:pt>
                <c:pt idx="11">
                  <c:v>32.498288292216522</c:v>
                </c:pt>
                <c:pt idx="12">
                  <c:v>32.498288292216522</c:v>
                </c:pt>
                <c:pt idx="13">
                  <c:v>32.498288292216522</c:v>
                </c:pt>
                <c:pt idx="14">
                  <c:v>32.498288292216522</c:v>
                </c:pt>
                <c:pt idx="15">
                  <c:v>42.148076804064054</c:v>
                </c:pt>
                <c:pt idx="16">
                  <c:v>42.148076804064054</c:v>
                </c:pt>
                <c:pt idx="17">
                  <c:v>42.148076804064054</c:v>
                </c:pt>
                <c:pt idx="18">
                  <c:v>42.148076804064054</c:v>
                </c:pt>
                <c:pt idx="19">
                  <c:v>42.148076804064054</c:v>
                </c:pt>
                <c:pt idx="20">
                  <c:v>42.148076804064054</c:v>
                </c:pt>
                <c:pt idx="21">
                  <c:v>28.657953354691209</c:v>
                </c:pt>
                <c:pt idx="22">
                  <c:v>28.657953354691209</c:v>
                </c:pt>
                <c:pt idx="23">
                  <c:v>28.657953354691209</c:v>
                </c:pt>
                <c:pt idx="24">
                  <c:v>28.657953354691209</c:v>
                </c:pt>
                <c:pt idx="25">
                  <c:v>28.657953354691209</c:v>
                </c:pt>
                <c:pt idx="26">
                  <c:v>28.930912175033505</c:v>
                </c:pt>
                <c:pt idx="27">
                  <c:v>28.930912175033505</c:v>
                </c:pt>
                <c:pt idx="28">
                  <c:v>28.930912175033505</c:v>
                </c:pt>
                <c:pt idx="29">
                  <c:v>28.930912175033505</c:v>
                </c:pt>
                <c:pt idx="30">
                  <c:v>28.930912175033505</c:v>
                </c:pt>
              </c:numCache>
            </c:numRef>
          </c:yVal>
          <c:smooth val="0"/>
          <c:extLst>
            <c:ext xmlns:c16="http://schemas.microsoft.com/office/drawing/2014/chart" uri="{C3380CC4-5D6E-409C-BE32-E72D297353CC}">
              <c16:uniqueId val="{00000000-4A87-47C5-A3FD-1D277C85FEC6}"/>
            </c:ext>
          </c:extLst>
        </c:ser>
        <c:ser>
          <c:idx val="1"/>
          <c:order val="1"/>
          <c:tx>
            <c:v>Ex</c:v>
          </c:tx>
          <c:spPr>
            <a:ln w="28575">
              <a:noFill/>
            </a:ln>
          </c:spPr>
          <c:xVal>
            <c:strRef>
              <c:f>'[4]NH4 2014'!$E$10:$E$40</c:f>
              <c:strCache>
                <c:ptCount val="31"/>
                <c:pt idx="0">
                  <c:v>G1</c:v>
                </c:pt>
                <c:pt idx="1">
                  <c:v>G2</c:v>
                </c:pt>
                <c:pt idx="2">
                  <c:v>G3</c:v>
                </c:pt>
                <c:pt idx="3">
                  <c:v>G4</c:v>
                </c:pt>
                <c:pt idx="4">
                  <c:v>G5</c:v>
                </c:pt>
                <c:pt idx="5">
                  <c:v>G6</c:v>
                </c:pt>
                <c:pt idx="6">
                  <c:v>G7</c:v>
                </c:pt>
                <c:pt idx="7">
                  <c:v>G8</c:v>
                </c:pt>
                <c:pt idx="8">
                  <c:v>G9</c:v>
                </c:pt>
                <c:pt idx="9">
                  <c:v>G10</c:v>
                </c:pt>
                <c:pt idx="10">
                  <c:v>G11</c:v>
                </c:pt>
                <c:pt idx="11">
                  <c:v>G12</c:v>
                </c:pt>
                <c:pt idx="12">
                  <c:v>G13</c:v>
                </c:pt>
                <c:pt idx="13">
                  <c:v>G14</c:v>
                </c:pt>
                <c:pt idx="14">
                  <c:v>G15</c:v>
                </c:pt>
                <c:pt idx="15">
                  <c:v>G16</c:v>
                </c:pt>
                <c:pt idx="16">
                  <c:v>G17</c:v>
                </c:pt>
                <c:pt idx="17">
                  <c:v>G18</c:v>
                </c:pt>
                <c:pt idx="18">
                  <c:v>G19</c:v>
                </c:pt>
                <c:pt idx="19">
                  <c:v>G20</c:v>
                </c:pt>
                <c:pt idx="20">
                  <c:v>G21</c:v>
                </c:pt>
                <c:pt idx="21">
                  <c:v>G22</c:v>
                </c:pt>
                <c:pt idx="22">
                  <c:v>G23</c:v>
                </c:pt>
                <c:pt idx="23">
                  <c:v>G24</c:v>
                </c:pt>
                <c:pt idx="24">
                  <c:v>G25</c:v>
                </c:pt>
                <c:pt idx="25">
                  <c:v>G26</c:v>
                </c:pt>
                <c:pt idx="26">
                  <c:v>G27</c:v>
                </c:pt>
                <c:pt idx="27">
                  <c:v>G28</c:v>
                </c:pt>
                <c:pt idx="28">
                  <c:v>G29</c:v>
                </c:pt>
                <c:pt idx="29">
                  <c:v>G30</c:v>
                </c:pt>
                <c:pt idx="30">
                  <c:v>G31</c:v>
                </c:pt>
              </c:strCache>
            </c:strRef>
          </c:xVal>
          <c:yVal>
            <c:numRef>
              <c:f>'[4]NH4 2014'!$G$10:$G$40</c:f>
              <c:numCache>
                <c:formatCode>General</c:formatCode>
                <c:ptCount val="31"/>
                <c:pt idx="0">
                  <c:v>109.12898518341984</c:v>
                </c:pt>
                <c:pt idx="1">
                  <c:v>235.42167014085808</c:v>
                </c:pt>
                <c:pt idx="2">
                  <c:v>105.40327468276244</c:v>
                </c:pt>
                <c:pt idx="3">
                  <c:v>124.25308098369946</c:v>
                </c:pt>
                <c:pt idx="4">
                  <c:v>128.1161214277258</c:v>
                </c:pt>
                <c:pt idx="5">
                  <c:v>35.418563490645276</c:v>
                </c:pt>
                <c:pt idx="6">
                  <c:v>51.118778987994467</c:v>
                </c:pt>
                <c:pt idx="7">
                  <c:v>53.679157071655567</c:v>
                </c:pt>
                <c:pt idx="8">
                  <c:v>21.843404523583043</c:v>
                </c:pt>
                <c:pt idx="9">
                  <c:v>34.871547591339599</c:v>
                </c:pt>
                <c:pt idx="10">
                  <c:v>17.801520708039465</c:v>
                </c:pt>
                <c:pt idx="11">
                  <c:v>16.400280069419345</c:v>
                </c:pt>
                <c:pt idx="12">
                  <c:v>17.825909390040763</c:v>
                </c:pt>
                <c:pt idx="13">
                  <c:v>24.625917362584921</c:v>
                </c:pt>
                <c:pt idx="14">
                  <c:v>22.907623857947907</c:v>
                </c:pt>
                <c:pt idx="15">
                  <c:v>18.355808935341727</c:v>
                </c:pt>
                <c:pt idx="16">
                  <c:v>18.338071712068057</c:v>
                </c:pt>
                <c:pt idx="17">
                  <c:v>18.695033330450713</c:v>
                </c:pt>
                <c:pt idx="18">
                  <c:v>20.628390667281007</c:v>
                </c:pt>
                <c:pt idx="19">
                  <c:v>21.723664204430275</c:v>
                </c:pt>
                <c:pt idx="20">
                  <c:v>43.547100289774967</c:v>
                </c:pt>
                <c:pt idx="21">
                  <c:v>21.640665377362602</c:v>
                </c:pt>
                <c:pt idx="22">
                  <c:v>11.89174711067327</c:v>
                </c:pt>
                <c:pt idx="23">
                  <c:v>11.40573065749521</c:v>
                </c:pt>
                <c:pt idx="24">
                  <c:v>10.601148798032371</c:v>
                </c:pt>
                <c:pt idx="25">
                  <c:v>7.3501479851774469</c:v>
                </c:pt>
                <c:pt idx="26">
                  <c:v>14.848687548496093</c:v>
                </c:pt>
                <c:pt idx="27">
                  <c:v>15.189035204783249</c:v>
                </c:pt>
                <c:pt idx="28">
                  <c:v>10.511297016772563</c:v>
                </c:pt>
                <c:pt idx="29">
                  <c:v>7.5257673758216175</c:v>
                </c:pt>
                <c:pt idx="30">
                  <c:v>12.309694032593899</c:v>
                </c:pt>
              </c:numCache>
            </c:numRef>
          </c:yVal>
          <c:smooth val="0"/>
          <c:extLst>
            <c:ext xmlns:c16="http://schemas.microsoft.com/office/drawing/2014/chart" uri="{C3380CC4-5D6E-409C-BE32-E72D297353CC}">
              <c16:uniqueId val="{00000001-4A87-47C5-A3FD-1D277C85FEC6}"/>
            </c:ext>
          </c:extLst>
        </c:ser>
        <c:dLbls>
          <c:showLegendKey val="0"/>
          <c:showVal val="0"/>
          <c:showCatName val="0"/>
          <c:showSerName val="0"/>
          <c:showPercent val="0"/>
          <c:showBubbleSize val="0"/>
        </c:dLbls>
        <c:axId val="140351104"/>
        <c:axId val="140351680"/>
      </c:scatterChart>
      <c:valAx>
        <c:axId val="140351104"/>
        <c:scaling>
          <c:orientation val="minMax"/>
          <c:max val="32"/>
          <c:min val="0"/>
        </c:scaling>
        <c:delete val="0"/>
        <c:axPos val="b"/>
        <c:title>
          <c:tx>
            <c:rich>
              <a:bodyPr/>
              <a:lstStyle/>
              <a:p>
                <a:pPr>
                  <a:defRPr/>
                </a:pPr>
                <a:r>
                  <a:rPr lang="en-US"/>
                  <a:t>Sponge sample (G1-G31)</a:t>
                </a:r>
              </a:p>
            </c:rich>
          </c:tx>
          <c:layout/>
          <c:overlay val="0"/>
        </c:title>
        <c:majorTickMark val="out"/>
        <c:minorTickMark val="none"/>
        <c:tickLblPos val="nextTo"/>
        <c:crossAx val="140351680"/>
        <c:crosses val="autoZero"/>
        <c:crossBetween val="midCat"/>
      </c:valAx>
      <c:valAx>
        <c:axId val="140351680"/>
        <c:scaling>
          <c:orientation val="minMax"/>
        </c:scaling>
        <c:delete val="0"/>
        <c:axPos val="l"/>
        <c:majorGridlines/>
        <c:title>
          <c:tx>
            <c:rich>
              <a:bodyPr rot="-5400000" vert="horz"/>
              <a:lstStyle/>
              <a:p>
                <a:pPr>
                  <a:defRPr/>
                </a:pPr>
                <a:r>
                  <a:rPr lang="en-US"/>
                  <a:t>NH4</a:t>
                </a:r>
                <a:r>
                  <a:rPr lang="en-US" baseline="0"/>
                  <a:t> concentration (nM)</a:t>
                </a:r>
                <a:endParaRPr lang="en-US"/>
              </a:p>
            </c:rich>
          </c:tx>
          <c:layout/>
          <c:overlay val="0"/>
        </c:title>
        <c:numFmt formatCode="General" sourceLinked="1"/>
        <c:majorTickMark val="out"/>
        <c:minorTickMark val="none"/>
        <c:tickLblPos val="nextTo"/>
        <c:crossAx val="140351104"/>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1"/>
          <c:order val="0"/>
          <c:tx>
            <c:strRef>
              <c:f>'[1]Respiration summary'!$L$9</c:f>
              <c:strCache>
                <c:ptCount val="1"/>
                <c:pt idx="0">
                  <c:v>Respiration rate</c:v>
                </c:pt>
              </c:strCache>
            </c:strRef>
          </c:tx>
          <c:spPr>
            <a:ln w="28575">
              <a:noFill/>
            </a:ln>
          </c:spPr>
          <c:trendline>
            <c:trendlineType val="linear"/>
            <c:dispRSqr val="0"/>
            <c:dispEq val="0"/>
          </c:trendline>
          <c:xVal>
            <c:numRef>
              <c:f>'[1]Respiration summary'!$C$11:$C$27</c:f>
              <c:numCache>
                <c:formatCode>0</c:formatCode>
                <c:ptCount val="17"/>
                <c:pt idx="0">
                  <c:v>1000</c:v>
                </c:pt>
                <c:pt idx="1">
                  <c:v>500</c:v>
                </c:pt>
                <c:pt idx="2">
                  <c:v>1580</c:v>
                </c:pt>
                <c:pt idx="3">
                  <c:v>1420</c:v>
                </c:pt>
                <c:pt idx="4">
                  <c:v>570</c:v>
                </c:pt>
                <c:pt idx="5">
                  <c:v>3200</c:v>
                </c:pt>
                <c:pt idx="6">
                  <c:v>420</c:v>
                </c:pt>
                <c:pt idx="7">
                  <c:v>550</c:v>
                </c:pt>
                <c:pt idx="8">
                  <c:v>2700</c:v>
                </c:pt>
                <c:pt idx="9">
                  <c:v>500</c:v>
                </c:pt>
                <c:pt idx="10">
                  <c:v>600</c:v>
                </c:pt>
                <c:pt idx="11">
                  <c:v>270</c:v>
                </c:pt>
                <c:pt idx="12">
                  <c:v>180</c:v>
                </c:pt>
                <c:pt idx="13">
                  <c:v>3500</c:v>
                </c:pt>
                <c:pt idx="14">
                  <c:v>700</c:v>
                </c:pt>
                <c:pt idx="15">
                  <c:v>150</c:v>
                </c:pt>
                <c:pt idx="16">
                  <c:v>1000</c:v>
                </c:pt>
              </c:numCache>
            </c:numRef>
          </c:xVal>
          <c:yVal>
            <c:numRef>
              <c:f>'[1]Respiration summary'!$L$11:$L$27</c:f>
              <c:numCache>
                <c:formatCode>0.00</c:formatCode>
                <c:ptCount val="17"/>
                <c:pt idx="0">
                  <c:v>364.16132435776836</c:v>
                </c:pt>
                <c:pt idx="1">
                  <c:v>518.22817815226131</c:v>
                </c:pt>
                <c:pt idx="2">
                  <c:v>186.71558571507836</c:v>
                </c:pt>
                <c:pt idx="3">
                  <c:v>349.17822362895043</c:v>
                </c:pt>
                <c:pt idx="4">
                  <c:v>132.19251610851816</c:v>
                </c:pt>
                <c:pt idx="5">
                  <c:v>115.74420570353909</c:v>
                </c:pt>
                <c:pt idx="6">
                  <c:v>203.63639063173522</c:v>
                </c:pt>
                <c:pt idx="7">
                  <c:v>263.18836687271857</c:v>
                </c:pt>
                <c:pt idx="8">
                  <c:v>361.38839476442496</c:v>
                </c:pt>
                <c:pt idx="9">
                  <c:v>305.30068051345097</c:v>
                </c:pt>
                <c:pt idx="10">
                  <c:v>85.580404373534634</c:v>
                </c:pt>
                <c:pt idx="11">
                  <c:v>56.655504521665826</c:v>
                </c:pt>
                <c:pt idx="12">
                  <c:v>74.479210385645743</c:v>
                </c:pt>
                <c:pt idx="13">
                  <c:v>1378.5694684317446</c:v>
                </c:pt>
                <c:pt idx="14">
                  <c:v>111.90264569197467</c:v>
                </c:pt>
                <c:pt idx="15">
                  <c:v>37.835450490112216</c:v>
                </c:pt>
                <c:pt idx="16">
                  <c:v>131.4123992653914</c:v>
                </c:pt>
              </c:numCache>
            </c:numRef>
          </c:yVal>
          <c:smooth val="0"/>
          <c:extLst>
            <c:ext xmlns:c16="http://schemas.microsoft.com/office/drawing/2014/chart" uri="{C3380CC4-5D6E-409C-BE32-E72D297353CC}">
              <c16:uniqueId val="{00000000-3009-4441-8054-DCE5FC9B223E}"/>
            </c:ext>
          </c:extLst>
        </c:ser>
        <c:dLbls>
          <c:showLegendKey val="0"/>
          <c:showVal val="0"/>
          <c:showCatName val="0"/>
          <c:showSerName val="0"/>
          <c:showPercent val="0"/>
          <c:showBubbleSize val="0"/>
        </c:dLbls>
        <c:axId val="116057792"/>
        <c:axId val="116058368"/>
      </c:scatterChart>
      <c:valAx>
        <c:axId val="116057792"/>
        <c:scaling>
          <c:orientation val="minMax"/>
        </c:scaling>
        <c:delete val="0"/>
        <c:axPos val="b"/>
        <c:title>
          <c:tx>
            <c:rich>
              <a:bodyPr/>
              <a:lstStyle/>
              <a:p>
                <a:pPr>
                  <a:defRPr/>
                </a:pPr>
                <a:r>
                  <a:rPr lang="en-US"/>
                  <a:t>Sponge Volume (mL)</a:t>
                </a:r>
              </a:p>
            </c:rich>
          </c:tx>
          <c:layout/>
          <c:overlay val="0"/>
        </c:title>
        <c:numFmt formatCode="0" sourceLinked="1"/>
        <c:majorTickMark val="out"/>
        <c:minorTickMark val="none"/>
        <c:tickLblPos val="nextTo"/>
        <c:crossAx val="116058368"/>
        <c:crosses val="autoZero"/>
        <c:crossBetween val="midCat"/>
      </c:valAx>
      <c:valAx>
        <c:axId val="116058368"/>
        <c:scaling>
          <c:orientation val="minMax"/>
          <c:max val="1500"/>
          <c:min val="0"/>
        </c:scaling>
        <c:delete val="0"/>
        <c:axPos val="l"/>
        <c:majorGridlines/>
        <c:title>
          <c:tx>
            <c:rich>
              <a:bodyPr rot="-5400000" vert="horz"/>
              <a:lstStyle/>
              <a:p>
                <a:pPr>
                  <a:defRPr/>
                </a:pPr>
                <a:r>
                  <a:rPr lang="en-US"/>
                  <a:t>Gross respiration rate (uM O</a:t>
                </a:r>
                <a:r>
                  <a:rPr lang="en-US" baseline="-25000"/>
                  <a:t>2</a:t>
                </a:r>
                <a:r>
                  <a:rPr lang="en-US"/>
                  <a:t> hr </a:t>
                </a:r>
                <a:r>
                  <a:rPr lang="en-US" baseline="30000"/>
                  <a:t>-1</a:t>
                </a:r>
                <a:r>
                  <a:rPr lang="en-US" baseline="0"/>
                  <a:t>)</a:t>
                </a:r>
              </a:p>
            </c:rich>
          </c:tx>
          <c:layout>
            <c:manualLayout>
              <c:xMode val="edge"/>
              <c:yMode val="edge"/>
              <c:x val="4.2276422764227641E-2"/>
              <c:y val="4.4139666967858517E-2"/>
            </c:manualLayout>
          </c:layout>
          <c:overlay val="0"/>
        </c:title>
        <c:numFmt formatCode="#,##0" sourceLinked="0"/>
        <c:majorTickMark val="out"/>
        <c:minorTickMark val="none"/>
        <c:tickLblPos val="nextTo"/>
        <c:crossAx val="116057792"/>
        <c:crosses val="autoZero"/>
        <c:crossBetween val="midCat"/>
        <c:majorUnit val="500"/>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Size</a:t>
            </a:r>
            <a:r>
              <a:rPr lang="en-US" baseline="0"/>
              <a:t> specific </a:t>
            </a:r>
            <a:r>
              <a:rPr lang="en-US"/>
              <a:t>Respiration rate </a:t>
            </a:r>
          </a:p>
        </c:rich>
      </c:tx>
      <c:layout>
        <c:manualLayout>
          <c:xMode val="edge"/>
          <c:yMode val="edge"/>
          <c:x val="0.15604408391016614"/>
          <c:y val="1.0396227209566733E-3"/>
        </c:manualLayout>
      </c:layout>
      <c:overlay val="0"/>
    </c:title>
    <c:autoTitleDeleted val="0"/>
    <c:plotArea>
      <c:layout/>
      <c:scatterChart>
        <c:scatterStyle val="lineMarker"/>
        <c:varyColors val="0"/>
        <c:ser>
          <c:idx val="0"/>
          <c:order val="0"/>
          <c:tx>
            <c:strRef>
              <c:f>'[1]Respiration summary'!$M$9</c:f>
              <c:strCache>
                <c:ptCount val="1"/>
                <c:pt idx="0">
                  <c:v>volume corrected Respiration rate</c:v>
                </c:pt>
              </c:strCache>
            </c:strRef>
          </c:tx>
          <c:spPr>
            <a:ln w="28575">
              <a:noFill/>
            </a:ln>
          </c:spPr>
          <c:trendline>
            <c:trendlineType val="linear"/>
            <c:dispRSqr val="0"/>
            <c:dispEq val="0"/>
          </c:trendline>
          <c:xVal>
            <c:numRef>
              <c:f>'[1]Respiration summary'!$C$11:$C$27</c:f>
              <c:numCache>
                <c:formatCode>0</c:formatCode>
                <c:ptCount val="17"/>
                <c:pt idx="0">
                  <c:v>1000</c:v>
                </c:pt>
                <c:pt idx="1">
                  <c:v>500</c:v>
                </c:pt>
                <c:pt idx="2">
                  <c:v>1580</c:v>
                </c:pt>
                <c:pt idx="3">
                  <c:v>1420</c:v>
                </c:pt>
                <c:pt idx="4">
                  <c:v>570</c:v>
                </c:pt>
                <c:pt idx="5">
                  <c:v>3200</c:v>
                </c:pt>
                <c:pt idx="6">
                  <c:v>420</c:v>
                </c:pt>
                <c:pt idx="7">
                  <c:v>550</c:v>
                </c:pt>
                <c:pt idx="8">
                  <c:v>2700</c:v>
                </c:pt>
                <c:pt idx="9">
                  <c:v>500</c:v>
                </c:pt>
                <c:pt idx="10">
                  <c:v>600</c:v>
                </c:pt>
                <c:pt idx="11">
                  <c:v>270</c:v>
                </c:pt>
                <c:pt idx="12">
                  <c:v>180</c:v>
                </c:pt>
                <c:pt idx="13">
                  <c:v>3500</c:v>
                </c:pt>
                <c:pt idx="14">
                  <c:v>700</c:v>
                </c:pt>
                <c:pt idx="15">
                  <c:v>150</c:v>
                </c:pt>
                <c:pt idx="16">
                  <c:v>1000</c:v>
                </c:pt>
              </c:numCache>
            </c:numRef>
          </c:xVal>
          <c:yVal>
            <c:numRef>
              <c:f>'[1]Respiration summary'!$M$11:$M$27</c:f>
              <c:numCache>
                <c:formatCode>0.000</c:formatCode>
                <c:ptCount val="17"/>
                <c:pt idx="0">
                  <c:v>0.36416132435776838</c:v>
                </c:pt>
                <c:pt idx="1">
                  <c:v>1.0364563563045226</c:v>
                </c:pt>
                <c:pt idx="2">
                  <c:v>0.11817442133865719</c:v>
                </c:pt>
                <c:pt idx="3">
                  <c:v>0.24590015748517635</c:v>
                </c:pt>
                <c:pt idx="4">
                  <c:v>0.23191669492722486</c:v>
                </c:pt>
                <c:pt idx="5">
                  <c:v>3.6170064282355967E-2</c:v>
                </c:pt>
                <c:pt idx="6">
                  <c:v>0.4848485491231791</c:v>
                </c:pt>
                <c:pt idx="7">
                  <c:v>0.47852430340494284</c:v>
                </c:pt>
                <c:pt idx="8">
                  <c:v>0.1338475536164537</c:v>
                </c:pt>
                <c:pt idx="9">
                  <c:v>0.61060136102690199</c:v>
                </c:pt>
                <c:pt idx="10">
                  <c:v>0.1426340072892244</c:v>
                </c:pt>
                <c:pt idx="11">
                  <c:v>0.20983520193209565</c:v>
                </c:pt>
                <c:pt idx="12">
                  <c:v>0.41377339103136523</c:v>
                </c:pt>
                <c:pt idx="13">
                  <c:v>0.39387699098049844</c:v>
                </c:pt>
                <c:pt idx="14">
                  <c:v>0.15986092241710667</c:v>
                </c:pt>
                <c:pt idx="15">
                  <c:v>0.25223633660074812</c:v>
                </c:pt>
                <c:pt idx="16">
                  <c:v>0.13141239926539139</c:v>
                </c:pt>
              </c:numCache>
            </c:numRef>
          </c:yVal>
          <c:smooth val="0"/>
          <c:extLst>
            <c:ext xmlns:c16="http://schemas.microsoft.com/office/drawing/2014/chart" uri="{C3380CC4-5D6E-409C-BE32-E72D297353CC}">
              <c16:uniqueId val="{00000000-7AA2-4419-9F83-E18EA4284239}"/>
            </c:ext>
          </c:extLst>
        </c:ser>
        <c:dLbls>
          <c:showLegendKey val="0"/>
          <c:showVal val="0"/>
          <c:showCatName val="0"/>
          <c:showSerName val="0"/>
          <c:showPercent val="0"/>
          <c:showBubbleSize val="0"/>
        </c:dLbls>
        <c:axId val="116060096"/>
        <c:axId val="116060672"/>
      </c:scatterChart>
      <c:valAx>
        <c:axId val="116060096"/>
        <c:scaling>
          <c:orientation val="minMax"/>
        </c:scaling>
        <c:delete val="0"/>
        <c:axPos val="b"/>
        <c:title>
          <c:tx>
            <c:rich>
              <a:bodyPr/>
              <a:lstStyle/>
              <a:p>
                <a:pPr>
                  <a:defRPr/>
                </a:pPr>
                <a:r>
                  <a:rPr lang="en-US"/>
                  <a:t>Sponge Volume (mL)</a:t>
                </a:r>
              </a:p>
            </c:rich>
          </c:tx>
          <c:overlay val="0"/>
        </c:title>
        <c:numFmt formatCode="0" sourceLinked="1"/>
        <c:majorTickMark val="out"/>
        <c:minorTickMark val="none"/>
        <c:tickLblPos val="nextTo"/>
        <c:crossAx val="116060672"/>
        <c:crosses val="autoZero"/>
        <c:crossBetween val="midCat"/>
      </c:valAx>
      <c:valAx>
        <c:axId val="116060672"/>
        <c:scaling>
          <c:orientation val="minMax"/>
        </c:scaling>
        <c:delete val="0"/>
        <c:axPos val="l"/>
        <c:majorGridlines/>
        <c:title>
          <c:tx>
            <c:rich>
              <a:bodyPr rot="-5400000" vert="horz"/>
              <a:lstStyle/>
              <a:p>
                <a:pPr>
                  <a:defRPr/>
                </a:pPr>
                <a:r>
                  <a:rPr lang="en-US"/>
                  <a:t>Respiration rate (uM O2/L/hr/ml tissue)</a:t>
                </a:r>
              </a:p>
            </c:rich>
          </c:tx>
          <c:layout>
            <c:manualLayout>
              <c:xMode val="edge"/>
              <c:yMode val="edge"/>
              <c:x val="3.0555555555555555E-2"/>
              <c:y val="0.10221092155147274"/>
            </c:manualLayout>
          </c:layout>
          <c:overlay val="0"/>
        </c:title>
        <c:numFmt formatCode="0.00" sourceLinked="0"/>
        <c:majorTickMark val="out"/>
        <c:minorTickMark val="none"/>
        <c:tickLblPos val="nextTo"/>
        <c:crossAx val="116060096"/>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Oscula area and sponge</a:t>
            </a:r>
            <a:r>
              <a:rPr lang="en-US" baseline="0"/>
              <a:t> volume</a:t>
            </a:r>
            <a:endParaRPr lang="en-US"/>
          </a:p>
        </c:rich>
      </c:tx>
      <c:layout>
        <c:manualLayout>
          <c:xMode val="edge"/>
          <c:yMode val="edge"/>
          <c:x val="0.11676856569399413"/>
          <c:y val="2.8418246138205056E-2"/>
        </c:manualLayout>
      </c:layout>
      <c:overlay val="0"/>
    </c:title>
    <c:autoTitleDeleted val="0"/>
    <c:plotArea>
      <c:layout/>
      <c:scatterChart>
        <c:scatterStyle val="lineMarker"/>
        <c:varyColors val="0"/>
        <c:ser>
          <c:idx val="0"/>
          <c:order val="0"/>
          <c:tx>
            <c:strRef>
              <c:f>'[1]Respiration summary'!$D$9:$D$10</c:f>
              <c:strCache>
                <c:ptCount val="2"/>
                <c:pt idx="0">
                  <c:v>osculum area</c:v>
                </c:pt>
                <c:pt idx="1">
                  <c:v>(cm^2)</c:v>
                </c:pt>
              </c:strCache>
            </c:strRef>
          </c:tx>
          <c:spPr>
            <a:ln w="28575">
              <a:noFill/>
            </a:ln>
          </c:spPr>
          <c:trendline>
            <c:trendlineType val="linear"/>
            <c:dispRSqr val="0"/>
            <c:dispEq val="0"/>
          </c:trendline>
          <c:xVal>
            <c:numRef>
              <c:f>'[1]Respiration summary'!$C$11:$C$27</c:f>
              <c:numCache>
                <c:formatCode>0</c:formatCode>
                <c:ptCount val="17"/>
                <c:pt idx="0">
                  <c:v>1000</c:v>
                </c:pt>
                <c:pt idx="1">
                  <c:v>500</c:v>
                </c:pt>
                <c:pt idx="2">
                  <c:v>1580</c:v>
                </c:pt>
                <c:pt idx="3">
                  <c:v>1420</c:v>
                </c:pt>
                <c:pt idx="4">
                  <c:v>570</c:v>
                </c:pt>
                <c:pt idx="5">
                  <c:v>3200</c:v>
                </c:pt>
                <c:pt idx="6">
                  <c:v>420</c:v>
                </c:pt>
                <c:pt idx="7">
                  <c:v>550</c:v>
                </c:pt>
                <c:pt idx="8">
                  <c:v>2700</c:v>
                </c:pt>
                <c:pt idx="9">
                  <c:v>500</c:v>
                </c:pt>
                <c:pt idx="10">
                  <c:v>600</c:v>
                </c:pt>
                <c:pt idx="11">
                  <c:v>270</c:v>
                </c:pt>
                <c:pt idx="12">
                  <c:v>180</c:v>
                </c:pt>
                <c:pt idx="13">
                  <c:v>3500</c:v>
                </c:pt>
                <c:pt idx="14">
                  <c:v>700</c:v>
                </c:pt>
                <c:pt idx="15">
                  <c:v>150</c:v>
                </c:pt>
                <c:pt idx="16">
                  <c:v>1000</c:v>
                </c:pt>
              </c:numCache>
            </c:numRef>
          </c:xVal>
          <c:yVal>
            <c:numRef>
              <c:f>'[1]Respiration summary'!$D$11:$D$27</c:f>
              <c:numCache>
                <c:formatCode>0.00</c:formatCode>
                <c:ptCount val="17"/>
                <c:pt idx="0">
                  <c:v>0.64800000000000002</c:v>
                </c:pt>
                <c:pt idx="1">
                  <c:v>0.98299999999999998</c:v>
                </c:pt>
                <c:pt idx="2">
                  <c:v>1.6830000000000001</c:v>
                </c:pt>
                <c:pt idx="3">
                  <c:v>1.476</c:v>
                </c:pt>
                <c:pt idx="4">
                  <c:v>0.96699999999999997</c:v>
                </c:pt>
                <c:pt idx="5">
                  <c:v>0.94099999999999995</c:v>
                </c:pt>
                <c:pt idx="6">
                  <c:v>0.53900000000000003</c:v>
                </c:pt>
                <c:pt idx="7">
                  <c:v>1.3</c:v>
                </c:pt>
                <c:pt idx="8">
                  <c:v>0.88900000000000001</c:v>
                </c:pt>
                <c:pt idx="9">
                  <c:v>1.0880000000000001</c:v>
                </c:pt>
                <c:pt idx="10">
                  <c:v>0.44400000000000001</c:v>
                </c:pt>
                <c:pt idx="11">
                  <c:v>0.32700000000000001</c:v>
                </c:pt>
                <c:pt idx="12">
                  <c:v>0.69899999999999995</c:v>
                </c:pt>
                <c:pt idx="13">
                  <c:v>6.6349999999999998</c:v>
                </c:pt>
                <c:pt idx="14">
                  <c:v>0.45900000000000002</c:v>
                </c:pt>
                <c:pt idx="15">
                  <c:v>0.22500000000000001</c:v>
                </c:pt>
                <c:pt idx="16">
                  <c:v>0.85699999999999998</c:v>
                </c:pt>
              </c:numCache>
            </c:numRef>
          </c:yVal>
          <c:smooth val="0"/>
          <c:extLst>
            <c:ext xmlns:c16="http://schemas.microsoft.com/office/drawing/2014/chart" uri="{C3380CC4-5D6E-409C-BE32-E72D297353CC}">
              <c16:uniqueId val="{00000000-E7D4-4922-B6D1-CCA80E6363E8}"/>
            </c:ext>
          </c:extLst>
        </c:ser>
        <c:dLbls>
          <c:showLegendKey val="0"/>
          <c:showVal val="0"/>
          <c:showCatName val="0"/>
          <c:showSerName val="0"/>
          <c:showPercent val="0"/>
          <c:showBubbleSize val="0"/>
        </c:dLbls>
        <c:axId val="116062400"/>
        <c:axId val="116062976"/>
      </c:scatterChart>
      <c:valAx>
        <c:axId val="116062400"/>
        <c:scaling>
          <c:orientation val="minMax"/>
        </c:scaling>
        <c:delete val="0"/>
        <c:axPos val="b"/>
        <c:title>
          <c:tx>
            <c:rich>
              <a:bodyPr/>
              <a:lstStyle/>
              <a:p>
                <a:pPr>
                  <a:defRPr/>
                </a:pPr>
                <a:r>
                  <a:rPr lang="en-US"/>
                  <a:t>Sponge volume (L)</a:t>
                </a:r>
              </a:p>
            </c:rich>
          </c:tx>
          <c:overlay val="0"/>
        </c:title>
        <c:numFmt formatCode="0" sourceLinked="1"/>
        <c:majorTickMark val="out"/>
        <c:minorTickMark val="none"/>
        <c:tickLblPos val="nextTo"/>
        <c:crossAx val="116062976"/>
        <c:crosses val="autoZero"/>
        <c:crossBetween val="midCat"/>
      </c:valAx>
      <c:valAx>
        <c:axId val="116062976"/>
        <c:scaling>
          <c:orientation val="minMax"/>
        </c:scaling>
        <c:delete val="0"/>
        <c:axPos val="l"/>
        <c:majorGridlines/>
        <c:title>
          <c:tx>
            <c:rich>
              <a:bodyPr rot="-5400000" vert="horz"/>
              <a:lstStyle/>
              <a:p>
                <a:pPr>
                  <a:defRPr/>
                </a:pPr>
                <a:r>
                  <a:rPr lang="en-US"/>
                  <a:t> (cm2)</a:t>
                </a:r>
              </a:p>
            </c:rich>
          </c:tx>
          <c:overlay val="0"/>
        </c:title>
        <c:numFmt formatCode="0.0" sourceLinked="0"/>
        <c:majorTickMark val="out"/>
        <c:minorTickMark val="none"/>
        <c:tickLblPos val="nextTo"/>
        <c:crossAx val="116062400"/>
        <c:crosses val="autoZero"/>
        <c:crossBetween val="midCat"/>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oxygen removal VS Volume flow rate</a:t>
            </a:r>
          </a:p>
        </c:rich>
      </c:tx>
      <c:layout>
        <c:manualLayout>
          <c:xMode val="edge"/>
          <c:yMode val="edge"/>
          <c:x val="0.17349076833920465"/>
          <c:y val="6.41025641025641E-3"/>
        </c:manualLayout>
      </c:layout>
      <c:overlay val="0"/>
    </c:title>
    <c:autoTitleDeleted val="0"/>
    <c:plotArea>
      <c:layout>
        <c:manualLayout>
          <c:layoutTarget val="inner"/>
          <c:xMode val="edge"/>
          <c:yMode val="edge"/>
          <c:x val="9.6137052635862363E-2"/>
          <c:y val="0.19480351414406533"/>
          <c:w val="0.85907607479297643"/>
          <c:h val="0.59104512977544477"/>
        </c:manualLayout>
      </c:layout>
      <c:scatterChart>
        <c:scatterStyle val="lineMarker"/>
        <c:varyColors val="0"/>
        <c:ser>
          <c:idx val="0"/>
          <c:order val="0"/>
          <c:tx>
            <c:strRef>
              <c:f>'[1]Respiration summary'!$K$10</c:f>
              <c:strCache>
                <c:ptCount val="1"/>
                <c:pt idx="0">
                  <c:v>(uMol/L)</c:v>
                </c:pt>
              </c:strCache>
            </c:strRef>
          </c:tx>
          <c:spPr>
            <a:ln w="28575">
              <a:noFill/>
            </a:ln>
          </c:spPr>
          <c:trendline>
            <c:trendlineType val="power"/>
            <c:dispRSqr val="1"/>
            <c:dispEq val="1"/>
            <c:trendlineLbl>
              <c:layout>
                <c:manualLayout>
                  <c:x val="-0.13938330383120714"/>
                  <c:y val="-2.7366214639836687E-2"/>
                </c:manualLayout>
              </c:layout>
              <c:numFmt formatCode="General" sourceLinked="0"/>
            </c:trendlineLbl>
          </c:trendline>
          <c:xVal>
            <c:numRef>
              <c:f>'[1]Respiration summary'!$P$11:$P$27</c:f>
              <c:numCache>
                <c:formatCode>0.0000</c:formatCode>
                <c:ptCount val="17"/>
                <c:pt idx="0">
                  <c:v>9.0222301683514056E-2</c:v>
                </c:pt>
                <c:pt idx="1">
                  <c:v>0.2721070525002019</c:v>
                </c:pt>
                <c:pt idx="2">
                  <c:v>5.4503872347182798E-2</c:v>
                </c:pt>
                <c:pt idx="3">
                  <c:v>4.5075360414042462E-2</c:v>
                </c:pt>
                <c:pt idx="4">
                  <c:v>7.2910235586538114E-2</c:v>
                </c:pt>
                <c:pt idx="5">
                  <c:v>1.2431617858252451E-2</c:v>
                </c:pt>
                <c:pt idx="6">
                  <c:v>0.19755123970304464</c:v>
                </c:pt>
                <c:pt idx="7">
                  <c:v>0.10526143209768087</c:v>
                </c:pt>
                <c:pt idx="8">
                  <c:v>2.2680512260054339E-2</c:v>
                </c:pt>
                <c:pt idx="9">
                  <c:v>0.16201978452731347</c:v>
                </c:pt>
                <c:pt idx="10">
                  <c:v>5.0872960567826822E-2</c:v>
                </c:pt>
                <c:pt idx="11">
                  <c:v>8.1148318832433897E-2</c:v>
                </c:pt>
                <c:pt idx="12">
                  <c:v>0.12720126759507991</c:v>
                </c:pt>
                <c:pt idx="13">
                  <c:v>0.11727788342084747</c:v>
                </c:pt>
                <c:pt idx="14">
                  <c:v>4.7312744426391266E-2</c:v>
                </c:pt>
                <c:pt idx="15">
                  <c:v>0.10667503007182552</c:v>
                </c:pt>
                <c:pt idx="16">
                  <c:v>3.9846071374135095E-2</c:v>
                </c:pt>
              </c:numCache>
            </c:numRef>
          </c:xVal>
          <c:yVal>
            <c:numRef>
              <c:f>'[1]Respiration summary'!$N$11:$N$27</c:f>
              <c:numCache>
                <c:formatCode>0.0000</c:formatCode>
                <c:ptCount val="17"/>
                <c:pt idx="0">
                  <c:v>1.4755251188763088</c:v>
                </c:pt>
                <c:pt idx="1">
                  <c:v>4.1692917880525791</c:v>
                </c:pt>
                <c:pt idx="2">
                  <c:v>0.51317012385382765</c:v>
                </c:pt>
                <c:pt idx="3">
                  <c:v>1.0725655582795233</c:v>
                </c:pt>
                <c:pt idx="4">
                  <c:v>0.91426462054973434</c:v>
                </c:pt>
                <c:pt idx="5">
                  <c:v>0.15150008086987421</c:v>
                </c:pt>
                <c:pt idx="6">
                  <c:v>2.2521129971054852</c:v>
                </c:pt>
                <c:pt idx="7">
                  <c:v>2.0770396593677751</c:v>
                </c:pt>
                <c:pt idx="8">
                  <c:v>0.61597922806864747</c:v>
                </c:pt>
                <c:pt idx="9">
                  <c:v>2.7976075667720353</c:v>
                </c:pt>
                <c:pt idx="10">
                  <c:v>0.60639227158923426</c:v>
                </c:pt>
                <c:pt idx="11">
                  <c:v>0.88636229182343784</c:v>
                </c:pt>
                <c:pt idx="12">
                  <c:v>1.854182807353824</c:v>
                </c:pt>
                <c:pt idx="13">
                  <c:v>1.8349635810802707</c:v>
                </c:pt>
                <c:pt idx="14">
                  <c:v>0.69736694164851787</c:v>
                </c:pt>
                <c:pt idx="15">
                  <c:v>1.0733047868617305</c:v>
                </c:pt>
                <c:pt idx="16">
                  <c:v>0.54715061588206793</c:v>
                </c:pt>
              </c:numCache>
            </c:numRef>
          </c:yVal>
          <c:smooth val="0"/>
          <c:extLst>
            <c:ext xmlns:c16="http://schemas.microsoft.com/office/drawing/2014/chart" uri="{C3380CC4-5D6E-409C-BE32-E72D297353CC}">
              <c16:uniqueId val="{00000000-E3F5-400E-B25B-1A7079C26D93}"/>
            </c:ext>
          </c:extLst>
        </c:ser>
        <c:dLbls>
          <c:showLegendKey val="0"/>
          <c:showVal val="0"/>
          <c:showCatName val="0"/>
          <c:showSerName val="0"/>
          <c:showPercent val="0"/>
          <c:showBubbleSize val="0"/>
        </c:dLbls>
        <c:axId val="140182080"/>
        <c:axId val="140182656"/>
      </c:scatterChart>
      <c:valAx>
        <c:axId val="140182080"/>
        <c:scaling>
          <c:orientation val="minMax"/>
        </c:scaling>
        <c:delete val="0"/>
        <c:axPos val="b"/>
        <c:title>
          <c:tx>
            <c:rich>
              <a:bodyPr/>
              <a:lstStyle/>
              <a:p>
                <a:pPr>
                  <a:defRPr/>
                </a:pPr>
                <a:r>
                  <a:rPr lang="en-US"/>
                  <a:t>Volume flow rate (L/hr)</a:t>
                </a:r>
              </a:p>
            </c:rich>
          </c:tx>
          <c:overlay val="0"/>
        </c:title>
        <c:numFmt formatCode="0.0" sourceLinked="0"/>
        <c:majorTickMark val="out"/>
        <c:minorTickMark val="none"/>
        <c:tickLblPos val="nextTo"/>
        <c:crossAx val="140182656"/>
        <c:crosses val="autoZero"/>
        <c:crossBetween val="midCat"/>
      </c:valAx>
      <c:valAx>
        <c:axId val="140182656"/>
        <c:scaling>
          <c:orientation val="minMax"/>
        </c:scaling>
        <c:delete val="0"/>
        <c:axPos val="l"/>
        <c:majorGridlines/>
        <c:title>
          <c:tx>
            <c:rich>
              <a:bodyPr rot="-5400000" vert="horz"/>
              <a:lstStyle/>
              <a:p>
                <a:pPr>
                  <a:defRPr/>
                </a:pPr>
                <a:r>
                  <a:rPr lang="en-US"/>
                  <a:t>oxygen removal (uM/L)</a:t>
                </a:r>
              </a:p>
            </c:rich>
          </c:tx>
          <c:overlay val="0"/>
        </c:title>
        <c:numFmt formatCode="0.0" sourceLinked="0"/>
        <c:majorTickMark val="out"/>
        <c:minorTickMark val="none"/>
        <c:tickLblPos val="nextTo"/>
        <c:crossAx val="140182080"/>
        <c:crosses val="autoZero"/>
        <c:crossBetween val="midCat"/>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57295536377665"/>
          <c:y val="5.1671732522796353E-2"/>
          <c:w val="0.77608335341959245"/>
          <c:h val="0.75075987841945291"/>
        </c:manualLayout>
      </c:layout>
      <c:scatterChart>
        <c:scatterStyle val="lineMarker"/>
        <c:varyColors val="0"/>
        <c:ser>
          <c:idx val="0"/>
          <c:order val="0"/>
          <c:spPr>
            <a:ln w="28575">
              <a:noFill/>
            </a:ln>
          </c:spPr>
          <c:marker>
            <c:symbol val="circle"/>
            <c:size val="4"/>
            <c:spPr>
              <a:solidFill>
                <a:srgbClr val="000080"/>
              </a:solidFill>
              <a:ln>
                <a:solidFill>
                  <a:srgbClr val="000080"/>
                </a:solidFill>
                <a:prstDash val="solid"/>
              </a:ln>
            </c:spPr>
          </c:marker>
          <c:trendline>
            <c:spPr>
              <a:ln w="25400">
                <a:solidFill>
                  <a:srgbClr val="000000"/>
                </a:solidFill>
                <a:prstDash val="solid"/>
              </a:ln>
            </c:spPr>
            <c:trendlineType val="linear"/>
            <c:intercept val="0"/>
            <c:dispRSqr val="1"/>
            <c:dispEq val="1"/>
            <c:trendlineLbl>
              <c:layout>
                <c:manualLayout>
                  <c:x val="-0.32740524919320768"/>
                  <c:y val="3.0395136778115506E-2"/>
                </c:manualLayout>
              </c:layout>
              <c:numFmt formatCode="General" sourceLinked="0"/>
              <c:spPr>
                <a:noFill/>
                <a:ln w="25400">
                  <a:noFill/>
                </a:ln>
              </c:spPr>
              <c:txPr>
                <a:bodyPr/>
                <a:lstStyle/>
                <a:p>
                  <a:pPr>
                    <a:defRPr sz="1200" b="0" i="0" u="none" strike="noStrike" baseline="0">
                      <a:solidFill>
                        <a:srgbClr val="000000"/>
                      </a:solidFill>
                      <a:latin typeface="Arial"/>
                      <a:ea typeface="Arial"/>
                      <a:cs typeface="Arial"/>
                    </a:defRPr>
                  </a:pPr>
                  <a:endParaRPr lang="en-US"/>
                </a:p>
              </c:txPr>
            </c:trendlineLbl>
          </c:trendline>
          <c:xVal>
            <c:numRef>
              <c:f>[2]Sheet1!$E$11:$E$27</c:f>
              <c:numCache>
                <c:formatCode>General</c:formatCode>
                <c:ptCount val="17"/>
                <c:pt idx="0">
                  <c:v>0</c:v>
                </c:pt>
                <c:pt idx="1">
                  <c:v>137.97166666666669</c:v>
                </c:pt>
                <c:pt idx="2">
                  <c:v>131.60766666666666</c:v>
                </c:pt>
                <c:pt idx="3">
                  <c:v>111.94266666666668</c:v>
                </c:pt>
                <c:pt idx="4">
                  <c:v>133.93466666666666</c:v>
                </c:pt>
                <c:pt idx="5">
                  <c:v>290.23166666666668</c:v>
                </c:pt>
                <c:pt idx="6">
                  <c:v>298.70566666666667</c:v>
                </c:pt>
                <c:pt idx="7">
                  <c:v>285.91566666666665</c:v>
                </c:pt>
                <c:pt idx="8">
                  <c:v>307.88266666666664</c:v>
                </c:pt>
                <c:pt idx="9">
                  <c:v>453.07566666666668</c:v>
                </c:pt>
                <c:pt idx="10">
                  <c:v>464.82266666666663</c:v>
                </c:pt>
                <c:pt idx="11">
                  <c:v>461.5306666666666</c:v>
                </c:pt>
                <c:pt idx="12">
                  <c:v>454.26266666666669</c:v>
                </c:pt>
                <c:pt idx="13">
                  <c:v>613.07966666666675</c:v>
                </c:pt>
                <c:pt idx="14">
                  <c:v>629.48466666666673</c:v>
                </c:pt>
                <c:pt idx="15">
                  <c:v>607.69466666666676</c:v>
                </c:pt>
                <c:pt idx="16">
                  <c:v>633.75766666666675</c:v>
                </c:pt>
              </c:numCache>
            </c:numRef>
          </c:xVal>
          <c:yVal>
            <c:numRef>
              <c:f>[2]Sheet1!$C$11:$C$27</c:f>
              <c:numCache>
                <c:formatCode>General</c:formatCode>
                <c:ptCount val="17"/>
                <c:pt idx="0">
                  <c:v>0</c:v>
                </c:pt>
                <c:pt idx="1">
                  <c:v>0.75</c:v>
                </c:pt>
                <c:pt idx="2">
                  <c:v>0.75</c:v>
                </c:pt>
                <c:pt idx="3">
                  <c:v>0.75</c:v>
                </c:pt>
                <c:pt idx="4">
                  <c:v>0.75</c:v>
                </c:pt>
                <c:pt idx="5">
                  <c:v>1.5</c:v>
                </c:pt>
                <c:pt idx="6">
                  <c:v>1.5</c:v>
                </c:pt>
                <c:pt idx="7">
                  <c:v>1.5</c:v>
                </c:pt>
                <c:pt idx="8">
                  <c:v>1.5</c:v>
                </c:pt>
                <c:pt idx="9">
                  <c:v>2.25</c:v>
                </c:pt>
                <c:pt idx="10">
                  <c:v>2.25</c:v>
                </c:pt>
                <c:pt idx="11">
                  <c:v>2.25</c:v>
                </c:pt>
                <c:pt idx="12">
                  <c:v>2.25</c:v>
                </c:pt>
                <c:pt idx="13">
                  <c:v>3</c:v>
                </c:pt>
                <c:pt idx="14">
                  <c:v>3</c:v>
                </c:pt>
                <c:pt idx="15">
                  <c:v>3</c:v>
                </c:pt>
                <c:pt idx="16">
                  <c:v>3</c:v>
                </c:pt>
              </c:numCache>
            </c:numRef>
          </c:yVal>
          <c:smooth val="0"/>
          <c:extLst>
            <c:ext xmlns:c16="http://schemas.microsoft.com/office/drawing/2014/chart" uri="{C3380CC4-5D6E-409C-BE32-E72D297353CC}">
              <c16:uniqueId val="{00000000-98A3-4A3D-9634-BF081BC73467}"/>
            </c:ext>
          </c:extLst>
        </c:ser>
        <c:dLbls>
          <c:showLegendKey val="0"/>
          <c:showVal val="0"/>
          <c:showCatName val="0"/>
          <c:showSerName val="0"/>
          <c:showPercent val="0"/>
          <c:showBubbleSize val="0"/>
        </c:dLbls>
        <c:axId val="140185536"/>
        <c:axId val="140186112"/>
      </c:scatterChart>
      <c:valAx>
        <c:axId val="140185536"/>
        <c:scaling>
          <c:orientation val="minMax"/>
          <c:max val="700"/>
          <c:min val="0"/>
        </c:scaling>
        <c:delete val="0"/>
        <c:axPos val="b"/>
        <c:title>
          <c:tx>
            <c:rich>
              <a:bodyPr/>
              <a:lstStyle/>
              <a:p>
                <a:pPr>
                  <a:defRPr sz="1200" b="1" i="0" u="none" strike="noStrike" baseline="0">
                    <a:solidFill>
                      <a:srgbClr val="000000"/>
                    </a:solidFill>
                    <a:latin typeface="Arial"/>
                    <a:ea typeface="Arial"/>
                    <a:cs typeface="Arial"/>
                  </a:defRPr>
                </a:pPr>
                <a:r>
                  <a:rPr lang="en-CA"/>
                  <a:t>Abs</a:t>
                </a:r>
              </a:p>
            </c:rich>
          </c:tx>
          <c:layout>
            <c:manualLayout>
              <c:xMode val="edge"/>
              <c:yMode val="edge"/>
              <c:x val="0.51145165258143632"/>
              <c:y val="0.899696048632218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140186112"/>
        <c:crosses val="autoZero"/>
        <c:crossBetween val="midCat"/>
        <c:majorUnit val="100"/>
        <c:minorUnit val="100"/>
      </c:valAx>
      <c:valAx>
        <c:axId val="140186112"/>
        <c:scaling>
          <c:orientation val="minMax"/>
        </c:scaling>
        <c:delete val="0"/>
        <c:axPos val="l"/>
        <c:title>
          <c:tx>
            <c:rich>
              <a:bodyPr/>
              <a:lstStyle/>
              <a:p>
                <a:pPr>
                  <a:defRPr sz="1200" b="1" i="0" u="none" strike="noStrike" baseline="0">
                    <a:solidFill>
                      <a:srgbClr val="000000"/>
                    </a:solidFill>
                    <a:latin typeface="Arial"/>
                    <a:ea typeface="Arial"/>
                    <a:cs typeface="Arial"/>
                  </a:defRPr>
                </a:pPr>
                <a:r>
                  <a:rPr lang="en-CA"/>
                  <a:t>TOC (mg/L)</a:t>
                </a:r>
              </a:p>
            </c:rich>
          </c:tx>
          <c:layout>
            <c:manualLayout>
              <c:xMode val="edge"/>
              <c:yMode val="edge"/>
              <c:x val="1.2722677924911351E-2"/>
              <c:y val="0.27051671732522797"/>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140185536"/>
        <c:crosses val="autoZero"/>
        <c:crossBetween val="midCat"/>
      </c:valAx>
      <c:spPr>
        <a:noFill/>
        <a:ln w="3175">
          <a:solidFill>
            <a:srgbClr val="000000"/>
          </a:solidFill>
          <a:prstDash val="solid"/>
        </a:ln>
      </c:spPr>
    </c:plotArea>
    <c:plotVisOnly val="1"/>
    <c:dispBlanksAs val="gap"/>
    <c:showDLblsOverMax val="0"/>
  </c:chart>
  <c:spPr>
    <a:solidFill>
      <a:srgbClr val="FFFFFF"/>
    </a:solidFill>
    <a:ln w="9525">
      <a:noFill/>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83573928258969"/>
          <c:y val="5.1400554097404488E-2"/>
          <c:w val="0.81753237095363085"/>
          <c:h val="0.7324609944590259"/>
        </c:manualLayout>
      </c:layout>
      <c:scatterChart>
        <c:scatterStyle val="lineMarker"/>
        <c:varyColors val="0"/>
        <c:ser>
          <c:idx val="0"/>
          <c:order val="0"/>
          <c:spPr>
            <a:ln w="28575">
              <a:noFill/>
            </a:ln>
          </c:spPr>
          <c:marker>
            <c:spPr>
              <a:solidFill>
                <a:srgbClr val="4F81BD"/>
              </a:solidFill>
              <a:ln>
                <a:solidFill>
                  <a:srgbClr val="666699"/>
                </a:solidFill>
                <a:prstDash val="solid"/>
              </a:ln>
            </c:spPr>
          </c:marker>
          <c:trendline>
            <c:spPr>
              <a:ln w="3175">
                <a:solidFill>
                  <a:srgbClr val="000000"/>
                </a:solidFill>
                <a:prstDash val="solid"/>
              </a:ln>
            </c:spPr>
            <c:trendlineType val="linear"/>
            <c:intercept val="0"/>
            <c:dispRSqr val="1"/>
            <c:dispEq val="1"/>
            <c:trendlineLbl>
              <c:layout>
                <c:manualLayout>
                  <c:x val="6.0079833770778655E-2"/>
                  <c:y val="0.3464490728981458"/>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'[3]Wet weights'!$H$5:$H$32</c:f>
              <c:numCache>
                <c:formatCode>General</c:formatCode>
                <c:ptCount val="28"/>
                <c:pt idx="0">
                  <c:v>6.18</c:v>
                </c:pt>
                <c:pt idx="1">
                  <c:v>9.2200000000000006</c:v>
                </c:pt>
                <c:pt idx="2">
                  <c:v>0.52</c:v>
                </c:pt>
                <c:pt idx="3">
                  <c:v>3.96</c:v>
                </c:pt>
                <c:pt idx="4">
                  <c:v>5.9</c:v>
                </c:pt>
                <c:pt idx="5">
                  <c:v>4.5999999999999996</c:v>
                </c:pt>
                <c:pt idx="6">
                  <c:v>3.12</c:v>
                </c:pt>
                <c:pt idx="7">
                  <c:v>3.29</c:v>
                </c:pt>
                <c:pt idx="8">
                  <c:v>2.54</c:v>
                </c:pt>
                <c:pt idx="9">
                  <c:v>3.68</c:v>
                </c:pt>
                <c:pt idx="11">
                  <c:v>0.7026</c:v>
                </c:pt>
                <c:pt idx="12">
                  <c:v>1.2769999999999999</c:v>
                </c:pt>
                <c:pt idx="13">
                  <c:v>0.39012999999999998</c:v>
                </c:pt>
                <c:pt idx="14">
                  <c:v>3.0295299999999998</c:v>
                </c:pt>
                <c:pt idx="15">
                  <c:v>2.3506999999999998</c:v>
                </c:pt>
                <c:pt idx="16">
                  <c:v>2.8353999999999999</c:v>
                </c:pt>
                <c:pt idx="17">
                  <c:v>1.5424</c:v>
                </c:pt>
                <c:pt idx="18">
                  <c:v>0.4632</c:v>
                </c:pt>
                <c:pt idx="19">
                  <c:v>3.3757999999999999</c:v>
                </c:pt>
                <c:pt idx="20">
                  <c:v>2.5466000000000002</c:v>
                </c:pt>
                <c:pt idx="21">
                  <c:v>1.6093999999999999</c:v>
                </c:pt>
                <c:pt idx="22">
                  <c:v>0.95099999999999996</c:v>
                </c:pt>
                <c:pt idx="23">
                  <c:v>2.9279000000000002</c:v>
                </c:pt>
                <c:pt idx="24">
                  <c:v>1.4736</c:v>
                </c:pt>
                <c:pt idx="25">
                  <c:v>0.32279000000000002</c:v>
                </c:pt>
                <c:pt idx="26">
                  <c:v>0.47935</c:v>
                </c:pt>
                <c:pt idx="27">
                  <c:v>1.7359</c:v>
                </c:pt>
              </c:numCache>
            </c:numRef>
          </c:xVal>
          <c:yVal>
            <c:numRef>
              <c:f>'[3]Wet weights'!$I$5:$I$32</c:f>
              <c:numCache>
                <c:formatCode>General</c:formatCode>
                <c:ptCount val="28"/>
                <c:pt idx="0">
                  <c:v>1.0629599999999999</c:v>
                </c:pt>
                <c:pt idx="1">
                  <c:v>1.4291</c:v>
                </c:pt>
                <c:pt idx="2">
                  <c:v>0.11752000000000001</c:v>
                </c:pt>
                <c:pt idx="3">
                  <c:v>0.78408</c:v>
                </c:pt>
                <c:pt idx="4">
                  <c:v>1.1564000000000001</c:v>
                </c:pt>
                <c:pt idx="5">
                  <c:v>0.82799999999999996</c:v>
                </c:pt>
                <c:pt idx="7">
                  <c:v>0.69089999999999996</c:v>
                </c:pt>
                <c:pt idx="8">
                  <c:v>0.47244000000000003</c:v>
                </c:pt>
                <c:pt idx="9">
                  <c:v>0.76912000000000003</c:v>
                </c:pt>
                <c:pt idx="11">
                  <c:v>0.14022828047999999</c:v>
                </c:pt>
                <c:pt idx="12">
                  <c:v>0.28475117968300001</c:v>
                </c:pt>
                <c:pt idx="13">
                  <c:v>8.2707559999999999E-2</c:v>
                </c:pt>
                <c:pt idx="14">
                  <c:v>0.65286371499999996</c:v>
                </c:pt>
                <c:pt idx="15">
                  <c:v>0.46097226999999996</c:v>
                </c:pt>
                <c:pt idx="16">
                  <c:v>0.65724572000000003</c:v>
                </c:pt>
                <c:pt idx="17">
                  <c:v>0.29459839999999998</c:v>
                </c:pt>
                <c:pt idx="18">
                  <c:v>0.1028304</c:v>
                </c:pt>
                <c:pt idx="19">
                  <c:v>0.71566959999999991</c:v>
                </c:pt>
                <c:pt idx="20">
                  <c:v>0.50677340000000004</c:v>
                </c:pt>
                <c:pt idx="21">
                  <c:v>0.37981839999999994</c:v>
                </c:pt>
                <c:pt idx="22">
                  <c:v>0.22633799999999998</c:v>
                </c:pt>
                <c:pt idx="23">
                  <c:v>0.62949850000000007</c:v>
                </c:pt>
                <c:pt idx="24">
                  <c:v>0.2917728</c:v>
                </c:pt>
                <c:pt idx="25">
                  <c:v>7.5532860000000007E-2</c:v>
                </c:pt>
                <c:pt idx="26">
                  <c:v>0.105457</c:v>
                </c:pt>
                <c:pt idx="27">
                  <c:v>0.45133400000000001</c:v>
                </c:pt>
              </c:numCache>
            </c:numRef>
          </c:yVal>
          <c:smooth val="0"/>
          <c:extLst>
            <c:ext xmlns:c16="http://schemas.microsoft.com/office/drawing/2014/chart" uri="{C3380CC4-5D6E-409C-BE32-E72D297353CC}">
              <c16:uniqueId val="{00000000-AD61-4BC2-8152-75F25E0AB237}"/>
            </c:ext>
          </c:extLst>
        </c:ser>
        <c:dLbls>
          <c:showLegendKey val="0"/>
          <c:showVal val="0"/>
          <c:showCatName val="0"/>
          <c:showSerName val="0"/>
          <c:showPercent val="0"/>
          <c:showBubbleSize val="0"/>
        </c:dLbls>
        <c:axId val="140186688"/>
        <c:axId val="140187264"/>
      </c:scatterChart>
      <c:valAx>
        <c:axId val="140186688"/>
        <c:scaling>
          <c:orientation val="minMax"/>
        </c:scaling>
        <c:delete val="0"/>
        <c:axPos val="b"/>
        <c:title>
          <c:tx>
            <c:rich>
              <a:bodyPr/>
              <a:lstStyle/>
              <a:p>
                <a:pPr>
                  <a:defRPr sz="1400" b="1" i="0" u="none" strike="noStrike" baseline="0">
                    <a:solidFill>
                      <a:srgbClr val="000000"/>
                    </a:solidFill>
                    <a:latin typeface="Calibri"/>
                    <a:ea typeface="Calibri"/>
                    <a:cs typeface="Calibri"/>
                  </a:defRPr>
                </a:pPr>
                <a:r>
                  <a:rPr lang="en-CA"/>
                  <a:t>Sponge wt (wet kg)</a:t>
                </a:r>
              </a:p>
            </c:rich>
          </c:tx>
          <c:layout>
            <c:manualLayout>
              <c:xMode val="edge"/>
              <c:yMode val="edge"/>
              <c:x val="0.36273371407973143"/>
              <c:y val="0.88620729637710949"/>
            </c:manualLayout>
          </c:layout>
          <c:overlay val="0"/>
          <c:spPr>
            <a:noFill/>
            <a:ln w="25400">
              <a:noFill/>
            </a:ln>
          </c:spPr>
        </c:title>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40187264"/>
        <c:crosses val="autoZero"/>
        <c:crossBetween val="midCat"/>
      </c:valAx>
      <c:valAx>
        <c:axId val="140187264"/>
        <c:scaling>
          <c:orientation val="minMax"/>
        </c:scaling>
        <c:delete val="0"/>
        <c:axPos val="l"/>
        <c:title>
          <c:tx>
            <c:rich>
              <a:bodyPr/>
              <a:lstStyle/>
              <a:p>
                <a:pPr>
                  <a:defRPr sz="1400" b="1" i="0" u="none" strike="noStrike" baseline="0">
                    <a:solidFill>
                      <a:srgbClr val="000000"/>
                    </a:solidFill>
                    <a:latin typeface="Calibri"/>
                    <a:ea typeface="Calibri"/>
                    <a:cs typeface="Calibri"/>
                  </a:defRPr>
                </a:pPr>
                <a:r>
                  <a:rPr lang="en-CA"/>
                  <a:t>Sponge wt (dry kg)</a:t>
                </a:r>
              </a:p>
            </c:rich>
          </c:tx>
          <c:layout>
            <c:manualLayout>
              <c:xMode val="edge"/>
              <c:yMode val="edge"/>
              <c:x val="1.1111036013202211E-2"/>
              <c:y val="0.11741116697762179"/>
            </c:manualLayout>
          </c:layout>
          <c:overlay val="0"/>
          <c:spPr>
            <a:noFill/>
            <a:ln w="25400">
              <a:noFill/>
            </a:ln>
          </c:spPr>
        </c:title>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40186688"/>
        <c:crosses val="autoZero"/>
        <c:crossBetween val="midCat"/>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50240594925636"/>
          <c:y val="5.1400554097404488E-2"/>
          <c:w val="0.82586570428696393"/>
          <c:h val="0.75560914260717482"/>
        </c:manualLayout>
      </c:layout>
      <c:scatterChart>
        <c:scatterStyle val="lineMarker"/>
        <c:varyColors val="0"/>
        <c:ser>
          <c:idx val="0"/>
          <c:order val="0"/>
          <c:spPr>
            <a:ln w="28575">
              <a:noFill/>
            </a:ln>
          </c:spPr>
          <c:marker>
            <c:spPr>
              <a:solidFill>
                <a:srgbClr val="4F81BD"/>
              </a:solidFill>
              <a:ln>
                <a:solidFill>
                  <a:srgbClr val="666699"/>
                </a:solidFill>
                <a:prstDash val="solid"/>
              </a:ln>
            </c:spPr>
          </c:marker>
          <c:trendline>
            <c:spPr>
              <a:ln w="3175">
                <a:solidFill>
                  <a:srgbClr val="000000"/>
                </a:solidFill>
                <a:prstDash val="solid"/>
              </a:ln>
            </c:spPr>
            <c:trendlineType val="exp"/>
            <c:intercept val="0"/>
            <c:dispRSqr val="0"/>
            <c:dispEq val="0"/>
          </c:trendline>
          <c:trendline>
            <c:spPr>
              <a:ln w="3175">
                <a:solidFill>
                  <a:srgbClr val="000000"/>
                </a:solidFill>
                <a:prstDash val="solid"/>
              </a:ln>
            </c:spPr>
            <c:trendlineType val="linear"/>
            <c:intercept val="0"/>
            <c:dispRSqr val="1"/>
            <c:dispEq val="1"/>
            <c:trendlineLbl>
              <c:layout>
                <c:manualLayout>
                  <c:x val="2.9364391951006125E-2"/>
                  <c:y val="0.20517169728783902"/>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'[3]Wet weights'!$C$5:$C$32</c:f>
              <c:numCache>
                <c:formatCode>General</c:formatCode>
                <c:ptCount val="28"/>
                <c:pt idx="0">
                  <c:v>11475</c:v>
                </c:pt>
                <c:pt idx="1">
                  <c:v>23430</c:v>
                </c:pt>
                <c:pt idx="2">
                  <c:v>892.5</c:v>
                </c:pt>
                <c:pt idx="3">
                  <c:v>8360</c:v>
                </c:pt>
                <c:pt idx="4">
                  <c:v>12622.5</c:v>
                </c:pt>
                <c:pt idx="5">
                  <c:v>12799.5</c:v>
                </c:pt>
                <c:pt idx="6">
                  <c:v>7581</c:v>
                </c:pt>
                <c:pt idx="7">
                  <c:v>3740</c:v>
                </c:pt>
                <c:pt idx="8">
                  <c:v>4252.5</c:v>
                </c:pt>
                <c:pt idx="9">
                  <c:v>7749</c:v>
                </c:pt>
                <c:pt idx="10">
                  <c:v>0</c:v>
                </c:pt>
                <c:pt idx="11">
                  <c:v>1309</c:v>
                </c:pt>
                <c:pt idx="12">
                  <c:v>2501.25</c:v>
                </c:pt>
                <c:pt idx="13">
                  <c:v>607.5</c:v>
                </c:pt>
                <c:pt idx="14">
                  <c:v>6090</c:v>
                </c:pt>
                <c:pt idx="15">
                  <c:v>5643</c:v>
                </c:pt>
                <c:pt idx="16">
                  <c:v>4588</c:v>
                </c:pt>
                <c:pt idx="17">
                  <c:v>2625</c:v>
                </c:pt>
                <c:pt idx="18">
                  <c:v>640</c:v>
                </c:pt>
                <c:pt idx="19">
                  <c:v>6708</c:v>
                </c:pt>
                <c:pt idx="20">
                  <c:v>4845</c:v>
                </c:pt>
                <c:pt idx="21">
                  <c:v>3371.25</c:v>
                </c:pt>
                <c:pt idx="22">
                  <c:v>2175</c:v>
                </c:pt>
                <c:pt idx="23">
                  <c:v>6773.5</c:v>
                </c:pt>
                <c:pt idx="24">
                  <c:v>2242.5</c:v>
                </c:pt>
                <c:pt idx="25">
                  <c:v>476</c:v>
                </c:pt>
                <c:pt idx="26">
                  <c:v>765</c:v>
                </c:pt>
                <c:pt idx="27">
                  <c:v>3360</c:v>
                </c:pt>
              </c:numCache>
            </c:numRef>
          </c:xVal>
          <c:yVal>
            <c:numRef>
              <c:f>'[3]Wet weights'!$H$5:$H$32</c:f>
              <c:numCache>
                <c:formatCode>General</c:formatCode>
                <c:ptCount val="28"/>
                <c:pt idx="0">
                  <c:v>6.18</c:v>
                </c:pt>
                <c:pt idx="1">
                  <c:v>9.2200000000000006</c:v>
                </c:pt>
                <c:pt idx="2">
                  <c:v>0.52</c:v>
                </c:pt>
                <c:pt idx="3">
                  <c:v>3.96</c:v>
                </c:pt>
                <c:pt idx="4">
                  <c:v>5.9</c:v>
                </c:pt>
                <c:pt idx="5">
                  <c:v>4.5999999999999996</c:v>
                </c:pt>
                <c:pt idx="6">
                  <c:v>3.12</c:v>
                </c:pt>
                <c:pt idx="7">
                  <c:v>3.29</c:v>
                </c:pt>
                <c:pt idx="8">
                  <c:v>2.54</c:v>
                </c:pt>
                <c:pt idx="9">
                  <c:v>3.68</c:v>
                </c:pt>
                <c:pt idx="11">
                  <c:v>0.7026</c:v>
                </c:pt>
                <c:pt idx="12">
                  <c:v>1.2769999999999999</c:v>
                </c:pt>
                <c:pt idx="13">
                  <c:v>0.39012999999999998</c:v>
                </c:pt>
                <c:pt idx="14">
                  <c:v>3.0295299999999998</c:v>
                </c:pt>
                <c:pt idx="15">
                  <c:v>2.3506999999999998</c:v>
                </c:pt>
                <c:pt idx="16">
                  <c:v>2.8353999999999999</c:v>
                </c:pt>
                <c:pt idx="17">
                  <c:v>1.5424</c:v>
                </c:pt>
                <c:pt idx="18">
                  <c:v>0.4632</c:v>
                </c:pt>
                <c:pt idx="19">
                  <c:v>3.3757999999999999</c:v>
                </c:pt>
                <c:pt idx="20">
                  <c:v>2.5466000000000002</c:v>
                </c:pt>
                <c:pt idx="21">
                  <c:v>1.6093999999999999</c:v>
                </c:pt>
                <c:pt idx="22">
                  <c:v>0.95099999999999996</c:v>
                </c:pt>
                <c:pt idx="23">
                  <c:v>2.9279000000000002</c:v>
                </c:pt>
                <c:pt idx="24">
                  <c:v>1.4736</c:v>
                </c:pt>
                <c:pt idx="25">
                  <c:v>0.32279000000000002</c:v>
                </c:pt>
                <c:pt idx="26">
                  <c:v>0.47935</c:v>
                </c:pt>
                <c:pt idx="27">
                  <c:v>1.7359</c:v>
                </c:pt>
              </c:numCache>
            </c:numRef>
          </c:yVal>
          <c:smooth val="0"/>
          <c:extLst>
            <c:ext xmlns:c16="http://schemas.microsoft.com/office/drawing/2014/chart" uri="{C3380CC4-5D6E-409C-BE32-E72D297353CC}">
              <c16:uniqueId val="{00000000-3C99-4313-8169-CD10DD011B79}"/>
            </c:ext>
          </c:extLst>
        </c:ser>
        <c:dLbls>
          <c:showLegendKey val="0"/>
          <c:showVal val="0"/>
          <c:showCatName val="0"/>
          <c:showSerName val="0"/>
          <c:showPercent val="0"/>
          <c:showBubbleSize val="0"/>
        </c:dLbls>
        <c:axId val="140188992"/>
        <c:axId val="140345344"/>
      </c:scatterChart>
      <c:valAx>
        <c:axId val="140188992"/>
        <c:scaling>
          <c:orientation val="minMax"/>
        </c:scaling>
        <c:delete val="0"/>
        <c:axPos val="b"/>
        <c:title>
          <c:tx>
            <c:rich>
              <a:bodyPr/>
              <a:lstStyle/>
              <a:p>
                <a:pPr>
                  <a:defRPr sz="1400" b="1" i="0" u="none" strike="noStrike" baseline="0">
                    <a:solidFill>
                      <a:srgbClr val="000000"/>
                    </a:solidFill>
                    <a:latin typeface="Calibri"/>
                    <a:ea typeface="Calibri"/>
                    <a:cs typeface="Calibri"/>
                  </a:defRPr>
                </a:pPr>
                <a:r>
                  <a:rPr lang="en-CA"/>
                  <a:t>Sponge size (cm3)</a:t>
                </a:r>
              </a:p>
            </c:rich>
          </c:tx>
          <c:layout>
            <c:manualLayout>
              <c:xMode val="edge"/>
              <c:yMode val="edge"/>
              <c:x val="0.41273382672659481"/>
              <c:y val="0.90149304507668249"/>
            </c:manualLayout>
          </c:layout>
          <c:overlay val="0"/>
          <c:spPr>
            <a:noFill/>
            <a:ln w="25400">
              <a:noFill/>
            </a:ln>
          </c:spPr>
        </c:title>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40345344"/>
        <c:crosses val="autoZero"/>
        <c:crossBetween val="midCat"/>
      </c:valAx>
      <c:valAx>
        <c:axId val="140345344"/>
        <c:scaling>
          <c:orientation val="minMax"/>
          <c:max val="12"/>
          <c:min val="0"/>
        </c:scaling>
        <c:delete val="0"/>
        <c:axPos val="l"/>
        <c:title>
          <c:tx>
            <c:rich>
              <a:bodyPr/>
              <a:lstStyle/>
              <a:p>
                <a:pPr>
                  <a:defRPr sz="1400" b="1" i="0" u="none" strike="noStrike" baseline="0">
                    <a:solidFill>
                      <a:srgbClr val="000000"/>
                    </a:solidFill>
                    <a:latin typeface="Calibri"/>
                    <a:ea typeface="Calibri"/>
                    <a:cs typeface="Calibri"/>
                  </a:defRPr>
                </a:pPr>
                <a:r>
                  <a:rPr lang="en-CA"/>
                  <a:t>Sponge wet wt (kg) </a:t>
                </a:r>
              </a:p>
            </c:rich>
          </c:tx>
          <c:layout>
            <c:manualLayout>
              <c:xMode val="edge"/>
              <c:yMode val="edge"/>
              <c:x val="1.9444425669967222E-2"/>
              <c:y val="0.16370746339634376"/>
            </c:manualLayout>
          </c:layout>
          <c:overlay val="0"/>
          <c:spPr>
            <a:noFill/>
            <a:ln w="25400">
              <a:noFill/>
            </a:ln>
          </c:spPr>
        </c:title>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40188992"/>
        <c:crosses val="autoZero"/>
        <c:crossBetween val="midCat"/>
        <c:majorUnit val="5"/>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50240594925636"/>
          <c:y val="5.1400554097404488E-2"/>
          <c:w val="0.82586570428696349"/>
          <c:h val="0.75560914260717582"/>
        </c:manualLayout>
      </c:layout>
      <c:scatterChart>
        <c:scatterStyle val="lineMarker"/>
        <c:varyColors val="0"/>
        <c:ser>
          <c:idx val="0"/>
          <c:order val="0"/>
          <c:spPr>
            <a:ln w="28575">
              <a:noFill/>
            </a:ln>
          </c:spPr>
          <c:marker>
            <c:spPr>
              <a:solidFill>
                <a:srgbClr val="4F81BD"/>
              </a:solidFill>
              <a:ln>
                <a:solidFill>
                  <a:srgbClr val="666699"/>
                </a:solidFill>
                <a:prstDash val="solid"/>
              </a:ln>
            </c:spPr>
          </c:marker>
          <c:trendline>
            <c:spPr>
              <a:ln w="3175">
                <a:solidFill>
                  <a:srgbClr val="000000"/>
                </a:solidFill>
                <a:prstDash val="solid"/>
              </a:ln>
            </c:spPr>
            <c:trendlineType val="linear"/>
            <c:intercept val="0"/>
            <c:dispRSqr val="1"/>
            <c:dispEq val="1"/>
            <c:trendlineLbl>
              <c:layout>
                <c:manualLayout>
                  <c:x val="3.4507655293088364E-2"/>
                  <c:y val="0.23489882313097959"/>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'[3]Wet weights'!$H$5:$H$32</c:f>
              <c:numCache>
                <c:formatCode>General</c:formatCode>
                <c:ptCount val="28"/>
                <c:pt idx="0">
                  <c:v>6.18</c:v>
                </c:pt>
                <c:pt idx="1">
                  <c:v>9.2200000000000006</c:v>
                </c:pt>
                <c:pt idx="2">
                  <c:v>0.52</c:v>
                </c:pt>
                <c:pt idx="3">
                  <c:v>3.96</c:v>
                </c:pt>
                <c:pt idx="4">
                  <c:v>5.9</c:v>
                </c:pt>
                <c:pt idx="5">
                  <c:v>4.5999999999999996</c:v>
                </c:pt>
                <c:pt idx="6">
                  <c:v>3.12</c:v>
                </c:pt>
                <c:pt idx="7">
                  <c:v>3.29</c:v>
                </c:pt>
                <c:pt idx="8">
                  <c:v>2.54</c:v>
                </c:pt>
                <c:pt idx="9">
                  <c:v>3.68</c:v>
                </c:pt>
                <c:pt idx="11">
                  <c:v>0.7026</c:v>
                </c:pt>
                <c:pt idx="12">
                  <c:v>1.2769999999999999</c:v>
                </c:pt>
                <c:pt idx="13">
                  <c:v>0.39012999999999998</c:v>
                </c:pt>
                <c:pt idx="14">
                  <c:v>3.0295299999999998</c:v>
                </c:pt>
                <c:pt idx="15">
                  <c:v>2.3506999999999998</c:v>
                </c:pt>
                <c:pt idx="16">
                  <c:v>2.8353999999999999</c:v>
                </c:pt>
                <c:pt idx="17">
                  <c:v>1.5424</c:v>
                </c:pt>
                <c:pt idx="18">
                  <c:v>0.4632</c:v>
                </c:pt>
                <c:pt idx="19">
                  <c:v>3.3757999999999999</c:v>
                </c:pt>
                <c:pt idx="20">
                  <c:v>2.5466000000000002</c:v>
                </c:pt>
                <c:pt idx="21">
                  <c:v>1.6093999999999999</c:v>
                </c:pt>
                <c:pt idx="22">
                  <c:v>0.95099999999999996</c:v>
                </c:pt>
                <c:pt idx="23">
                  <c:v>2.9279000000000002</c:v>
                </c:pt>
                <c:pt idx="24">
                  <c:v>1.4736</c:v>
                </c:pt>
                <c:pt idx="25">
                  <c:v>0.32279000000000002</c:v>
                </c:pt>
                <c:pt idx="26">
                  <c:v>0.47935</c:v>
                </c:pt>
                <c:pt idx="27">
                  <c:v>1.7359</c:v>
                </c:pt>
              </c:numCache>
            </c:numRef>
          </c:xVal>
          <c:yVal>
            <c:numRef>
              <c:f>'[3]Wet weights'!$K$5:$K$32</c:f>
              <c:numCache>
                <c:formatCode>General</c:formatCode>
                <c:ptCount val="28"/>
                <c:pt idx="0">
                  <c:v>5.7</c:v>
                </c:pt>
                <c:pt idx="1">
                  <c:v>10.45</c:v>
                </c:pt>
                <c:pt idx="2">
                  <c:v>0.45</c:v>
                </c:pt>
                <c:pt idx="3">
                  <c:v>3.8</c:v>
                </c:pt>
                <c:pt idx="4">
                  <c:v>5</c:v>
                </c:pt>
                <c:pt idx="5">
                  <c:v>4.5999999999999996</c:v>
                </c:pt>
                <c:pt idx="6">
                  <c:v>3.1</c:v>
                </c:pt>
                <c:pt idx="7">
                  <c:v>2.6</c:v>
                </c:pt>
                <c:pt idx="8">
                  <c:v>2.4500000000000002</c:v>
                </c:pt>
                <c:pt idx="9">
                  <c:v>3.8</c:v>
                </c:pt>
                <c:pt idx="11">
                  <c:v>0.62</c:v>
                </c:pt>
                <c:pt idx="12">
                  <c:v>1.29</c:v>
                </c:pt>
                <c:pt idx="13">
                  <c:v>0.252</c:v>
                </c:pt>
                <c:pt idx="14">
                  <c:v>2.66</c:v>
                </c:pt>
                <c:pt idx="15">
                  <c:v>2.1800000000000002</c:v>
                </c:pt>
                <c:pt idx="16">
                  <c:v>2.71</c:v>
                </c:pt>
                <c:pt idx="17">
                  <c:v>1.4</c:v>
                </c:pt>
                <c:pt idx="18">
                  <c:v>0.4</c:v>
                </c:pt>
                <c:pt idx="19">
                  <c:v>3.7</c:v>
                </c:pt>
                <c:pt idx="20">
                  <c:v>2.95</c:v>
                </c:pt>
                <c:pt idx="21">
                  <c:v>1.8</c:v>
                </c:pt>
                <c:pt idx="22">
                  <c:v>1.1000000000000001</c:v>
                </c:pt>
                <c:pt idx="23">
                  <c:v>3.15</c:v>
                </c:pt>
                <c:pt idx="24">
                  <c:v>1.5</c:v>
                </c:pt>
                <c:pt idx="25">
                  <c:v>0.3</c:v>
                </c:pt>
                <c:pt idx="26">
                  <c:v>0.53500000000000003</c:v>
                </c:pt>
                <c:pt idx="27">
                  <c:v>1.83</c:v>
                </c:pt>
              </c:numCache>
            </c:numRef>
          </c:yVal>
          <c:smooth val="0"/>
          <c:extLst>
            <c:ext xmlns:c16="http://schemas.microsoft.com/office/drawing/2014/chart" uri="{C3380CC4-5D6E-409C-BE32-E72D297353CC}">
              <c16:uniqueId val="{00000000-5758-4D05-A976-F568E80A3251}"/>
            </c:ext>
          </c:extLst>
        </c:ser>
        <c:dLbls>
          <c:showLegendKey val="0"/>
          <c:showVal val="0"/>
          <c:showCatName val="0"/>
          <c:showSerName val="0"/>
          <c:showPercent val="0"/>
          <c:showBubbleSize val="0"/>
        </c:dLbls>
        <c:axId val="140347072"/>
        <c:axId val="140347648"/>
      </c:scatterChart>
      <c:valAx>
        <c:axId val="140347072"/>
        <c:scaling>
          <c:orientation val="minMax"/>
        </c:scaling>
        <c:delete val="0"/>
        <c:axPos val="b"/>
        <c:title>
          <c:tx>
            <c:rich>
              <a:bodyPr/>
              <a:lstStyle/>
              <a:p>
                <a:pPr>
                  <a:defRPr sz="1400" b="1" i="0" u="none" strike="noStrike" baseline="0">
                    <a:solidFill>
                      <a:srgbClr val="000000"/>
                    </a:solidFill>
                    <a:latin typeface="Calibri"/>
                    <a:ea typeface="Calibri"/>
                    <a:cs typeface="Calibri"/>
                  </a:defRPr>
                </a:pPr>
                <a:r>
                  <a:rPr lang="en-CA"/>
                  <a:t>Sponge volume (L)</a:t>
                </a:r>
              </a:p>
            </c:rich>
          </c:tx>
          <c:layout>
            <c:manualLayout>
              <c:xMode val="edge"/>
              <c:yMode val="edge"/>
              <c:x val="0.27662288605676871"/>
              <c:y val="0.89198934970673793"/>
            </c:manualLayout>
          </c:layout>
          <c:overlay val="0"/>
          <c:spPr>
            <a:noFill/>
            <a:ln w="25400">
              <a:noFill/>
            </a:ln>
          </c:spPr>
        </c:title>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40347648"/>
        <c:crosses val="autoZero"/>
        <c:crossBetween val="midCat"/>
      </c:valAx>
      <c:valAx>
        <c:axId val="140347648"/>
        <c:scaling>
          <c:orientation val="minMax"/>
          <c:max val="12"/>
          <c:min val="0"/>
        </c:scaling>
        <c:delete val="0"/>
        <c:axPos val="l"/>
        <c:title>
          <c:tx>
            <c:rich>
              <a:bodyPr/>
              <a:lstStyle/>
              <a:p>
                <a:pPr>
                  <a:defRPr sz="1400" b="1" i="0" u="none" strike="noStrike" baseline="0">
                    <a:solidFill>
                      <a:srgbClr val="000000"/>
                    </a:solidFill>
                    <a:latin typeface="Calibri"/>
                    <a:ea typeface="Calibri"/>
                    <a:cs typeface="Calibri"/>
                  </a:defRPr>
                </a:pPr>
                <a:r>
                  <a:rPr lang="en-CA"/>
                  <a:t>Sponge wt (wet) </a:t>
                </a:r>
              </a:p>
            </c:rich>
          </c:tx>
          <c:layout>
            <c:manualLayout>
              <c:xMode val="edge"/>
              <c:yMode val="edge"/>
              <c:x val="1.1111291500933517E-2"/>
              <c:y val="0.15907747993594662"/>
            </c:manualLayout>
          </c:layout>
          <c:overlay val="0"/>
          <c:spPr>
            <a:noFill/>
            <a:ln w="25400">
              <a:noFill/>
            </a:ln>
          </c:spPr>
        </c:title>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40347072"/>
        <c:crosses val="autoZero"/>
        <c:crossBetween val="midCat"/>
        <c:majorUnit val="5"/>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17</xdr:col>
      <xdr:colOff>323850</xdr:colOff>
      <xdr:row>11</xdr:row>
      <xdr:rowOff>127000</xdr:rowOff>
    </xdr:from>
    <xdr:to>
      <xdr:col>23</xdr:col>
      <xdr:colOff>203200</xdr:colOff>
      <xdr:row>23</xdr:row>
      <xdr:rowOff>19049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336550</xdr:colOff>
      <xdr:row>23</xdr:row>
      <xdr:rowOff>114300</xdr:rowOff>
    </xdr:from>
    <xdr:to>
      <xdr:col>23</xdr:col>
      <xdr:colOff>196850</xdr:colOff>
      <xdr:row>31</xdr:row>
      <xdr:rowOff>50800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273051</xdr:colOff>
      <xdr:row>11</xdr:row>
      <xdr:rowOff>130175</xdr:rowOff>
    </xdr:from>
    <xdr:to>
      <xdr:col>29</xdr:col>
      <xdr:colOff>330201</xdr:colOff>
      <xdr:row>23</xdr:row>
      <xdr:rowOff>31750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295276</xdr:colOff>
      <xdr:row>32</xdr:row>
      <xdr:rowOff>47625</xdr:rowOff>
    </xdr:from>
    <xdr:to>
      <xdr:col>23</xdr:col>
      <xdr:colOff>209551</xdr:colOff>
      <xdr:row>44</xdr:row>
      <xdr:rowOff>180975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333374</xdr:colOff>
      <xdr:row>23</xdr:row>
      <xdr:rowOff>114300</xdr:rowOff>
    </xdr:from>
    <xdr:to>
      <xdr:col>29</xdr:col>
      <xdr:colOff>504825</xdr:colOff>
      <xdr:row>32</xdr:row>
      <xdr:rowOff>104775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590550</xdr:colOff>
      <xdr:row>29</xdr:row>
      <xdr:rowOff>66675</xdr:rowOff>
    </xdr:from>
    <xdr:to>
      <xdr:col>5</xdr:col>
      <xdr:colOff>95250</xdr:colOff>
      <xdr:row>48</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161925</xdr:colOff>
      <xdr:row>3</xdr:row>
      <xdr:rowOff>0</xdr:rowOff>
    </xdr:from>
    <xdr:to>
      <xdr:col>23</xdr:col>
      <xdr:colOff>466725</xdr:colOff>
      <xdr:row>15</xdr:row>
      <xdr:rowOff>85725</xdr:rowOff>
    </xdr:to>
    <xdr:graphicFrame macro="">
      <xdr:nvGraphicFramePr>
        <xdr:cNvPr id="2"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565150</xdr:colOff>
      <xdr:row>2</xdr:row>
      <xdr:rowOff>133350</xdr:rowOff>
    </xdr:from>
    <xdr:to>
      <xdr:col>31</xdr:col>
      <xdr:colOff>279400</xdr:colOff>
      <xdr:row>15</xdr:row>
      <xdr:rowOff>168275</xdr:rowOff>
    </xdr:to>
    <xdr:graphicFrame macro="">
      <xdr:nvGraphicFramePr>
        <xdr:cNvPr id="3"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196850</xdr:colOff>
      <xdr:row>16</xdr:row>
      <xdr:rowOff>28575</xdr:rowOff>
    </xdr:from>
    <xdr:to>
      <xdr:col>24</xdr:col>
      <xdr:colOff>92075</xdr:colOff>
      <xdr:row>30</xdr:row>
      <xdr:rowOff>12700</xdr:rowOff>
    </xdr:to>
    <xdr:graphicFrame macro="">
      <xdr:nvGraphicFramePr>
        <xdr:cNvPr id="4"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161925</xdr:colOff>
      <xdr:row>12</xdr:row>
      <xdr:rowOff>171450</xdr:rowOff>
    </xdr:from>
    <xdr:to>
      <xdr:col>14</xdr:col>
      <xdr:colOff>57150</xdr:colOff>
      <xdr:row>27</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200025</xdr:colOff>
      <xdr:row>31</xdr:row>
      <xdr:rowOff>28575</xdr:rowOff>
    </xdr:from>
    <xdr:to>
      <xdr:col>16</xdr:col>
      <xdr:colOff>314325</xdr:colOff>
      <xdr:row>45</xdr:row>
      <xdr:rowOff>104775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lly%20Leys/A-Sally%20portege%20files/Papers/current/Geodia%20-%20submitted%20Dec%2021-16/Budget%20paper%20-%20Apr%2022-2017.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aymondb/AppData/Local/Microsoft/Windows/Temporary%20Internet%20Files/Content.Outlook/IK8GUZ09/2015-07-20%20Sally%20TO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Owner\A-Sally%20portege%20files\collaborations\Raymond%20Bannister\2014%20Austervoll%20trip\Wet-Dry-Ash%20weights\Gbarretti_weight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apers%20&amp;%20analyses\Results%20and%20paper%20drafts%202015\Feeding%20and%20Respiration%20paper\Flux%20and%20respiration%20spreadsheets%20June%2016\Geodia%20flux4sp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Owner/appdata/roaming/qualcomm/eudora/attach/2014%20NH4%20analyses/Ammonium%20resul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1,3"/>
      <sheetName val="Tables 2 &amp; supp 1"/>
      <sheetName val="Table 4 comp rates"/>
      <sheetName val="Nutrient in-ex data"/>
      <sheetName val="Bacteria removal from In-Ex"/>
      <sheetName val="Respiration summary"/>
      <sheetName val="pumping summary"/>
      <sheetName val="TOC 15-07-20"/>
      <sheetName val="Geodia morphometrics"/>
      <sheetName val="Ash-free-dry weights 2014"/>
      <sheetName val="Ammonia 2014"/>
      <sheetName val="Scaling up"/>
      <sheetName val="Carbon conversions"/>
      <sheetName val="Control"/>
      <sheetName val="NatSed_Low"/>
      <sheetName val="NatSed_Med"/>
      <sheetName val="NatSed_High"/>
      <sheetName val="Barite low"/>
      <sheetName val="Barite medium"/>
      <sheetName val="Barite High"/>
      <sheetName val="Bent low"/>
      <sheetName val="Bent Med"/>
      <sheetName val="Bent High"/>
      <sheetName val="All Data Combined"/>
    </sheetNames>
    <sheetDataSet>
      <sheetData sheetId="0"/>
      <sheetData sheetId="1"/>
      <sheetData sheetId="2"/>
      <sheetData sheetId="3"/>
      <sheetData sheetId="4">
        <row r="61">
          <cell r="I61">
            <v>-224571.15384615384</v>
          </cell>
        </row>
      </sheetData>
      <sheetData sheetId="5">
        <row r="9">
          <cell r="D9" t="str">
            <v>osculum area</v>
          </cell>
          <cell r="H9" t="str">
            <v>volume flow rate</v>
          </cell>
          <cell r="L9" t="str">
            <v>Respiration rate</v>
          </cell>
          <cell r="M9" t="str">
            <v>volume corrected Respiration rate</v>
          </cell>
        </row>
        <row r="10">
          <cell r="D10" t="str">
            <v>(cm^2)</v>
          </cell>
          <cell r="K10" t="str">
            <v>(uMol/L)</v>
          </cell>
        </row>
        <row r="11">
          <cell r="C11">
            <v>1000</v>
          </cell>
          <cell r="D11">
            <v>0.64800000000000002</v>
          </cell>
          <cell r="I11">
            <v>22.266969533325053</v>
          </cell>
          <cell r="L11">
            <v>364.16132435776836</v>
          </cell>
          <cell r="M11">
            <v>0.36416132435776838</v>
          </cell>
          <cell r="N11">
            <v>1.4755251188763088</v>
          </cell>
          <cell r="P11">
            <v>9.0222301683514056E-2</v>
          </cell>
        </row>
        <row r="12">
          <cell r="C12">
            <v>500</v>
          </cell>
          <cell r="D12">
            <v>0.98299999999999998</v>
          </cell>
          <cell r="I12">
            <v>33.821941290759817</v>
          </cell>
          <cell r="L12">
            <v>518.22817815226131</v>
          </cell>
          <cell r="M12">
            <v>1.0364563563045226</v>
          </cell>
          <cell r="N12">
            <v>4.1692917880525791</v>
          </cell>
          <cell r="P12">
            <v>0.2721070525002019</v>
          </cell>
        </row>
        <row r="13">
          <cell r="C13">
            <v>1580</v>
          </cell>
          <cell r="D13">
            <v>1.6830000000000001</v>
          </cell>
          <cell r="I13">
            <v>19.831089098910319</v>
          </cell>
          <cell r="L13">
            <v>186.71558571507836</v>
          </cell>
          <cell r="M13">
            <v>0.11817442133865719</v>
          </cell>
          <cell r="N13">
            <v>0.51317012385382765</v>
          </cell>
          <cell r="P13">
            <v>5.4503872347182798E-2</v>
          </cell>
        </row>
        <row r="14">
          <cell r="C14">
            <v>1420</v>
          </cell>
          <cell r="D14">
            <v>1.476</v>
          </cell>
          <cell r="I14">
            <v>14.674472956279846</v>
          </cell>
          <cell r="L14">
            <v>349.17822362895043</v>
          </cell>
          <cell r="M14">
            <v>0.24590015748517635</v>
          </cell>
          <cell r="N14">
            <v>1.0725655582795233</v>
          </cell>
          <cell r="P14">
            <v>4.5075360414042462E-2</v>
          </cell>
        </row>
        <row r="15">
          <cell r="C15">
            <v>570</v>
          </cell>
          <cell r="D15">
            <v>0.96699999999999997</v>
          </cell>
          <cell r="I15">
            <v>10.542010787264182</v>
          </cell>
          <cell r="L15">
            <v>132.19251610851816</v>
          </cell>
          <cell r="M15">
            <v>0.23191669492722486</v>
          </cell>
          <cell r="N15">
            <v>0.91426462054973434</v>
          </cell>
          <cell r="P15">
            <v>7.2910235586538114E-2</v>
          </cell>
        </row>
        <row r="16">
          <cell r="C16">
            <v>3200</v>
          </cell>
          <cell r="D16">
            <v>0.94099999999999995</v>
          </cell>
          <cell r="I16">
            <v>9.497603739560013</v>
          </cell>
          <cell r="L16">
            <v>115.74420570353909</v>
          </cell>
          <cell r="M16">
            <v>3.6170064282355967E-2</v>
          </cell>
          <cell r="N16">
            <v>0.15150008086987421</v>
          </cell>
          <cell r="P16">
            <v>1.2431617858252451E-2</v>
          </cell>
        </row>
        <row r="17">
          <cell r="C17">
            <v>420</v>
          </cell>
          <cell r="D17">
            <v>0.53900000000000003</v>
          </cell>
          <cell r="I17">
            <v>17.86261234212331</v>
          </cell>
          <cell r="L17">
            <v>203.63639063173522</v>
          </cell>
          <cell r="M17">
            <v>0.4848485491231791</v>
          </cell>
          <cell r="N17">
            <v>2.2521129971054852</v>
          </cell>
          <cell r="P17">
            <v>0.19755123970304464</v>
          </cell>
        </row>
        <row r="18">
          <cell r="C18">
            <v>550</v>
          </cell>
          <cell r="D18">
            <v>1.3</v>
          </cell>
          <cell r="I18">
            <v>13.338014170083209</v>
          </cell>
          <cell r="L18">
            <v>263.18836687271857</v>
          </cell>
          <cell r="M18">
            <v>0.47852430340494284</v>
          </cell>
          <cell r="N18">
            <v>2.0770396593677751</v>
          </cell>
          <cell r="P18">
            <v>0.10526143209768087</v>
          </cell>
        </row>
        <row r="19">
          <cell r="C19">
            <v>2700</v>
          </cell>
          <cell r="D19">
            <v>0.88900000000000001</v>
          </cell>
          <cell r="I19">
            <v>13.306412853880271</v>
          </cell>
          <cell r="L19">
            <v>361.38839476442496</v>
          </cell>
          <cell r="M19">
            <v>0.1338475536164537</v>
          </cell>
          <cell r="N19">
            <v>0.61597922806864747</v>
          </cell>
          <cell r="P19">
            <v>2.2680512260054339E-2</v>
          </cell>
        </row>
        <row r="20">
          <cell r="C20">
            <v>500</v>
          </cell>
          <cell r="D20">
            <v>1.0880000000000001</v>
          </cell>
          <cell r="I20">
            <v>17.681089749805555</v>
          </cell>
          <cell r="L20">
            <v>305.30068051345097</v>
          </cell>
          <cell r="M20">
            <v>0.61060136102690199</v>
          </cell>
          <cell r="N20">
            <v>2.7976075667720353</v>
          </cell>
          <cell r="P20">
            <v>0.16201978452731347</v>
          </cell>
        </row>
        <row r="21">
          <cell r="C21">
            <v>600</v>
          </cell>
          <cell r="D21">
            <v>0.44400000000000001</v>
          </cell>
          <cell r="I21">
            <v>7.179722996243405</v>
          </cell>
          <cell r="L21">
            <v>85.580404373534634</v>
          </cell>
          <cell r="M21">
            <v>0.1426340072892244</v>
          </cell>
          <cell r="N21">
            <v>0.60639227158923426</v>
          </cell>
          <cell r="P21">
            <v>5.0872960567826822E-2</v>
          </cell>
        </row>
        <row r="22">
          <cell r="C22">
            <v>270</v>
          </cell>
          <cell r="D22">
            <v>0.32700000000000001</v>
          </cell>
          <cell r="I22">
            <v>5.1869297542864725</v>
          </cell>
          <cell r="L22">
            <v>56.655504521665826</v>
          </cell>
          <cell r="M22">
            <v>0.20983520193209565</v>
          </cell>
          <cell r="N22">
            <v>0.88636229182343784</v>
          </cell>
          <cell r="P22">
            <v>8.1148318832433897E-2</v>
          </cell>
        </row>
        <row r="23">
          <cell r="C23">
            <v>180</v>
          </cell>
          <cell r="D23">
            <v>0.69899999999999995</v>
          </cell>
          <cell r="I23">
            <v>5.1094476407400604</v>
          </cell>
          <cell r="L23">
            <v>74.479210385645743</v>
          </cell>
          <cell r="M23">
            <v>0.41377339103136523</v>
          </cell>
          <cell r="N23">
            <v>1.854182807353824</v>
          </cell>
          <cell r="P23">
            <v>0.12720126759507991</v>
          </cell>
        </row>
        <row r="24">
          <cell r="C24">
            <v>3500</v>
          </cell>
          <cell r="D24">
            <v>6.6349999999999998</v>
          </cell>
          <cell r="I24">
            <v>88.108402299241746</v>
          </cell>
          <cell r="L24">
            <v>1378.5694684317446</v>
          </cell>
          <cell r="M24">
            <v>0.39387699098049844</v>
          </cell>
          <cell r="N24">
            <v>1.8349635810802707</v>
          </cell>
          <cell r="P24">
            <v>0.11727788342084747</v>
          </cell>
        </row>
        <row r="25">
          <cell r="C25">
            <v>700</v>
          </cell>
          <cell r="D25">
            <v>0.45900000000000002</v>
          </cell>
          <cell r="I25">
            <v>7.5920164264538208</v>
          </cell>
          <cell r="L25">
            <v>111.90264569197467</v>
          </cell>
          <cell r="M25">
            <v>0.15986092241710667</v>
          </cell>
          <cell r="N25">
            <v>0.69736694164851787</v>
          </cell>
          <cell r="P25">
            <v>4.7312744426391266E-2</v>
          </cell>
        </row>
        <row r="26">
          <cell r="C26">
            <v>150</v>
          </cell>
          <cell r="D26">
            <v>0.22500000000000001</v>
          </cell>
          <cell r="I26">
            <v>3.7604395957415409</v>
          </cell>
          <cell r="L26">
            <v>37.835450490112216</v>
          </cell>
          <cell r="M26">
            <v>0.25223633660074812</v>
          </cell>
          <cell r="N26">
            <v>1.0733047868617305</v>
          </cell>
          <cell r="P26">
            <v>0.10667503007182552</v>
          </cell>
        </row>
        <row r="27">
          <cell r="C27">
            <v>1000</v>
          </cell>
          <cell r="D27">
            <v>0.85699999999999998</v>
          </cell>
          <cell r="I27">
            <v>9.5700666116105442</v>
          </cell>
          <cell r="L27">
            <v>131.4123992653914</v>
          </cell>
          <cell r="M27">
            <v>0.13141239926539139</v>
          </cell>
          <cell r="N27">
            <v>0.54715061588206793</v>
          </cell>
          <cell r="P27">
            <v>3.9846071374135095E-2</v>
          </cell>
        </row>
      </sheetData>
      <sheetData sheetId="6">
        <row r="9">
          <cell r="R9">
            <v>9.5451686956983242</v>
          </cell>
        </row>
        <row r="10">
          <cell r="R10">
            <v>9.5574605207301389</v>
          </cell>
        </row>
        <row r="11">
          <cell r="R11">
            <v>3.2731050866360198</v>
          </cell>
        </row>
        <row r="12">
          <cell r="R12">
            <v>2.7616819023411336</v>
          </cell>
        </row>
        <row r="13">
          <cell r="R13">
            <v>3.0282692138527469</v>
          </cell>
        </row>
        <row r="14">
          <cell r="R14">
            <v>2.8036378969063684</v>
          </cell>
        </row>
        <row r="15">
          <cell r="R15">
            <v>9.2056340662354703</v>
          </cell>
        </row>
        <row r="16">
          <cell r="R16">
            <v>2.8500030277955575</v>
          </cell>
        </row>
        <row r="17">
          <cell r="R17">
            <v>4.1577343000500786</v>
          </cell>
        </row>
        <row r="18">
          <cell r="R18">
            <v>4.5141671134103234</v>
          </cell>
        </row>
        <row r="20">
          <cell r="R20">
            <v>4.4918186913434717</v>
          </cell>
        </row>
        <row r="21">
          <cell r="R21">
            <v>4.4061584728903096</v>
          </cell>
        </row>
        <row r="22">
          <cell r="R22">
            <v>2.0304592436576301</v>
          </cell>
        </row>
        <row r="23">
          <cell r="R23">
            <v>3.6887047768249914</v>
          </cell>
        </row>
        <row r="24">
          <cell r="R24">
            <v>4.5945391106595377</v>
          </cell>
        </row>
        <row r="25">
          <cell r="R25">
            <v>4.642518019434001</v>
          </cell>
        </row>
        <row r="26">
          <cell r="R26">
            <v>3.1019274638955476</v>
          </cell>
        </row>
      </sheetData>
      <sheetData sheetId="7"/>
      <sheetData sheetId="8">
        <row r="31">
          <cell r="H31">
            <v>2.6116653846153848</v>
          </cell>
          <cell r="I31">
            <v>0.20834135496223288</v>
          </cell>
          <cell r="M31">
            <v>2.5856538461538459</v>
          </cell>
        </row>
      </sheetData>
      <sheetData sheetId="9"/>
      <sheetData sheetId="10"/>
      <sheetData sheetId="11"/>
      <sheetData sheetId="12"/>
      <sheetData sheetId="13">
        <row r="2">
          <cell r="G2" t="str">
            <v>14:55:30:00</v>
          </cell>
          <cell r="R2">
            <v>0.75138888888888899</v>
          </cell>
          <cell r="AB2">
            <v>0.75138888888888899</v>
          </cell>
        </row>
        <row r="3">
          <cell r="B3">
            <v>1746.4</v>
          </cell>
          <cell r="C3">
            <v>1580</v>
          </cell>
          <cell r="E3">
            <v>1.6830000000000001</v>
          </cell>
          <cell r="G3">
            <v>0.39583333333333331</v>
          </cell>
          <cell r="M3">
            <v>434</v>
          </cell>
          <cell r="N3">
            <v>420</v>
          </cell>
          <cell r="P3">
            <v>0.53900000000000003</v>
          </cell>
          <cell r="W3">
            <v>306.8</v>
          </cell>
          <cell r="X3">
            <v>270</v>
          </cell>
          <cell r="Z3">
            <v>0.32700000000000001</v>
          </cell>
        </row>
        <row r="4">
          <cell r="A4">
            <v>41191</v>
          </cell>
          <cell r="L4">
            <v>41193</v>
          </cell>
          <cell r="V4">
            <v>41196</v>
          </cell>
        </row>
        <row r="6">
          <cell r="A6">
            <v>0.62283564814814818</v>
          </cell>
          <cell r="L6" t="str">
            <v xml:space="preserve">   18:03:56</v>
          </cell>
          <cell r="V6">
            <v>0.90267361111111111</v>
          </cell>
        </row>
        <row r="146">
          <cell r="V146" t="str">
            <v xml:space="preserve">   09:19:51</v>
          </cell>
        </row>
        <row r="147">
          <cell r="W147">
            <v>1.2832639451345771</v>
          </cell>
          <cell r="X147">
            <v>0.34978524173027914</v>
          </cell>
        </row>
        <row r="189">
          <cell r="L189" t="str">
            <v xml:space="preserve">   09:18:56</v>
          </cell>
        </row>
        <row r="190">
          <cell r="M190">
            <v>2.0391323379773851</v>
          </cell>
          <cell r="N190">
            <v>0.36507336956521658</v>
          </cell>
        </row>
        <row r="225">
          <cell r="A225" t="str">
            <v xml:space="preserve">   09:11:52</v>
          </cell>
        </row>
        <row r="226">
          <cell r="B226">
            <v>2.2913970026157782</v>
          </cell>
          <cell r="C226">
            <v>0.30151140350876882</v>
          </cell>
        </row>
      </sheetData>
      <sheetData sheetId="14">
        <row r="3">
          <cell r="G3">
            <v>0.9375</v>
          </cell>
          <cell r="Q3">
            <v>0.87291666666666667</v>
          </cell>
          <cell r="AA3">
            <v>0.88541666666666663</v>
          </cell>
        </row>
        <row r="4">
          <cell r="B4">
            <v>1184.5999999999999</v>
          </cell>
          <cell r="C4">
            <v>1000</v>
          </cell>
          <cell r="E4">
            <v>0.64800000000000002</v>
          </cell>
          <cell r="G4">
            <v>0.4375</v>
          </cell>
          <cell r="L4">
            <v>694</v>
          </cell>
          <cell r="M4">
            <v>570</v>
          </cell>
          <cell r="O4">
            <v>0.96699999999999997</v>
          </cell>
          <cell r="Q4">
            <v>0.37847222222222227</v>
          </cell>
          <cell r="V4">
            <v>2816</v>
          </cell>
          <cell r="W4">
            <v>2700</v>
          </cell>
          <cell r="Y4">
            <v>0.88900000000000001</v>
          </cell>
          <cell r="AA4">
            <v>0.39583333333333331</v>
          </cell>
        </row>
        <row r="5">
          <cell r="K5">
            <v>41191</v>
          </cell>
          <cell r="U5">
            <v>41193</v>
          </cell>
        </row>
        <row r="7">
          <cell r="A7">
            <v>0.87706018518518514</v>
          </cell>
          <cell r="K7">
            <v>0.64094907407407409</v>
          </cell>
          <cell r="U7">
            <v>0.77357638888888891</v>
          </cell>
        </row>
        <row r="22">
          <cell r="A22">
            <v>0.92914351851851851</v>
          </cell>
        </row>
        <row r="23">
          <cell r="B23">
            <v>2.5575000000000001</v>
          </cell>
          <cell r="C23">
            <v>0.52372395833333241</v>
          </cell>
        </row>
        <row r="38">
          <cell r="U38">
            <v>0.88121527777777775</v>
          </cell>
        </row>
        <row r="39">
          <cell r="V39">
            <v>3.9912059247360143</v>
          </cell>
          <cell r="W39">
            <v>0.8697269841269839</v>
          </cell>
        </row>
        <row r="69">
          <cell r="K69">
            <v>0.86699074074074067</v>
          </cell>
        </row>
        <row r="70">
          <cell r="L70">
            <v>3.0954924889108733</v>
          </cell>
          <cell r="M70">
            <v>0.40156249999999849</v>
          </cell>
        </row>
        <row r="171">
          <cell r="A171">
            <v>0.43956018518518519</v>
          </cell>
        </row>
        <row r="188">
          <cell r="U188">
            <v>0.39510416666666665</v>
          </cell>
        </row>
        <row r="212">
          <cell r="K212">
            <v>0.38105324074074076</v>
          </cell>
        </row>
      </sheetData>
      <sheetData sheetId="15">
        <row r="2">
          <cell r="G2">
            <v>0.89930555555555547</v>
          </cell>
          <cell r="Q2">
            <v>0.91666666666666663</v>
          </cell>
        </row>
        <row r="3">
          <cell r="B3">
            <v>1407.6</v>
          </cell>
          <cell r="G3">
            <v>0.40625</v>
          </cell>
          <cell r="L3">
            <v>1152.8</v>
          </cell>
          <cell r="M3">
            <v>1000</v>
          </cell>
          <cell r="O3">
            <v>0.85699999999999998</v>
          </cell>
          <cell r="Q3">
            <v>0.33333333333333331</v>
          </cell>
        </row>
        <row r="4">
          <cell r="A4">
            <v>41194</v>
          </cell>
          <cell r="K4">
            <v>41199</v>
          </cell>
        </row>
        <row r="6">
          <cell r="K6">
            <v>0.67358796296296297</v>
          </cell>
        </row>
        <row r="39">
          <cell r="A39">
            <v>0.88678240740740744</v>
          </cell>
        </row>
        <row r="40">
          <cell r="B40">
            <v>2.8241657183388935</v>
          </cell>
        </row>
        <row r="74">
          <cell r="K74">
            <v>0.90969907407407413</v>
          </cell>
        </row>
        <row r="75">
          <cell r="L75">
            <v>3.0072563910759906</v>
          </cell>
          <cell r="M75">
            <v>0.43973508771929865</v>
          </cell>
        </row>
        <row r="191">
          <cell r="A191">
            <v>0.40761574074074075</v>
          </cell>
        </row>
        <row r="197">
          <cell r="K197">
            <v>0.32983796296296297</v>
          </cell>
        </row>
      </sheetData>
      <sheetData sheetId="16">
        <row r="2">
          <cell r="G2">
            <v>0.90277777777777779</v>
          </cell>
          <cell r="Q2">
            <v>0.92708333333333337</v>
          </cell>
        </row>
        <row r="3">
          <cell r="B3">
            <v>596.6</v>
          </cell>
          <cell r="C3">
            <v>500</v>
          </cell>
          <cell r="E3">
            <v>0.98299999999999998</v>
          </cell>
          <cell r="G3">
            <v>0.40625</v>
          </cell>
          <cell r="L3">
            <v>770.2</v>
          </cell>
          <cell r="M3">
            <v>700</v>
          </cell>
          <cell r="O3">
            <v>0.45900000000000002</v>
          </cell>
          <cell r="Q3">
            <v>0.42708333333333331</v>
          </cell>
          <cell r="W3">
            <v>2500</v>
          </cell>
          <cell r="Y3">
            <v>1.5549999999999999</v>
          </cell>
        </row>
        <row r="4">
          <cell r="A4">
            <v>41190</v>
          </cell>
          <cell r="K4">
            <v>41198</v>
          </cell>
        </row>
        <row r="6">
          <cell r="A6">
            <v>0.80136574074074074</v>
          </cell>
          <cell r="K6">
            <v>0.89986111111111111</v>
          </cell>
        </row>
        <row r="12">
          <cell r="K12">
            <v>0.92069444444444448</v>
          </cell>
        </row>
        <row r="13">
          <cell r="L13">
            <v>3.0191417393173898</v>
          </cell>
          <cell r="M13">
            <v>0.47201190476190419</v>
          </cell>
        </row>
        <row r="33">
          <cell r="A33">
            <v>0.89511574074074074</v>
          </cell>
        </row>
        <row r="34">
          <cell r="B34">
            <v>2.1287632163300549</v>
          </cell>
          <cell r="C34">
            <v>0.4906730769230786</v>
          </cell>
        </row>
        <row r="55">
          <cell r="V55">
            <v>1.1113619486549311</v>
          </cell>
          <cell r="W55">
            <v>0.35370045002616418</v>
          </cell>
        </row>
        <row r="160">
          <cell r="K160">
            <v>0.4276388888888889</v>
          </cell>
        </row>
        <row r="183">
          <cell r="A183">
            <v>0.40900462962962963</v>
          </cell>
        </row>
      </sheetData>
      <sheetData sheetId="17"/>
      <sheetData sheetId="18">
        <row r="1">
          <cell r="G1">
            <v>0.83888888888888891</v>
          </cell>
        </row>
        <row r="2">
          <cell r="B2">
            <v>3667</v>
          </cell>
          <cell r="C2">
            <v>3200</v>
          </cell>
          <cell r="E2">
            <v>0.94099999999999995</v>
          </cell>
          <cell r="G2">
            <v>0.34027777777777773</v>
          </cell>
          <cell r="M2">
            <v>3750</v>
          </cell>
          <cell r="O2">
            <v>2.3439999999999999</v>
          </cell>
        </row>
        <row r="3">
          <cell r="A3">
            <v>41192</v>
          </cell>
        </row>
        <row r="5">
          <cell r="A5">
            <v>0.64231481481481478</v>
          </cell>
        </row>
        <row r="56">
          <cell r="L56">
            <v>7.1698187506892994</v>
          </cell>
          <cell r="M56">
            <v>0.49793309056956297</v>
          </cell>
        </row>
        <row r="59">
          <cell r="A59">
            <v>0.82981481481481489</v>
          </cell>
        </row>
        <row r="60">
          <cell r="B60">
            <v>6.9559836237247303</v>
          </cell>
          <cell r="C60">
            <v>0.39026081730769174</v>
          </cell>
        </row>
        <row r="209">
          <cell r="A209">
            <v>0.34371527777777783</v>
          </cell>
        </row>
      </sheetData>
      <sheetData sheetId="19">
        <row r="1">
          <cell r="G1">
            <v>0.89861111111111114</v>
          </cell>
          <cell r="Q1">
            <v>0.91666666666666663</v>
          </cell>
          <cell r="AA1">
            <v>0.92708333333333337</v>
          </cell>
        </row>
        <row r="2">
          <cell r="B2">
            <v>523.79999999999995</v>
          </cell>
          <cell r="C2">
            <v>500</v>
          </cell>
          <cell r="E2">
            <v>1.0880000000000001</v>
          </cell>
          <cell r="G2">
            <v>0.40625</v>
          </cell>
          <cell r="L2">
            <v>169.2</v>
          </cell>
          <cell r="M2">
            <v>150</v>
          </cell>
          <cell r="O2">
            <v>0.22500000000000001</v>
          </cell>
          <cell r="Q2">
            <v>0.33333333333333331</v>
          </cell>
          <cell r="V2">
            <v>3606</v>
          </cell>
          <cell r="W2">
            <v>3500</v>
          </cell>
          <cell r="Y2">
            <v>6.6349999999999998</v>
          </cell>
          <cell r="AA2">
            <v>0.42708333333333331</v>
          </cell>
        </row>
        <row r="3">
          <cell r="A3">
            <v>41194</v>
          </cell>
          <cell r="K3">
            <v>41199</v>
          </cell>
          <cell r="U3">
            <v>41198</v>
          </cell>
        </row>
        <row r="5">
          <cell r="A5">
            <v>0.76731481481481489</v>
          </cell>
          <cell r="U5">
            <v>0.87554398148148149</v>
          </cell>
        </row>
        <row r="17">
          <cell r="U17">
            <v>0.91721064814814823</v>
          </cell>
        </row>
        <row r="18">
          <cell r="V18">
            <v>1.4533988239760949</v>
          </cell>
          <cell r="W18">
            <v>0.50105000000000199</v>
          </cell>
        </row>
        <row r="40">
          <cell r="A40">
            <v>0.88884259259259257</v>
          </cell>
        </row>
        <row r="41">
          <cell r="B41">
            <v>0.99002484126676238</v>
          </cell>
          <cell r="C41">
            <v>0.55295333333333396</v>
          </cell>
        </row>
        <row r="66">
          <cell r="L66">
            <v>1.5383718925170058</v>
          </cell>
          <cell r="M66">
            <v>0.32220333333333556</v>
          </cell>
        </row>
        <row r="166">
          <cell r="U166">
            <v>0.42762731481481481</v>
          </cell>
        </row>
        <row r="191">
          <cell r="A191">
            <v>0.40620370370370368</v>
          </cell>
        </row>
      </sheetData>
      <sheetData sheetId="20">
        <row r="1">
          <cell r="H1">
            <v>0.87291666666666667</v>
          </cell>
          <cell r="R1">
            <v>0.88541666666666663</v>
          </cell>
        </row>
        <row r="2">
          <cell r="C2">
            <v>1562.6</v>
          </cell>
          <cell r="D2">
            <v>1420</v>
          </cell>
          <cell r="F2">
            <v>1.476</v>
          </cell>
          <cell r="H2">
            <v>0.37847222222222227</v>
          </cell>
          <cell r="M2">
            <v>608.20000000000005</v>
          </cell>
          <cell r="N2">
            <v>550</v>
          </cell>
          <cell r="P2">
            <v>1.3</v>
          </cell>
          <cell r="R2">
            <v>0.39583333333333331</v>
          </cell>
        </row>
        <row r="3">
          <cell r="B3">
            <v>41191</v>
          </cell>
          <cell r="L3">
            <v>41193</v>
          </cell>
        </row>
        <row r="5">
          <cell r="B5">
            <v>0.74667824074074074</v>
          </cell>
          <cell r="L5">
            <v>0.77357638888888891</v>
          </cell>
        </row>
        <row r="35">
          <cell r="L35">
            <v>0.87774305555555554</v>
          </cell>
        </row>
        <row r="36">
          <cell r="M36">
            <v>3.1970784799276077</v>
          </cell>
          <cell r="N36">
            <v>0.63189548387096794</v>
          </cell>
        </row>
        <row r="37">
          <cell r="B37">
            <v>0.86334490740740744</v>
          </cell>
        </row>
        <row r="38">
          <cell r="C38">
            <v>2.0797917875245187</v>
          </cell>
          <cell r="D38">
            <v>0.7619989550679227</v>
          </cell>
        </row>
        <row r="185">
          <cell r="B185">
            <v>0.39563657407407399</v>
          </cell>
        </row>
        <row r="186">
          <cell r="L186">
            <v>0.39510416666666665</v>
          </cell>
        </row>
      </sheetData>
      <sheetData sheetId="21">
        <row r="2">
          <cell r="B2">
            <v>1267</v>
          </cell>
          <cell r="C2">
            <v>1370</v>
          </cell>
          <cell r="E2">
            <v>0.46400000000000002</v>
          </cell>
          <cell r="M2">
            <v>1575</v>
          </cell>
          <cell r="O2">
            <v>1.7030000000000001</v>
          </cell>
        </row>
        <row r="38">
          <cell r="B38">
            <v>2.2945859384921876</v>
          </cell>
          <cell r="C38">
            <v>0.38182291666666618</v>
          </cell>
        </row>
        <row r="55">
          <cell r="L55">
            <v>1.0994886012029503</v>
          </cell>
          <cell r="M55">
            <v>0.51575449133333362</v>
          </cell>
        </row>
      </sheetData>
      <sheetData sheetId="22">
        <row r="1">
          <cell r="G1">
            <v>0.9506944444444444</v>
          </cell>
        </row>
        <row r="2">
          <cell r="B2">
            <v>192.8</v>
          </cell>
          <cell r="C2">
            <v>180</v>
          </cell>
          <cell r="E2">
            <v>0.69899999999999995</v>
          </cell>
          <cell r="G2">
            <v>0.40625</v>
          </cell>
          <cell r="L2">
            <v>677.4</v>
          </cell>
          <cell r="M2">
            <v>600</v>
          </cell>
          <cell r="O2">
            <v>0.44400000000000001</v>
          </cell>
        </row>
        <row r="3">
          <cell r="A3">
            <v>41196</v>
          </cell>
        </row>
        <row r="5">
          <cell r="A5">
            <v>0.91234953703703703</v>
          </cell>
        </row>
        <row r="14">
          <cell r="A14">
            <v>0.94359953703703703</v>
          </cell>
        </row>
        <row r="15">
          <cell r="B15">
            <v>1.2983760845958048</v>
          </cell>
          <cell r="C15">
            <v>0.46680000000000099</v>
          </cell>
        </row>
        <row r="45">
          <cell r="M45">
            <v>0.38171250000000023</v>
          </cell>
        </row>
        <row r="161">
          <cell r="A161">
            <v>0.44707175925925802</v>
          </cell>
        </row>
      </sheetData>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Wet weights"/>
    </sheetNames>
    <sheetDataSet>
      <sheetData sheetId="0">
        <row r="11">
          <cell r="C11">
            <v>0</v>
          </cell>
          <cell r="E11">
            <v>0</v>
          </cell>
        </row>
        <row r="12">
          <cell r="C12">
            <v>0.75</v>
          </cell>
          <cell r="E12">
            <v>137.97166666666669</v>
          </cell>
        </row>
        <row r="13">
          <cell r="C13">
            <v>0.75</v>
          </cell>
          <cell r="E13">
            <v>131.60766666666666</v>
          </cell>
        </row>
        <row r="14">
          <cell r="C14">
            <v>0.75</v>
          </cell>
          <cell r="E14">
            <v>111.94266666666668</v>
          </cell>
        </row>
        <row r="15">
          <cell r="C15">
            <v>0.75</v>
          </cell>
          <cell r="E15">
            <v>133.93466666666666</v>
          </cell>
        </row>
        <row r="16">
          <cell r="C16">
            <v>1.5</v>
          </cell>
          <cell r="E16">
            <v>290.23166666666668</v>
          </cell>
        </row>
        <row r="17">
          <cell r="C17">
            <v>1.5</v>
          </cell>
          <cell r="E17">
            <v>298.70566666666667</v>
          </cell>
        </row>
        <row r="18">
          <cell r="C18">
            <v>1.5</v>
          </cell>
          <cell r="E18">
            <v>285.91566666666665</v>
          </cell>
        </row>
        <row r="19">
          <cell r="C19">
            <v>1.5</v>
          </cell>
          <cell r="E19">
            <v>307.88266666666664</v>
          </cell>
        </row>
        <row r="20">
          <cell r="C20">
            <v>2.25</v>
          </cell>
          <cell r="E20">
            <v>453.07566666666668</v>
          </cell>
        </row>
        <row r="21">
          <cell r="C21">
            <v>2.25</v>
          </cell>
          <cell r="E21">
            <v>464.82266666666663</v>
          </cell>
        </row>
        <row r="22">
          <cell r="C22">
            <v>2.25</v>
          </cell>
          <cell r="E22">
            <v>461.5306666666666</v>
          </cell>
        </row>
        <row r="23">
          <cell r="C23">
            <v>2.25</v>
          </cell>
          <cell r="E23">
            <v>454.26266666666669</v>
          </cell>
        </row>
        <row r="24">
          <cell r="C24">
            <v>3</v>
          </cell>
          <cell r="E24">
            <v>613.07966666666675</v>
          </cell>
        </row>
        <row r="25">
          <cell r="C25">
            <v>3</v>
          </cell>
          <cell r="E25">
            <v>629.48466666666673</v>
          </cell>
        </row>
        <row r="26">
          <cell r="C26">
            <v>3</v>
          </cell>
          <cell r="E26">
            <v>607.69466666666676</v>
          </cell>
        </row>
        <row r="27">
          <cell r="C27">
            <v>3</v>
          </cell>
          <cell r="E27">
            <v>633.75766666666675</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t weights"/>
      <sheetName val="Wet_Dry_Ash weights"/>
      <sheetName val="AFDW sheet - 6-6-14"/>
      <sheetName val="Sheet2"/>
    </sheetNames>
    <sheetDataSet>
      <sheetData sheetId="0">
        <row r="5">
          <cell r="B5">
            <v>16581.375</v>
          </cell>
          <cell r="C5">
            <v>11475</v>
          </cell>
          <cell r="H5">
            <v>6.18</v>
          </cell>
          <cell r="I5">
            <v>1.0629599999999999</v>
          </cell>
          <cell r="K5">
            <v>5.7</v>
          </cell>
        </row>
        <row r="6">
          <cell r="C6">
            <v>23430</v>
          </cell>
          <cell r="H6">
            <v>9.2200000000000006</v>
          </cell>
          <cell r="I6">
            <v>1.4291</v>
          </cell>
          <cell r="K6">
            <v>10.45</v>
          </cell>
        </row>
        <row r="7">
          <cell r="C7">
            <v>892.5</v>
          </cell>
          <cell r="H7">
            <v>0.52</v>
          </cell>
          <cell r="I7">
            <v>0.11752000000000001</v>
          </cell>
          <cell r="K7">
            <v>0.45</v>
          </cell>
        </row>
        <row r="8">
          <cell r="C8">
            <v>8360</v>
          </cell>
          <cell r="H8">
            <v>3.96</v>
          </cell>
          <cell r="I8">
            <v>0.78408</v>
          </cell>
          <cell r="K8">
            <v>3.8</v>
          </cell>
        </row>
        <row r="9">
          <cell r="C9">
            <v>12622.5</v>
          </cell>
          <cell r="H9">
            <v>5.9</v>
          </cell>
          <cell r="I9">
            <v>1.1564000000000001</v>
          </cell>
          <cell r="K9">
            <v>5</v>
          </cell>
        </row>
        <row r="10">
          <cell r="C10">
            <v>12799.5</v>
          </cell>
          <cell r="H10">
            <v>4.5999999999999996</v>
          </cell>
          <cell r="I10">
            <v>0.82799999999999996</v>
          </cell>
          <cell r="K10">
            <v>4.5999999999999996</v>
          </cell>
        </row>
        <row r="11">
          <cell r="C11">
            <v>7581</v>
          </cell>
          <cell r="H11">
            <v>3.12</v>
          </cell>
          <cell r="K11">
            <v>3.1</v>
          </cell>
        </row>
        <row r="12">
          <cell r="C12">
            <v>3740</v>
          </cell>
          <cell r="H12">
            <v>3.29</v>
          </cell>
          <cell r="I12">
            <v>0.69089999999999996</v>
          </cell>
          <cell r="K12">
            <v>2.6</v>
          </cell>
        </row>
        <row r="13">
          <cell r="C13">
            <v>4252.5</v>
          </cell>
          <cell r="H13">
            <v>2.54</v>
          </cell>
          <cell r="I13">
            <v>0.47244000000000003</v>
          </cell>
          <cell r="K13">
            <v>2.4500000000000002</v>
          </cell>
        </row>
        <row r="14">
          <cell r="C14">
            <v>7749</v>
          </cell>
          <cell r="H14">
            <v>3.68</v>
          </cell>
          <cell r="I14">
            <v>0.76912000000000003</v>
          </cell>
          <cell r="K14">
            <v>3.8</v>
          </cell>
        </row>
        <row r="15">
          <cell r="C15">
            <v>0</v>
          </cell>
        </row>
        <row r="16">
          <cell r="C16">
            <v>1309</v>
          </cell>
          <cell r="H16">
            <v>0.7026</v>
          </cell>
          <cell r="I16">
            <v>0.14022828047999999</v>
          </cell>
          <cell r="K16">
            <v>0.62</v>
          </cell>
        </row>
        <row r="17">
          <cell r="C17">
            <v>2501.25</v>
          </cell>
          <cell r="H17">
            <v>1.2769999999999999</v>
          </cell>
          <cell r="I17">
            <v>0.28475117968300001</v>
          </cell>
          <cell r="K17">
            <v>1.29</v>
          </cell>
        </row>
        <row r="18">
          <cell r="C18">
            <v>607.5</v>
          </cell>
          <cell r="H18">
            <v>0.39012999999999998</v>
          </cell>
          <cell r="I18">
            <v>8.2707559999999999E-2</v>
          </cell>
          <cell r="K18">
            <v>0.252</v>
          </cell>
        </row>
        <row r="19">
          <cell r="C19">
            <v>6090</v>
          </cell>
          <cell r="H19">
            <v>3.0295299999999998</v>
          </cell>
          <cell r="I19">
            <v>0.65286371499999996</v>
          </cell>
          <cell r="K19">
            <v>2.66</v>
          </cell>
        </row>
        <row r="20">
          <cell r="C20">
            <v>5643</v>
          </cell>
          <cell r="H20">
            <v>2.3506999999999998</v>
          </cell>
          <cell r="I20">
            <v>0.46097226999999996</v>
          </cell>
          <cell r="K20">
            <v>2.1800000000000002</v>
          </cell>
        </row>
        <row r="21">
          <cell r="C21">
            <v>4588</v>
          </cell>
          <cell r="H21">
            <v>2.8353999999999999</v>
          </cell>
          <cell r="I21">
            <v>0.65724572000000003</v>
          </cell>
          <cell r="K21">
            <v>2.71</v>
          </cell>
        </row>
        <row r="22">
          <cell r="C22">
            <v>2625</v>
          </cell>
          <cell r="H22">
            <v>1.5424</v>
          </cell>
          <cell r="I22">
            <v>0.29459839999999998</v>
          </cell>
          <cell r="K22">
            <v>1.4</v>
          </cell>
        </row>
        <row r="23">
          <cell r="C23">
            <v>640</v>
          </cell>
          <cell r="H23">
            <v>0.4632</v>
          </cell>
          <cell r="I23">
            <v>0.1028304</v>
          </cell>
          <cell r="K23">
            <v>0.4</v>
          </cell>
        </row>
        <row r="24">
          <cell r="C24">
            <v>6708</v>
          </cell>
          <cell r="H24">
            <v>3.3757999999999999</v>
          </cell>
          <cell r="I24">
            <v>0.71566959999999991</v>
          </cell>
          <cell r="K24">
            <v>3.7</v>
          </cell>
        </row>
        <row r="25">
          <cell r="C25">
            <v>4845</v>
          </cell>
          <cell r="H25">
            <v>2.5466000000000002</v>
          </cell>
          <cell r="I25">
            <v>0.50677340000000004</v>
          </cell>
          <cell r="K25">
            <v>2.95</v>
          </cell>
        </row>
        <row r="26">
          <cell r="C26">
            <v>3371.25</v>
          </cell>
          <cell r="H26">
            <v>1.6093999999999999</v>
          </cell>
          <cell r="I26">
            <v>0.37981839999999994</v>
          </cell>
          <cell r="K26">
            <v>1.8</v>
          </cell>
        </row>
        <row r="27">
          <cell r="C27">
            <v>2175</v>
          </cell>
          <cell r="H27">
            <v>0.95099999999999996</v>
          </cell>
          <cell r="I27">
            <v>0.22633799999999998</v>
          </cell>
          <cell r="K27">
            <v>1.1000000000000001</v>
          </cell>
        </row>
        <row r="28">
          <cell r="C28">
            <v>6773.5</v>
          </cell>
          <cell r="H28">
            <v>2.9279000000000002</v>
          </cell>
          <cell r="I28">
            <v>0.62949850000000007</v>
          </cell>
          <cell r="K28">
            <v>3.15</v>
          </cell>
        </row>
        <row r="29">
          <cell r="C29">
            <v>2242.5</v>
          </cell>
          <cell r="H29">
            <v>1.4736</v>
          </cell>
          <cell r="I29">
            <v>0.2917728</v>
          </cell>
          <cell r="K29">
            <v>1.5</v>
          </cell>
        </row>
        <row r="30">
          <cell r="C30">
            <v>476</v>
          </cell>
          <cell r="H30">
            <v>0.32279000000000002</v>
          </cell>
          <cell r="I30">
            <v>7.5532860000000007E-2</v>
          </cell>
          <cell r="K30">
            <v>0.3</v>
          </cell>
        </row>
        <row r="31">
          <cell r="C31">
            <v>765</v>
          </cell>
          <cell r="H31">
            <v>0.47935</v>
          </cell>
          <cell r="I31">
            <v>0.105457</v>
          </cell>
          <cell r="K31">
            <v>0.53500000000000003</v>
          </cell>
        </row>
        <row r="32">
          <cell r="C32">
            <v>3360</v>
          </cell>
          <cell r="H32">
            <v>1.7359</v>
          </cell>
          <cell r="I32">
            <v>0.45133400000000001</v>
          </cell>
          <cell r="K32">
            <v>1.83</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Data Combined"/>
      <sheetName val="Grazing rate comparisons"/>
      <sheetName val="In-ex Only good Data"/>
      <sheetName val="Bact retention vs ambient"/>
      <sheetName val="Feedingdata2011"/>
      <sheetName val="NH4 2014"/>
      <sheetName val="jun2014_Nuts"/>
      <sheetName val="Things to try"/>
      <sheetName val="Kutti-et-al2013 Table S1"/>
    </sheetNames>
    <sheetDataSet>
      <sheetData sheetId="0"/>
      <sheetData sheetId="1"/>
      <sheetData sheetId="2">
        <row r="2">
          <cell r="G2" t="str">
            <v>Bacteria cells/ml</v>
          </cell>
        </row>
      </sheetData>
      <sheetData sheetId="3"/>
      <sheetData sheetId="4"/>
      <sheetData sheetId="5">
        <row r="9">
          <cell r="F9" t="str">
            <v>IN</v>
          </cell>
          <cell r="G9" t="str">
            <v>EX</v>
          </cell>
        </row>
        <row r="10">
          <cell r="E10" t="str">
            <v>G1</v>
          </cell>
          <cell r="F10">
            <v>153.28310512363413</v>
          </cell>
          <cell r="G10">
            <v>109.12898518341984</v>
          </cell>
        </row>
        <row r="11">
          <cell r="E11" t="str">
            <v>G2</v>
          </cell>
          <cell r="F11">
            <v>153.28310512363413</v>
          </cell>
          <cell r="G11">
            <v>235.42167014085808</v>
          </cell>
        </row>
        <row r="12">
          <cell r="E12" t="str">
            <v>G3</v>
          </cell>
          <cell r="F12">
            <v>153.28310512363413</v>
          </cell>
          <cell r="G12">
            <v>105.40327468276244</v>
          </cell>
        </row>
        <row r="13">
          <cell r="E13" t="str">
            <v>G4</v>
          </cell>
          <cell r="F13">
            <v>153.28310512363413</v>
          </cell>
          <cell r="G13">
            <v>124.25308098369946</v>
          </cell>
        </row>
        <row r="14">
          <cell r="E14" t="str">
            <v>G5</v>
          </cell>
          <cell r="F14">
            <v>153.28310512363413</v>
          </cell>
          <cell r="G14">
            <v>128.1161214277258</v>
          </cell>
        </row>
        <row r="15">
          <cell r="E15" t="str">
            <v>G6</v>
          </cell>
          <cell r="F15">
            <v>81.753578654170767</v>
          </cell>
          <cell r="G15">
            <v>35.418563490645276</v>
          </cell>
        </row>
        <row r="16">
          <cell r="E16" t="str">
            <v>G7</v>
          </cell>
          <cell r="F16">
            <v>81.753578654170767</v>
          </cell>
          <cell r="G16">
            <v>51.118778987994467</v>
          </cell>
        </row>
        <row r="17">
          <cell r="E17" t="str">
            <v>G8</v>
          </cell>
          <cell r="F17">
            <v>81.753578654170767</v>
          </cell>
          <cell r="G17">
            <v>53.679157071655567</v>
          </cell>
        </row>
        <row r="18">
          <cell r="E18" t="str">
            <v>G9</v>
          </cell>
          <cell r="F18">
            <v>81.753578654170767</v>
          </cell>
          <cell r="G18">
            <v>21.843404523583043</v>
          </cell>
        </row>
        <row r="19">
          <cell r="E19" t="str">
            <v>G10</v>
          </cell>
          <cell r="F19">
            <v>81.753578654170767</v>
          </cell>
          <cell r="G19">
            <v>34.871547591339599</v>
          </cell>
        </row>
        <row r="20">
          <cell r="E20" t="str">
            <v>G11</v>
          </cell>
          <cell r="F20">
            <v>32.498288292216522</v>
          </cell>
          <cell r="G20">
            <v>17.801520708039465</v>
          </cell>
        </row>
        <row r="21">
          <cell r="E21" t="str">
            <v>G12</v>
          </cell>
          <cell r="F21">
            <v>32.498288292216522</v>
          </cell>
          <cell r="G21">
            <v>16.400280069419345</v>
          </cell>
        </row>
        <row r="22">
          <cell r="E22" t="str">
            <v>G13</v>
          </cell>
          <cell r="F22">
            <v>32.498288292216522</v>
          </cell>
          <cell r="G22">
            <v>17.825909390040763</v>
          </cell>
        </row>
        <row r="23">
          <cell r="E23" t="str">
            <v>G14</v>
          </cell>
          <cell r="F23">
            <v>32.498288292216522</v>
          </cell>
          <cell r="G23">
            <v>24.625917362584921</v>
          </cell>
        </row>
        <row r="24">
          <cell r="E24" t="str">
            <v>G15</v>
          </cell>
          <cell r="F24">
            <v>32.498288292216522</v>
          </cell>
          <cell r="G24">
            <v>22.907623857947907</v>
          </cell>
        </row>
        <row r="25">
          <cell r="E25" t="str">
            <v>G16</v>
          </cell>
          <cell r="F25">
            <v>42.148076804064054</v>
          </cell>
          <cell r="G25">
            <v>18.355808935341727</v>
          </cell>
        </row>
        <row r="26">
          <cell r="E26" t="str">
            <v>G17</v>
          </cell>
          <cell r="F26">
            <v>42.148076804064054</v>
          </cell>
          <cell r="G26">
            <v>18.338071712068057</v>
          </cell>
        </row>
        <row r="27">
          <cell r="E27" t="str">
            <v>G18</v>
          </cell>
          <cell r="F27">
            <v>42.148076804064054</v>
          </cell>
          <cell r="G27">
            <v>18.695033330450713</v>
          </cell>
        </row>
        <row r="28">
          <cell r="E28" t="str">
            <v>G19</v>
          </cell>
          <cell r="F28">
            <v>42.148076804064054</v>
          </cell>
          <cell r="G28">
            <v>20.628390667281007</v>
          </cell>
        </row>
        <row r="29">
          <cell r="E29" t="str">
            <v>G20</v>
          </cell>
          <cell r="F29">
            <v>42.148076804064054</v>
          </cell>
          <cell r="G29">
            <v>21.723664204430275</v>
          </cell>
        </row>
        <row r="30">
          <cell r="E30" t="str">
            <v>G21</v>
          </cell>
          <cell r="F30">
            <v>42.148076804064054</v>
          </cell>
          <cell r="G30">
            <v>43.547100289774967</v>
          </cell>
        </row>
        <row r="31">
          <cell r="E31" t="str">
            <v>G22</v>
          </cell>
          <cell r="F31">
            <v>28.657953354691209</v>
          </cell>
          <cell r="G31">
            <v>21.640665377362602</v>
          </cell>
        </row>
        <row r="32">
          <cell r="E32" t="str">
            <v>G23</v>
          </cell>
          <cell r="F32">
            <v>28.657953354691209</v>
          </cell>
          <cell r="G32">
            <v>11.89174711067327</v>
          </cell>
        </row>
        <row r="33">
          <cell r="E33" t="str">
            <v>G24</v>
          </cell>
          <cell r="F33">
            <v>28.657953354691209</v>
          </cell>
          <cell r="G33">
            <v>11.40573065749521</v>
          </cell>
        </row>
        <row r="34">
          <cell r="E34" t="str">
            <v>G25</v>
          </cell>
          <cell r="F34">
            <v>28.657953354691209</v>
          </cell>
          <cell r="G34">
            <v>10.601148798032371</v>
          </cell>
        </row>
        <row r="35">
          <cell r="E35" t="str">
            <v>G26</v>
          </cell>
          <cell r="F35">
            <v>28.657953354691209</v>
          </cell>
          <cell r="G35">
            <v>7.3501479851774469</v>
          </cell>
        </row>
        <row r="36">
          <cell r="E36" t="str">
            <v>G27</v>
          </cell>
          <cell r="F36">
            <v>28.930912175033505</v>
          </cell>
          <cell r="G36">
            <v>14.848687548496093</v>
          </cell>
        </row>
        <row r="37">
          <cell r="E37" t="str">
            <v>G28</v>
          </cell>
          <cell r="F37">
            <v>28.930912175033505</v>
          </cell>
          <cell r="G37">
            <v>15.189035204783249</v>
          </cell>
        </row>
        <row r="38">
          <cell r="E38" t="str">
            <v>G29</v>
          </cell>
          <cell r="F38">
            <v>28.930912175033505</v>
          </cell>
          <cell r="G38">
            <v>10.511297016772563</v>
          </cell>
        </row>
        <row r="39">
          <cell r="E39" t="str">
            <v>G30</v>
          </cell>
          <cell r="F39">
            <v>28.930912175033505</v>
          </cell>
          <cell r="G39">
            <v>7.5257673758216175</v>
          </cell>
        </row>
        <row r="40">
          <cell r="E40" t="str">
            <v>G31</v>
          </cell>
          <cell r="F40">
            <v>28.930912175033505</v>
          </cell>
          <cell r="G40">
            <v>12.309694032593899</v>
          </cell>
        </row>
        <row r="43">
          <cell r="F43">
            <v>44.952120177754118</v>
          </cell>
          <cell r="G43">
            <v>20.798730054081769</v>
          </cell>
        </row>
        <row r="46">
          <cell r="F46">
            <v>6.7414802626203967</v>
          </cell>
          <cell r="G46">
            <v>2.6500842423689579</v>
          </cell>
        </row>
      </sheetData>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6-14"/>
      <sheetName val="5-6-14 AM"/>
      <sheetName val="5-6-14 PM"/>
      <sheetName val="6-6-14"/>
      <sheetName val="7-6-14"/>
      <sheetName val="8-6-14"/>
      <sheetName val="Summary NH4 results"/>
      <sheetName val="Other NH4 levels"/>
    </sheetNames>
    <sheetDataSet>
      <sheetData sheetId="0" refreshError="1">
        <row r="8">
          <cell r="F8">
            <v>36.877195236935506</v>
          </cell>
        </row>
        <row r="9">
          <cell r="F9">
            <v>25.350111428675532</v>
          </cell>
        </row>
        <row r="10">
          <cell r="F10">
            <v>28.286725772561834</v>
          </cell>
        </row>
        <row r="11">
          <cell r="F11">
            <v>28.473691881043557</v>
          </cell>
        </row>
      </sheetData>
      <sheetData sheetId="1" refreshError="1">
        <row r="7">
          <cell r="A7" t="str">
            <v>G1</v>
          </cell>
          <cell r="F7">
            <v>109.12898518341984</v>
          </cell>
        </row>
        <row r="8">
          <cell r="A8" t="str">
            <v>G2</v>
          </cell>
          <cell r="F8">
            <v>235.42167014085808</v>
          </cell>
        </row>
        <row r="9">
          <cell r="A9" t="str">
            <v>G3</v>
          </cell>
          <cell r="F9">
            <v>105.40327468276244</v>
          </cell>
        </row>
        <row r="10">
          <cell r="A10" t="str">
            <v>G4</v>
          </cell>
          <cell r="F10">
            <v>124.25308098369946</v>
          </cell>
        </row>
        <row r="11">
          <cell r="A11" t="str">
            <v>G5</v>
          </cell>
          <cell r="F11">
            <v>128.1161214277258</v>
          </cell>
        </row>
        <row r="12">
          <cell r="A12" t="str">
            <v>IN1</v>
          </cell>
          <cell r="F12">
            <v>111.90864496309121</v>
          </cell>
        </row>
        <row r="13">
          <cell r="A13" t="str">
            <v>IN2</v>
          </cell>
          <cell r="F13">
            <v>157.78956178381497</v>
          </cell>
        </row>
        <row r="14">
          <cell r="A14" t="str">
            <v>IN3</v>
          </cell>
          <cell r="F14">
            <v>190.15110862399621</v>
          </cell>
        </row>
        <row r="15">
          <cell r="A15" t="str">
            <v>Fish farm water</v>
          </cell>
          <cell r="F15">
            <v>50.367028304109212</v>
          </cell>
        </row>
      </sheetData>
      <sheetData sheetId="2" refreshError="1">
        <row r="7">
          <cell r="F7">
            <v>35.418563490645276</v>
          </cell>
        </row>
        <row r="8">
          <cell r="F8">
            <v>51.118778987994467</v>
          </cell>
        </row>
        <row r="9">
          <cell r="F9">
            <v>53.679157071655567</v>
          </cell>
        </row>
        <row r="10">
          <cell r="F10">
            <v>21.843404523583043</v>
          </cell>
        </row>
        <row r="11">
          <cell r="F11">
            <v>34.871547591339599</v>
          </cell>
        </row>
        <row r="12">
          <cell r="F12">
            <v>111.13301024427906</v>
          </cell>
        </row>
        <row r="13">
          <cell r="F13">
            <v>65.10061993255097</v>
          </cell>
        </row>
        <row r="14">
          <cell r="F14">
            <v>69.027105785682252</v>
          </cell>
        </row>
      </sheetData>
      <sheetData sheetId="3" refreshError="1">
        <row r="6">
          <cell r="A6" t="str">
            <v>T1 (Tank 1)</v>
          </cell>
          <cell r="F6">
            <v>46.89955858010017</v>
          </cell>
        </row>
        <row r="7">
          <cell r="A7" t="str">
            <v>T1</v>
          </cell>
          <cell r="F7">
            <v>45.512348252696086</v>
          </cell>
        </row>
        <row r="8">
          <cell r="A8" t="str">
            <v>T1</v>
          </cell>
          <cell r="F8">
            <v>60.367143967799251</v>
          </cell>
        </row>
        <row r="9">
          <cell r="A9" t="str">
            <v>T1</v>
          </cell>
          <cell r="F9">
            <v>48.932363109948561</v>
          </cell>
        </row>
        <row r="10">
          <cell r="A10" t="str">
            <v>T1</v>
          </cell>
          <cell r="F10">
            <v>47.753540784599295</v>
          </cell>
        </row>
        <row r="11">
          <cell r="A11" t="str">
            <v>T2 (Tank 2)</v>
          </cell>
          <cell r="F11">
            <v>32.326699573659397</v>
          </cell>
        </row>
        <row r="12">
          <cell r="A12" t="str">
            <v>T2</v>
          </cell>
          <cell r="F12">
            <v>38.049197551654714</v>
          </cell>
        </row>
        <row r="13">
          <cell r="A13" t="str">
            <v>T2</v>
          </cell>
          <cell r="F13">
            <v>34.341116926855882</v>
          </cell>
        </row>
        <row r="14">
          <cell r="A14" t="str">
            <v>T2</v>
          </cell>
          <cell r="F14">
            <v>38.049197551654714</v>
          </cell>
        </row>
        <row r="15">
          <cell r="A15" t="str">
            <v>T2</v>
          </cell>
          <cell r="F15">
            <v>35.664993645792322</v>
          </cell>
        </row>
        <row r="16">
          <cell r="A16" t="str">
            <v>Geodia water (left overnight)</v>
          </cell>
          <cell r="F16">
            <v>984.13072688049192</v>
          </cell>
        </row>
        <row r="17">
          <cell r="A17" t="str">
            <v>Mycale water (1 hour)</v>
          </cell>
          <cell r="F17">
            <v>11392.059274409836</v>
          </cell>
        </row>
      </sheetData>
      <sheetData sheetId="4" refreshError="1">
        <row r="5">
          <cell r="A5" t="str">
            <v>G11</v>
          </cell>
          <cell r="F5">
            <v>17.801520708039465</v>
          </cell>
        </row>
        <row r="6">
          <cell r="A6" t="str">
            <v>G12</v>
          </cell>
          <cell r="F6">
            <v>16.400280069419345</v>
          </cell>
        </row>
        <row r="7">
          <cell r="A7" t="str">
            <v>G13</v>
          </cell>
          <cell r="F7">
            <v>17.825909390040763</v>
          </cell>
        </row>
        <row r="8">
          <cell r="A8" t="str">
            <v>G14</v>
          </cell>
          <cell r="F8">
            <v>24.625917362584921</v>
          </cell>
        </row>
        <row r="9">
          <cell r="A9" t="str">
            <v>G15</v>
          </cell>
          <cell r="F9">
            <v>22.907623857947907</v>
          </cell>
        </row>
        <row r="10">
          <cell r="A10" t="str">
            <v>IN7</v>
          </cell>
          <cell r="F10">
            <v>30.947020306739926</v>
          </cell>
        </row>
        <row r="11">
          <cell r="A11" t="str">
            <v>IN8</v>
          </cell>
          <cell r="F11">
            <v>30.674310498907211</v>
          </cell>
        </row>
        <row r="12">
          <cell r="A12" t="str">
            <v>IN9</v>
          </cell>
          <cell r="F12">
            <v>35.873534071002432</v>
          </cell>
        </row>
        <row r="13">
          <cell r="A13" t="str">
            <v>G16</v>
          </cell>
          <cell r="F13">
            <v>18.355808935341727</v>
          </cell>
        </row>
        <row r="14">
          <cell r="A14" t="str">
            <v>G17</v>
          </cell>
          <cell r="F14">
            <v>18.338071712068057</v>
          </cell>
        </row>
        <row r="15">
          <cell r="A15" t="str">
            <v>G18</v>
          </cell>
          <cell r="F15">
            <v>18.695033330450713</v>
          </cell>
        </row>
        <row r="16">
          <cell r="A16" t="str">
            <v>G19</v>
          </cell>
          <cell r="F16">
            <v>20.628390667281007</v>
          </cell>
        </row>
        <row r="17">
          <cell r="A17" t="str">
            <v>G20</v>
          </cell>
          <cell r="F17">
            <v>21.723664204430275</v>
          </cell>
        </row>
        <row r="18">
          <cell r="A18" t="str">
            <v>G21</v>
          </cell>
          <cell r="F18">
            <v>43.547100289774967</v>
          </cell>
        </row>
        <row r="19">
          <cell r="A19" t="str">
            <v>IN10</v>
          </cell>
          <cell r="F19">
            <v>39.999655635040483</v>
          </cell>
        </row>
        <row r="20">
          <cell r="A20" t="str">
            <v>IN11</v>
          </cell>
          <cell r="F20">
            <v>42.467346822990159</v>
          </cell>
        </row>
        <row r="21">
          <cell r="A21" t="str">
            <v>IN12</v>
          </cell>
          <cell r="F21">
            <v>43.977227954161513</v>
          </cell>
        </row>
      </sheetData>
      <sheetData sheetId="5" refreshError="1">
        <row r="11">
          <cell r="A11" t="str">
            <v>G22</v>
          </cell>
          <cell r="F11">
            <v>21.640665377362602</v>
          </cell>
        </row>
        <row r="12">
          <cell r="A12" t="str">
            <v>G23</v>
          </cell>
          <cell r="F12">
            <v>11.89174711067327</v>
          </cell>
        </row>
        <row r="13">
          <cell r="A13" t="str">
            <v>G24</v>
          </cell>
          <cell r="F13">
            <v>11.40573065749521</v>
          </cell>
        </row>
        <row r="14">
          <cell r="A14" t="str">
            <v>G25</v>
          </cell>
          <cell r="F14">
            <v>10.601148798032371</v>
          </cell>
        </row>
        <row r="15">
          <cell r="A15" t="str">
            <v>G26</v>
          </cell>
          <cell r="F15">
            <v>7.3501479851774469</v>
          </cell>
        </row>
        <row r="16">
          <cell r="A16" t="str">
            <v>IN13</v>
          </cell>
          <cell r="F16">
            <v>33.999369472461858</v>
          </cell>
        </row>
        <row r="18">
          <cell r="A18" t="str">
            <v>IN15</v>
          </cell>
          <cell r="F18">
            <v>23.316537236920563</v>
          </cell>
        </row>
        <row r="19">
          <cell r="A19" t="str">
            <v>G27</v>
          </cell>
          <cell r="F19">
            <v>14.848687548496093</v>
          </cell>
        </row>
        <row r="20">
          <cell r="A20" t="str">
            <v>G28</v>
          </cell>
          <cell r="F20">
            <v>15.189035204783249</v>
          </cell>
        </row>
        <row r="21">
          <cell r="A21" t="str">
            <v>G29</v>
          </cell>
          <cell r="F21">
            <v>10.511297016772563</v>
          </cell>
        </row>
        <row r="22">
          <cell r="A22" t="str">
            <v>G30</v>
          </cell>
          <cell r="F22">
            <v>7.5257673758216175</v>
          </cell>
        </row>
        <row r="23">
          <cell r="A23" t="str">
            <v>G31</v>
          </cell>
          <cell r="F23">
            <v>12.309694032593899</v>
          </cell>
        </row>
        <row r="24">
          <cell r="A24" t="str">
            <v>IN16</v>
          </cell>
          <cell r="F24">
            <v>21.553536377353087</v>
          </cell>
        </row>
        <row r="25">
          <cell r="A25" t="str">
            <v>IN17</v>
          </cell>
          <cell r="F25">
            <v>36.308287972713927</v>
          </cell>
        </row>
      </sheetData>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
  <sheetViews>
    <sheetView tabSelected="1" workbookViewId="0">
      <selection activeCell="A9" sqref="A9"/>
    </sheetView>
  </sheetViews>
  <sheetFormatPr defaultRowHeight="14.5" x14ac:dyDescent="0.35"/>
  <cols>
    <col min="6" max="6" width="8.7265625" customWidth="1"/>
  </cols>
  <sheetData>
    <row r="1" spans="1:30" ht="17.5" x14ac:dyDescent="0.35">
      <c r="A1" s="58" t="s">
        <v>121</v>
      </c>
    </row>
    <row r="2" spans="1:30" x14ac:dyDescent="0.35">
      <c r="A2" t="s">
        <v>0</v>
      </c>
    </row>
    <row r="5" spans="1:30" s="242" customFormat="1" x14ac:dyDescent="0.35">
      <c r="A5" s="242" t="s">
        <v>1</v>
      </c>
      <c r="B5" s="242" t="s">
        <v>2</v>
      </c>
      <c r="E5" s="242" t="s">
        <v>3</v>
      </c>
      <c r="F5" s="242" t="s">
        <v>4</v>
      </c>
      <c r="G5" s="242" t="s">
        <v>5</v>
      </c>
      <c r="K5" s="242" t="s">
        <v>6</v>
      </c>
      <c r="O5" s="242" t="s">
        <v>7</v>
      </c>
      <c r="S5" s="242" t="s">
        <v>8</v>
      </c>
      <c r="W5" s="242" t="s">
        <v>9</v>
      </c>
      <c r="AA5" s="242" t="s">
        <v>10</v>
      </c>
    </row>
    <row r="6" spans="1:30" x14ac:dyDescent="0.35">
      <c r="C6" t="s">
        <v>11</v>
      </c>
      <c r="D6" t="s">
        <v>12</v>
      </c>
      <c r="G6" t="s">
        <v>11</v>
      </c>
      <c r="H6" t="s">
        <v>12</v>
      </c>
      <c r="I6" t="s">
        <v>13</v>
      </c>
      <c r="J6" t="s">
        <v>14</v>
      </c>
      <c r="K6" t="s">
        <v>11</v>
      </c>
      <c r="L6" t="s">
        <v>12</v>
      </c>
      <c r="M6" t="s">
        <v>13</v>
      </c>
      <c r="N6" t="s">
        <v>14</v>
      </c>
      <c r="O6" t="s">
        <v>11</v>
      </c>
      <c r="P6" t="s">
        <v>12</v>
      </c>
      <c r="Q6" t="s">
        <v>13</v>
      </c>
      <c r="R6" t="s">
        <v>14</v>
      </c>
      <c r="S6" t="s">
        <v>11</v>
      </c>
      <c r="T6" t="s">
        <v>12</v>
      </c>
      <c r="U6" t="s">
        <v>13</v>
      </c>
      <c r="V6" t="s">
        <v>14</v>
      </c>
      <c r="W6" t="s">
        <v>11</v>
      </c>
      <c r="X6" t="s">
        <v>12</v>
      </c>
      <c r="Y6" t="s">
        <v>13</v>
      </c>
      <c r="Z6" t="s">
        <v>14</v>
      </c>
      <c r="AA6" t="s">
        <v>11</v>
      </c>
      <c r="AB6" t="s">
        <v>12</v>
      </c>
      <c r="AC6" t="s">
        <v>13</v>
      </c>
      <c r="AD6" t="s">
        <v>14</v>
      </c>
    </row>
    <row r="7" spans="1:30" x14ac:dyDescent="0.35">
      <c r="A7">
        <v>1</v>
      </c>
      <c r="B7">
        <v>2011</v>
      </c>
      <c r="C7">
        <v>1</v>
      </c>
      <c r="D7">
        <v>2</v>
      </c>
      <c r="E7" t="s">
        <v>15</v>
      </c>
      <c r="F7">
        <v>1681</v>
      </c>
      <c r="G7">
        <v>284800</v>
      </c>
      <c r="H7">
        <v>4000</v>
      </c>
      <c r="I7">
        <v>-280800</v>
      </c>
      <c r="J7">
        <v>-98.595505617977537</v>
      </c>
      <c r="K7" t="s">
        <v>16</v>
      </c>
      <c r="O7">
        <v>6.8000000000000005E-2</v>
      </c>
      <c r="P7">
        <v>2.5000000000000001E-2</v>
      </c>
      <c r="Q7">
        <v>-4.3000000000000003E-2</v>
      </c>
      <c r="R7">
        <v>-63.235294117647058</v>
      </c>
      <c r="S7">
        <v>11.637</v>
      </c>
      <c r="T7">
        <v>16.324999999999999</v>
      </c>
      <c r="U7">
        <v>4.6879999999999988</v>
      </c>
      <c r="V7">
        <v>40.285296897825887</v>
      </c>
      <c r="W7">
        <v>0.88600000000000001</v>
      </c>
      <c r="X7">
        <v>0.97799999999999998</v>
      </c>
      <c r="Y7">
        <v>9.1999999999999971E-2</v>
      </c>
      <c r="Z7">
        <v>10.383747178329568</v>
      </c>
      <c r="AA7">
        <v>6.5609999999999999</v>
      </c>
      <c r="AB7">
        <v>6.47</v>
      </c>
      <c r="AC7">
        <v>-9.1000000000000192E-2</v>
      </c>
      <c r="AD7">
        <v>-1.3869836915104434</v>
      </c>
    </row>
    <row r="8" spans="1:30" x14ac:dyDescent="0.35">
      <c r="A8">
        <v>2</v>
      </c>
      <c r="B8">
        <v>2011</v>
      </c>
      <c r="C8">
        <v>3</v>
      </c>
      <c r="D8">
        <v>4</v>
      </c>
      <c r="E8" t="s">
        <v>17</v>
      </c>
      <c r="F8">
        <v>1065</v>
      </c>
      <c r="O8">
        <v>6.0999999999999999E-2</v>
      </c>
      <c r="P8">
        <v>1.6E-2</v>
      </c>
      <c r="Q8">
        <v>-4.4999999999999998E-2</v>
      </c>
      <c r="R8">
        <v>-73.770491803278688</v>
      </c>
      <c r="S8">
        <v>11.815</v>
      </c>
      <c r="T8">
        <v>14.579000000000001</v>
      </c>
      <c r="U8">
        <v>2.7640000000000011</v>
      </c>
      <c r="V8">
        <v>23.393990689801111</v>
      </c>
      <c r="W8">
        <v>0.89700000000000002</v>
      </c>
      <c r="X8">
        <v>1.095</v>
      </c>
      <c r="Y8">
        <v>0.19799999999999995</v>
      </c>
      <c r="Z8">
        <v>22.07357859531772</v>
      </c>
      <c r="AA8">
        <v>6.63</v>
      </c>
      <c r="AB8">
        <v>6.452</v>
      </c>
      <c r="AC8">
        <v>-0.17799999999999994</v>
      </c>
      <c r="AD8">
        <v>-2.6847662141779782</v>
      </c>
    </row>
    <row r="9" spans="1:30" x14ac:dyDescent="0.35">
      <c r="A9">
        <v>3</v>
      </c>
      <c r="B9">
        <v>2011</v>
      </c>
      <c r="C9">
        <v>5</v>
      </c>
      <c r="D9">
        <v>6</v>
      </c>
      <c r="E9" t="s">
        <v>18</v>
      </c>
      <c r="F9">
        <v>1365</v>
      </c>
      <c r="G9">
        <v>276800</v>
      </c>
      <c r="H9">
        <v>2100</v>
      </c>
      <c r="I9">
        <v>-274700</v>
      </c>
      <c r="J9">
        <v>-99.24132947976878</v>
      </c>
      <c r="O9">
        <v>5.6000000000000001E-2</v>
      </c>
      <c r="P9">
        <v>0.01</v>
      </c>
      <c r="Q9">
        <v>-4.5999999999999999E-2</v>
      </c>
      <c r="R9">
        <v>-82.142857142857139</v>
      </c>
      <c r="S9">
        <v>11.957000000000001</v>
      </c>
      <c r="T9">
        <v>13.505000000000001</v>
      </c>
      <c r="U9">
        <v>1.548</v>
      </c>
      <c r="V9">
        <v>12.94639123525968</v>
      </c>
      <c r="W9">
        <v>0.90300000000000002</v>
      </c>
      <c r="X9">
        <v>0.95199999999999996</v>
      </c>
      <c r="Y9">
        <v>4.8999999999999932E-2</v>
      </c>
      <c r="Z9">
        <v>5.4263565891472787</v>
      </c>
      <c r="AA9">
        <v>6.625</v>
      </c>
      <c r="AB9">
        <v>6.5839999999999996</v>
      </c>
      <c r="AC9">
        <v>-4.1000000000000369E-2</v>
      </c>
      <c r="AD9">
        <v>-0.61886792452830752</v>
      </c>
    </row>
    <row r="10" spans="1:30" x14ac:dyDescent="0.35">
      <c r="A10">
        <v>4</v>
      </c>
      <c r="B10">
        <v>2011</v>
      </c>
      <c r="C10">
        <v>7</v>
      </c>
      <c r="D10">
        <v>8</v>
      </c>
      <c r="E10" t="s">
        <v>19</v>
      </c>
      <c r="F10">
        <v>2509</v>
      </c>
      <c r="G10">
        <v>269200</v>
      </c>
      <c r="H10">
        <v>5000</v>
      </c>
      <c r="I10">
        <v>-264200</v>
      </c>
      <c r="J10">
        <v>-98.142644873699851</v>
      </c>
      <c r="O10">
        <v>0.06</v>
      </c>
      <c r="P10">
        <v>1.4E-2</v>
      </c>
      <c r="Q10">
        <v>-4.5999999999999999E-2</v>
      </c>
      <c r="R10">
        <v>-76.666666666666671</v>
      </c>
      <c r="S10">
        <v>11.961</v>
      </c>
      <c r="T10">
        <v>15.082000000000001</v>
      </c>
      <c r="U10">
        <v>3.1210000000000004</v>
      </c>
      <c r="V10">
        <v>26.093136025415937</v>
      </c>
      <c r="W10">
        <v>0.90400000000000003</v>
      </c>
      <c r="X10">
        <v>1.004</v>
      </c>
      <c r="Y10">
        <v>9.9999999999999978E-2</v>
      </c>
      <c r="Z10">
        <v>11.061946902654865</v>
      </c>
      <c r="AA10">
        <v>6.617</v>
      </c>
      <c r="AB10">
        <v>6.4119999999999999</v>
      </c>
      <c r="AC10">
        <v>-0.20500000000000007</v>
      </c>
      <c r="AD10">
        <v>-3.0980807012241209</v>
      </c>
    </row>
    <row r="11" spans="1:30" x14ac:dyDescent="0.35">
      <c r="A11">
        <v>5</v>
      </c>
      <c r="B11">
        <v>2011</v>
      </c>
      <c r="C11">
        <v>9</v>
      </c>
      <c r="D11">
        <v>10</v>
      </c>
      <c r="E11" t="s">
        <v>20</v>
      </c>
      <c r="F11">
        <v>1572</v>
      </c>
      <c r="G11">
        <v>271100</v>
      </c>
      <c r="H11">
        <v>11400</v>
      </c>
      <c r="I11">
        <v>-259700</v>
      </c>
      <c r="J11">
        <v>-95.794909627443744</v>
      </c>
      <c r="O11">
        <v>4.7E-2</v>
      </c>
      <c r="P11">
        <v>0.02</v>
      </c>
      <c r="Q11">
        <v>-2.7E-2</v>
      </c>
      <c r="R11">
        <v>-57.446808510638292</v>
      </c>
      <c r="S11">
        <v>11.945</v>
      </c>
      <c r="T11">
        <v>12.721</v>
      </c>
      <c r="U11">
        <v>0.7759999999999998</v>
      </c>
      <c r="V11">
        <v>6.4964420259522804</v>
      </c>
      <c r="W11">
        <v>0.89200000000000002</v>
      </c>
      <c r="X11">
        <v>0.91300000000000003</v>
      </c>
      <c r="Y11">
        <v>2.1000000000000019E-2</v>
      </c>
      <c r="Z11">
        <v>2.3542600896861008</v>
      </c>
      <c r="AA11">
        <v>6.5819999999999999</v>
      </c>
      <c r="AB11">
        <v>6.5350000000000001</v>
      </c>
      <c r="AC11">
        <v>-4.6999999999999709E-2</v>
      </c>
      <c r="AD11">
        <v>-0.71406867213612446</v>
      </c>
    </row>
    <row r="12" spans="1:30" x14ac:dyDescent="0.35">
      <c r="A12">
        <v>6</v>
      </c>
      <c r="B12">
        <v>2011</v>
      </c>
      <c r="C12">
        <v>12</v>
      </c>
      <c r="D12">
        <v>11</v>
      </c>
      <c r="E12" t="s">
        <v>21</v>
      </c>
      <c r="F12">
        <v>882</v>
      </c>
      <c r="G12">
        <v>291900</v>
      </c>
      <c r="H12">
        <v>19300</v>
      </c>
      <c r="I12">
        <v>-272600</v>
      </c>
      <c r="J12">
        <v>-93.388146625556701</v>
      </c>
      <c r="O12">
        <v>6.2E-2</v>
      </c>
      <c r="P12">
        <v>1.2999999999999999E-2</v>
      </c>
      <c r="Q12">
        <v>-4.9000000000000002E-2</v>
      </c>
      <c r="R12">
        <v>-79.032258064516142</v>
      </c>
      <c r="S12">
        <v>11.47</v>
      </c>
      <c r="T12">
        <v>12.506</v>
      </c>
      <c r="U12">
        <v>1.0359999999999996</v>
      </c>
      <c r="V12">
        <v>9.0322580645161246</v>
      </c>
      <c r="W12">
        <v>0.877</v>
      </c>
      <c r="X12">
        <v>0.91700000000000004</v>
      </c>
      <c r="Y12">
        <v>4.0000000000000036E-2</v>
      </c>
      <c r="Z12">
        <v>4.56100342075257</v>
      </c>
      <c r="AA12">
        <v>6.5819999999999999</v>
      </c>
      <c r="AB12">
        <v>6.48</v>
      </c>
      <c r="AC12">
        <v>-0.10199999999999942</v>
      </c>
      <c r="AD12">
        <v>-1.5496809480401008</v>
      </c>
    </row>
    <row r="13" spans="1:30" x14ac:dyDescent="0.35">
      <c r="A13">
        <v>7</v>
      </c>
      <c r="B13">
        <v>2011</v>
      </c>
      <c r="C13">
        <v>17</v>
      </c>
      <c r="D13">
        <v>13</v>
      </c>
      <c r="E13" t="s">
        <v>22</v>
      </c>
      <c r="F13">
        <v>882</v>
      </c>
      <c r="G13">
        <v>264100</v>
      </c>
      <c r="H13">
        <v>7800</v>
      </c>
      <c r="I13">
        <v>-256300</v>
      </c>
      <c r="J13">
        <v>-97.046573267701632</v>
      </c>
      <c r="O13">
        <v>0.06</v>
      </c>
      <c r="P13">
        <v>2.3E-2</v>
      </c>
      <c r="Q13">
        <v>-3.6999999999999998E-2</v>
      </c>
      <c r="R13">
        <v>-61.666666666666671</v>
      </c>
      <c r="S13">
        <v>11.492000000000001</v>
      </c>
      <c r="T13">
        <v>13.217000000000001</v>
      </c>
      <c r="U13">
        <v>1.7249999999999996</v>
      </c>
      <c r="V13">
        <v>15.010442046641137</v>
      </c>
      <c r="W13">
        <v>1.17</v>
      </c>
      <c r="X13">
        <v>0.91300000000000003</v>
      </c>
      <c r="Y13">
        <v>-0.2569999999999999</v>
      </c>
      <c r="Z13">
        <v>-21.965811965811959</v>
      </c>
      <c r="AA13">
        <v>6.5659999999999998</v>
      </c>
      <c r="AB13">
        <v>6.4660000000000002</v>
      </c>
      <c r="AC13">
        <v>-9.9999999999999645E-2</v>
      </c>
      <c r="AD13">
        <v>-1.5229972586049292</v>
      </c>
    </row>
    <row r="14" spans="1:30" x14ac:dyDescent="0.35">
      <c r="B14">
        <v>2011</v>
      </c>
      <c r="C14">
        <v>17</v>
      </c>
      <c r="D14">
        <v>15</v>
      </c>
      <c r="E14" t="s">
        <v>23</v>
      </c>
      <c r="F14">
        <v>1380</v>
      </c>
      <c r="H14">
        <v>6800</v>
      </c>
      <c r="I14">
        <v>-257300</v>
      </c>
      <c r="J14">
        <v>-97.425217720560397</v>
      </c>
      <c r="P14">
        <v>8.0000000000000002E-3</v>
      </c>
      <c r="Q14">
        <v>-5.1999999999999998E-2</v>
      </c>
      <c r="R14">
        <v>-86.666666666666671</v>
      </c>
      <c r="T14">
        <v>14.916</v>
      </c>
      <c r="U14">
        <v>3.4239999999999995</v>
      </c>
      <c r="V14">
        <v>29.794639749390871</v>
      </c>
      <c r="X14">
        <v>1.03</v>
      </c>
      <c r="Y14">
        <v>-0.1399999999999999</v>
      </c>
      <c r="Z14">
        <v>-11.965811965811959</v>
      </c>
      <c r="AB14">
        <v>6.54</v>
      </c>
      <c r="AC14">
        <v>-2.5999999999999801E-2</v>
      </c>
      <c r="AD14">
        <v>-0.39597928723727993</v>
      </c>
    </row>
    <row r="15" spans="1:30" x14ac:dyDescent="0.35">
      <c r="B15">
        <v>2011</v>
      </c>
      <c r="C15">
        <v>17</v>
      </c>
      <c r="D15">
        <v>16</v>
      </c>
      <c r="E15" t="s">
        <v>24</v>
      </c>
      <c r="F15">
        <v>2520</v>
      </c>
      <c r="H15">
        <v>6100</v>
      </c>
      <c r="I15">
        <v>-258000</v>
      </c>
      <c r="J15">
        <v>-97.690268837561533</v>
      </c>
      <c r="P15">
        <v>8.0000000000000002E-3</v>
      </c>
      <c r="Q15">
        <v>-5.1999999999999998E-2</v>
      </c>
      <c r="R15">
        <v>-86.666666666666671</v>
      </c>
      <c r="T15">
        <v>12.481999999999999</v>
      </c>
      <c r="U15">
        <v>0.98999999999999844</v>
      </c>
      <c r="V15">
        <v>8.6146884789418579</v>
      </c>
      <c r="X15">
        <v>1.0069999999999999</v>
      </c>
      <c r="Y15">
        <v>-0.16300000000000003</v>
      </c>
      <c r="Z15">
        <v>-13.931623931623935</v>
      </c>
      <c r="AB15">
        <v>6.63</v>
      </c>
      <c r="AC15">
        <v>6.4000000000000057E-2</v>
      </c>
      <c r="AD15">
        <v>0.97471824550715902</v>
      </c>
    </row>
    <row r="16" spans="1:30" x14ac:dyDescent="0.35">
      <c r="A16">
        <v>8</v>
      </c>
      <c r="B16">
        <v>2011</v>
      </c>
      <c r="C16">
        <v>22</v>
      </c>
      <c r="D16">
        <v>18</v>
      </c>
      <c r="E16" t="s">
        <v>25</v>
      </c>
      <c r="F16">
        <v>888</v>
      </c>
      <c r="G16">
        <v>276200</v>
      </c>
      <c r="H16">
        <v>22700</v>
      </c>
      <c r="I16">
        <v>-253500</v>
      </c>
      <c r="J16">
        <v>-91.781317885590155</v>
      </c>
      <c r="O16">
        <v>5.6000000000000001E-2</v>
      </c>
      <c r="P16">
        <v>0.02</v>
      </c>
      <c r="Q16">
        <v>-3.6000000000000004E-2</v>
      </c>
      <c r="R16">
        <v>-64.285714285714292</v>
      </c>
      <c r="S16">
        <v>11.462</v>
      </c>
      <c r="T16">
        <v>12.976000000000001</v>
      </c>
      <c r="U16">
        <v>1.5140000000000011</v>
      </c>
      <c r="V16">
        <v>13.208864072587692</v>
      </c>
      <c r="W16">
        <v>0.86299999999999999</v>
      </c>
      <c r="X16">
        <v>0.90300000000000002</v>
      </c>
      <c r="Y16">
        <v>4.0000000000000036E-2</v>
      </c>
      <c r="Z16">
        <v>4.6349942062572467</v>
      </c>
      <c r="AA16">
        <v>6.5339999999999998</v>
      </c>
      <c r="AB16">
        <v>6.3319999999999999</v>
      </c>
      <c r="AC16">
        <v>-0.20199999999999996</v>
      </c>
      <c r="AD16">
        <v>-3.0915212733394548</v>
      </c>
    </row>
    <row r="17" spans="1:30" x14ac:dyDescent="0.35">
      <c r="B17">
        <v>2011</v>
      </c>
      <c r="C17">
        <v>22</v>
      </c>
      <c r="D17">
        <v>19</v>
      </c>
      <c r="E17" t="s">
        <v>26</v>
      </c>
      <c r="F17">
        <v>560</v>
      </c>
      <c r="H17">
        <v>12300</v>
      </c>
      <c r="I17">
        <v>-263900</v>
      </c>
      <c r="J17">
        <v>-95.546705286024618</v>
      </c>
      <c r="P17">
        <v>7.0000000000000001E-3</v>
      </c>
      <c r="Q17">
        <v>-4.9000000000000002E-2</v>
      </c>
      <c r="R17">
        <v>-87.5</v>
      </c>
      <c r="T17">
        <v>12.342000000000001</v>
      </c>
      <c r="U17">
        <v>0.88000000000000078</v>
      </c>
      <c r="V17">
        <v>7.6775431861804284</v>
      </c>
      <c r="X17">
        <v>0.89800000000000002</v>
      </c>
      <c r="Y17">
        <v>3.5000000000000031E-2</v>
      </c>
      <c r="Z17">
        <v>4.0556199304750908</v>
      </c>
      <c r="AB17">
        <v>6.5060000000000002</v>
      </c>
      <c r="AC17">
        <v>-2.7999999999999581E-2</v>
      </c>
      <c r="AD17">
        <v>-0.42852770125496753</v>
      </c>
    </row>
    <row r="18" spans="1:30" x14ac:dyDescent="0.35">
      <c r="B18">
        <v>2011</v>
      </c>
      <c r="C18">
        <v>22</v>
      </c>
      <c r="D18">
        <v>20</v>
      </c>
      <c r="E18" t="s">
        <v>27</v>
      </c>
      <c r="F18">
        <v>1380</v>
      </c>
      <c r="H18">
        <v>9800</v>
      </c>
      <c r="I18">
        <v>-266400</v>
      </c>
      <c r="J18">
        <v>-96.451846488052141</v>
      </c>
      <c r="P18">
        <v>8.0000000000000002E-3</v>
      </c>
      <c r="Q18">
        <v>-4.8000000000000001E-2</v>
      </c>
      <c r="R18">
        <v>-85.714285714285708</v>
      </c>
      <c r="T18">
        <v>15.472</v>
      </c>
      <c r="U18">
        <v>4.01</v>
      </c>
      <c r="V18">
        <v>34.985168382481241</v>
      </c>
      <c r="X18">
        <v>0.95499999999999996</v>
      </c>
      <c r="Y18">
        <v>9.1999999999999971E-2</v>
      </c>
      <c r="Z18">
        <v>10.660486674391652</v>
      </c>
      <c r="AB18">
        <v>6.4169999999999998</v>
      </c>
      <c r="AC18">
        <v>-0.11699999999999999</v>
      </c>
      <c r="AD18">
        <v>-1.7906336088154271</v>
      </c>
    </row>
    <row r="19" spans="1:30" x14ac:dyDescent="0.35">
      <c r="B19">
        <v>2011</v>
      </c>
      <c r="C19">
        <v>22</v>
      </c>
      <c r="D19">
        <v>21</v>
      </c>
      <c r="E19" t="s">
        <v>28</v>
      </c>
      <c r="F19">
        <v>2943</v>
      </c>
      <c r="H19">
        <v>4600</v>
      </c>
      <c r="I19">
        <v>-271600</v>
      </c>
      <c r="J19">
        <v>-98.334540188269372</v>
      </c>
      <c r="P19">
        <v>6.0000000000000001E-3</v>
      </c>
      <c r="Q19">
        <v>-0.05</v>
      </c>
      <c r="R19">
        <v>-89.285714285714292</v>
      </c>
      <c r="T19">
        <v>13.339</v>
      </c>
      <c r="U19">
        <v>1.8770000000000007</v>
      </c>
      <c r="V19">
        <v>16.375850636887112</v>
      </c>
      <c r="X19">
        <v>0.92300000000000004</v>
      </c>
      <c r="Y19">
        <v>6.0000000000000053E-2</v>
      </c>
      <c r="Z19">
        <v>6.9524913093858691</v>
      </c>
      <c r="AB19">
        <v>6.47</v>
      </c>
      <c r="AC19">
        <v>-6.4000000000000057E-2</v>
      </c>
      <c r="AD19">
        <v>-0.97949188858279856</v>
      </c>
    </row>
    <row r="20" spans="1:30" x14ac:dyDescent="0.35">
      <c r="A20">
        <v>9</v>
      </c>
      <c r="B20">
        <v>2011</v>
      </c>
      <c r="C20">
        <v>27</v>
      </c>
      <c r="D20">
        <v>24</v>
      </c>
      <c r="E20" t="s">
        <v>29</v>
      </c>
      <c r="F20">
        <v>922</v>
      </c>
      <c r="G20">
        <v>259400</v>
      </c>
      <c r="H20">
        <v>13200</v>
      </c>
      <c r="I20">
        <v>-246200</v>
      </c>
      <c r="J20">
        <v>-94.911333847340018</v>
      </c>
      <c r="P20">
        <v>7.0000000000000001E-3</v>
      </c>
      <c r="Q20">
        <v>-4.2000000000000003E-2</v>
      </c>
      <c r="R20">
        <v>-85.714285714285722</v>
      </c>
      <c r="T20">
        <v>12.532999999999999</v>
      </c>
      <c r="U20">
        <v>1.0759999999999987</v>
      </c>
      <c r="V20">
        <v>9.3916382997294114</v>
      </c>
      <c r="X20">
        <v>0.91700000000000004</v>
      </c>
      <c r="Y20">
        <v>2.5000000000000022E-2</v>
      </c>
      <c r="Z20">
        <v>2.8026905829596438</v>
      </c>
      <c r="AB20">
        <v>6.4219999999999997</v>
      </c>
      <c r="AC20">
        <v>4.0999999999999481E-2</v>
      </c>
      <c r="AD20">
        <v>0.64253251841403358</v>
      </c>
    </row>
    <row r="21" spans="1:30" x14ac:dyDescent="0.35">
      <c r="B21">
        <v>2011</v>
      </c>
      <c r="C21">
        <v>27</v>
      </c>
      <c r="D21">
        <v>25</v>
      </c>
      <c r="E21" t="s">
        <v>30</v>
      </c>
      <c r="F21">
        <v>2122</v>
      </c>
      <c r="H21">
        <v>11900</v>
      </c>
      <c r="I21">
        <v>-247500</v>
      </c>
      <c r="J21">
        <v>-95.412490362374712</v>
      </c>
      <c r="P21">
        <v>4.8000000000000001E-2</v>
      </c>
      <c r="Q21">
        <v>-1.0000000000000009E-3</v>
      </c>
      <c r="R21">
        <v>-2.0408163265306136</v>
      </c>
      <c r="T21">
        <v>13.372</v>
      </c>
      <c r="U21">
        <v>1.9149999999999991</v>
      </c>
      <c r="V21">
        <v>16.714672252771223</v>
      </c>
      <c r="X21">
        <v>1.0409999999999999</v>
      </c>
      <c r="Y21">
        <v>0.14899999999999991</v>
      </c>
      <c r="Z21">
        <v>16.704035874439452</v>
      </c>
      <c r="AB21">
        <v>6.2770000000000001</v>
      </c>
      <c r="AC21">
        <v>-0.10400000000000009</v>
      </c>
      <c r="AD21">
        <v>-1.6298385832941558</v>
      </c>
    </row>
    <row r="22" spans="1:30" x14ac:dyDescent="0.35">
      <c r="B22">
        <v>2011</v>
      </c>
      <c r="C22">
        <v>27</v>
      </c>
      <c r="D22">
        <v>26</v>
      </c>
      <c r="E22" t="s">
        <v>31</v>
      </c>
      <c r="F22">
        <v>275</v>
      </c>
      <c r="H22">
        <v>4100</v>
      </c>
      <c r="I22">
        <v>-255300</v>
      </c>
      <c r="J22">
        <v>-98.419429452582889</v>
      </c>
      <c r="P22">
        <v>1.9E-2</v>
      </c>
      <c r="Q22">
        <v>-3.0000000000000002E-2</v>
      </c>
      <c r="R22">
        <v>-61.224489795918366</v>
      </c>
      <c r="T22">
        <v>18.125</v>
      </c>
      <c r="U22">
        <v>6.6679999999999993</v>
      </c>
      <c r="V22">
        <v>58.200226935497938</v>
      </c>
      <c r="X22">
        <v>1.0740000000000001</v>
      </c>
      <c r="Y22">
        <v>0.18200000000000005</v>
      </c>
      <c r="Z22">
        <v>20.403587443946194</v>
      </c>
      <c r="AB22">
        <v>6.2850000000000001</v>
      </c>
      <c r="AC22">
        <v>-9.6000000000000085E-2</v>
      </c>
      <c r="AD22">
        <v>-1.5044663845792208</v>
      </c>
    </row>
    <row r="23" spans="1:30" x14ac:dyDescent="0.35">
      <c r="A23">
        <v>10</v>
      </c>
      <c r="B23">
        <v>2011</v>
      </c>
      <c r="C23">
        <v>33</v>
      </c>
      <c r="D23">
        <v>28</v>
      </c>
      <c r="E23" t="s">
        <v>32</v>
      </c>
      <c r="G23">
        <v>247900</v>
      </c>
      <c r="H23">
        <v>19800</v>
      </c>
      <c r="I23">
        <v>-228100</v>
      </c>
      <c r="J23">
        <v>-92.012908430818868</v>
      </c>
      <c r="O23">
        <v>5.2999999999999999E-2</v>
      </c>
      <c r="P23">
        <v>1.7999999999999999E-2</v>
      </c>
      <c r="Q23">
        <v>-3.5000000000000003E-2</v>
      </c>
      <c r="R23">
        <v>-66.037735849056617</v>
      </c>
      <c r="S23">
        <v>11.041</v>
      </c>
      <c r="T23">
        <v>9.8550000000000004</v>
      </c>
      <c r="U23">
        <v>-1.1859999999999999</v>
      </c>
      <c r="V23">
        <v>-10.741780635811974</v>
      </c>
      <c r="W23">
        <v>0.84399999999999997</v>
      </c>
      <c r="X23">
        <v>1.103</v>
      </c>
      <c r="Y23">
        <v>0.25900000000000001</v>
      </c>
      <c r="Z23">
        <v>30.687203791469198</v>
      </c>
      <c r="AA23">
        <v>6.3929999999999998</v>
      </c>
      <c r="AB23">
        <v>6.3319999999999999</v>
      </c>
      <c r="AC23">
        <v>-6.0999999999999943E-2</v>
      </c>
      <c r="AD23">
        <v>-0.95416862193023533</v>
      </c>
    </row>
    <row r="24" spans="1:30" x14ac:dyDescent="0.35">
      <c r="B24">
        <v>2011</v>
      </c>
      <c r="C24">
        <v>33</v>
      </c>
      <c r="D24">
        <v>29</v>
      </c>
      <c r="E24" t="s">
        <v>33</v>
      </c>
      <c r="H24">
        <v>16900</v>
      </c>
      <c r="I24">
        <v>-231000</v>
      </c>
      <c r="J24">
        <v>-93.182734973779745</v>
      </c>
      <c r="P24">
        <v>1.0999999999999999E-2</v>
      </c>
      <c r="Q24">
        <v>-4.1999999999999996E-2</v>
      </c>
      <c r="R24">
        <v>-79.245283018867923</v>
      </c>
      <c r="T24">
        <v>12.646000000000001</v>
      </c>
      <c r="U24">
        <v>1.6050000000000004</v>
      </c>
      <c r="V24">
        <v>14.536726745765785</v>
      </c>
      <c r="X24">
        <v>0.92600000000000005</v>
      </c>
      <c r="Y24">
        <v>8.2000000000000073E-2</v>
      </c>
      <c r="Z24">
        <v>9.7156398104265485</v>
      </c>
      <c r="AB24">
        <v>6.3710000000000004</v>
      </c>
      <c r="AC24">
        <v>-2.1999999999999353E-2</v>
      </c>
      <c r="AD24">
        <v>-0.34412638823712427</v>
      </c>
    </row>
    <row r="25" spans="1:30" x14ac:dyDescent="0.35">
      <c r="B25">
        <v>2011</v>
      </c>
      <c r="C25">
        <v>33</v>
      </c>
      <c r="D25">
        <v>30</v>
      </c>
      <c r="E25" t="s">
        <v>34</v>
      </c>
      <c r="F25">
        <v>1520</v>
      </c>
      <c r="H25">
        <v>6500</v>
      </c>
      <c r="I25">
        <v>-241400</v>
      </c>
      <c r="J25">
        <v>-97.377974989915288</v>
      </c>
      <c r="P25">
        <v>4.8000000000000001E-2</v>
      </c>
      <c r="Q25">
        <v>-4.9999999999999975E-3</v>
      </c>
      <c r="R25">
        <v>-9.4339622641509386</v>
      </c>
      <c r="T25">
        <v>13.259</v>
      </c>
      <c r="U25">
        <v>2.218</v>
      </c>
      <c r="V25">
        <v>20.088760076080064</v>
      </c>
      <c r="X25">
        <v>1.179</v>
      </c>
      <c r="Y25">
        <v>0.33500000000000008</v>
      </c>
      <c r="Z25">
        <v>39.691943127962098</v>
      </c>
      <c r="AB25">
        <v>6.2489999999999997</v>
      </c>
      <c r="AC25">
        <v>-0.14400000000000013</v>
      </c>
      <c r="AD25">
        <v>-2.2524636320976086</v>
      </c>
    </row>
    <row r="26" spans="1:30" x14ac:dyDescent="0.35">
      <c r="B26">
        <v>2011</v>
      </c>
      <c r="C26">
        <v>33</v>
      </c>
      <c r="D26">
        <v>31</v>
      </c>
      <c r="E26" t="s">
        <v>35</v>
      </c>
      <c r="F26">
        <v>663</v>
      </c>
      <c r="H26">
        <v>5900</v>
      </c>
      <c r="I26">
        <v>-242000</v>
      </c>
      <c r="J26">
        <v>-97.620008067769263</v>
      </c>
      <c r="P26">
        <v>1.2999999999999999E-2</v>
      </c>
      <c r="Q26">
        <v>-0.04</v>
      </c>
      <c r="R26">
        <v>-75.471698113207552</v>
      </c>
      <c r="T26">
        <v>14.201000000000001</v>
      </c>
      <c r="U26">
        <v>3.16</v>
      </c>
      <c r="V26">
        <v>28.620595960510826</v>
      </c>
      <c r="X26">
        <v>1.056</v>
      </c>
      <c r="Y26">
        <v>0.21200000000000008</v>
      </c>
      <c r="Z26">
        <v>25.118483412322284</v>
      </c>
      <c r="AB26">
        <v>6.2670000000000003</v>
      </c>
      <c r="AC26">
        <v>-0.12599999999999945</v>
      </c>
      <c r="AD26">
        <v>-1.9709056780853975</v>
      </c>
    </row>
    <row r="27" spans="1:30" x14ac:dyDescent="0.35">
      <c r="B27">
        <v>2011</v>
      </c>
      <c r="C27">
        <v>33</v>
      </c>
      <c r="D27">
        <v>32</v>
      </c>
      <c r="E27" t="s">
        <v>36</v>
      </c>
      <c r="F27">
        <v>1326</v>
      </c>
      <c r="H27">
        <v>11300</v>
      </c>
      <c r="I27">
        <v>-236600</v>
      </c>
      <c r="J27">
        <v>-95.441710367083502</v>
      </c>
      <c r="P27">
        <v>8.9999999999999993E-3</v>
      </c>
      <c r="Q27">
        <v>-4.3999999999999997E-2</v>
      </c>
      <c r="R27">
        <v>-83.018867924528294</v>
      </c>
      <c r="T27">
        <v>12.292</v>
      </c>
      <c r="U27">
        <v>1.2509999999999994</v>
      </c>
      <c r="V27">
        <v>11.330495426138931</v>
      </c>
      <c r="X27">
        <v>1.1240000000000001</v>
      </c>
      <c r="Y27">
        <v>0.28000000000000014</v>
      </c>
      <c r="Z27">
        <v>33.175355450236985</v>
      </c>
      <c r="AB27">
        <v>6.3540000000000001</v>
      </c>
      <c r="AC27">
        <v>-3.8999999999999702E-2</v>
      </c>
      <c r="AD27">
        <v>-0.61004223369309718</v>
      </c>
    </row>
    <row r="28" spans="1:30" x14ac:dyDescent="0.35">
      <c r="A28">
        <v>11</v>
      </c>
      <c r="B28">
        <v>2011</v>
      </c>
      <c r="C28">
        <v>38</v>
      </c>
      <c r="D28">
        <v>35</v>
      </c>
      <c r="E28" t="s">
        <v>37</v>
      </c>
      <c r="F28">
        <v>561</v>
      </c>
      <c r="G28">
        <v>237600</v>
      </c>
      <c r="H28">
        <v>9000</v>
      </c>
      <c r="I28">
        <v>-228600</v>
      </c>
      <c r="J28">
        <v>-96.212121212121218</v>
      </c>
      <c r="P28">
        <v>0.01</v>
      </c>
      <c r="Q28">
        <v>-0.04</v>
      </c>
      <c r="R28">
        <v>-80</v>
      </c>
      <c r="T28">
        <v>13.73</v>
      </c>
      <c r="U28">
        <v>3.1210000000000004</v>
      </c>
      <c r="V28">
        <v>29.418418324064476</v>
      </c>
      <c r="X28">
        <v>0.94799999999999995</v>
      </c>
      <c r="Y28">
        <v>0.14499999999999991</v>
      </c>
      <c r="Z28">
        <v>18.057285180572837</v>
      </c>
      <c r="AB28">
        <v>6.165</v>
      </c>
      <c r="AC28">
        <v>-0.18100000000000005</v>
      </c>
      <c r="AD28">
        <v>-2.8521903561298463</v>
      </c>
    </row>
    <row r="29" spans="1:30" x14ac:dyDescent="0.35">
      <c r="B29">
        <v>2011</v>
      </c>
      <c r="C29">
        <v>38</v>
      </c>
      <c r="D29">
        <v>36</v>
      </c>
      <c r="E29" t="s">
        <v>38</v>
      </c>
      <c r="F29">
        <v>1136</v>
      </c>
      <c r="H29">
        <v>17100</v>
      </c>
      <c r="I29">
        <v>-220500</v>
      </c>
      <c r="J29">
        <v>-92.803030303030297</v>
      </c>
      <c r="P29">
        <v>0.03</v>
      </c>
      <c r="Q29">
        <v>-2.0000000000000004E-2</v>
      </c>
      <c r="R29">
        <v>-40.000000000000007</v>
      </c>
      <c r="T29">
        <v>11.66</v>
      </c>
      <c r="U29">
        <v>1.0510000000000002</v>
      </c>
      <c r="V29">
        <v>9.9066830049957595</v>
      </c>
      <c r="X29">
        <v>0.82299999999999995</v>
      </c>
      <c r="Y29">
        <v>1.9999999999999907E-2</v>
      </c>
      <c r="Z29">
        <v>2.4906600249065884</v>
      </c>
      <c r="AB29">
        <v>6.3650000000000002</v>
      </c>
      <c r="AC29">
        <v>1.9000000000000128E-2</v>
      </c>
      <c r="AD29">
        <v>0.29940119760479245</v>
      </c>
    </row>
    <row r="30" spans="1:30" x14ac:dyDescent="0.35">
      <c r="B30">
        <v>2011</v>
      </c>
      <c r="C30">
        <v>38</v>
      </c>
      <c r="D30">
        <v>37</v>
      </c>
      <c r="E30" t="s">
        <v>39</v>
      </c>
      <c r="F30">
        <v>2052</v>
      </c>
      <c r="H30">
        <v>13100</v>
      </c>
      <c r="I30">
        <v>-224500</v>
      </c>
      <c r="J30">
        <v>-94.486531986531986</v>
      </c>
      <c r="P30">
        <v>1.2E-2</v>
      </c>
      <c r="Q30">
        <v>-3.8000000000000006E-2</v>
      </c>
      <c r="R30">
        <v>-76.000000000000014</v>
      </c>
      <c r="T30">
        <v>12.417999999999999</v>
      </c>
      <c r="U30">
        <v>1.8089999999999993</v>
      </c>
      <c r="V30">
        <v>17.05155999622961</v>
      </c>
      <c r="X30">
        <v>0.90700000000000003</v>
      </c>
      <c r="Y30">
        <v>0.10399999999999998</v>
      </c>
      <c r="Z30">
        <v>12.951432129514318</v>
      </c>
      <c r="AB30">
        <v>6.2770000000000001</v>
      </c>
      <c r="AC30">
        <v>-6.899999999999995E-2</v>
      </c>
      <c r="AD30">
        <v>-1.0872990860384486</v>
      </c>
    </row>
    <row r="31" spans="1:30" x14ac:dyDescent="0.35">
      <c r="A31">
        <v>12</v>
      </c>
      <c r="B31">
        <v>2011</v>
      </c>
      <c r="C31">
        <v>43</v>
      </c>
      <c r="D31">
        <v>40</v>
      </c>
      <c r="E31" t="s">
        <v>40</v>
      </c>
      <c r="F31">
        <v>460</v>
      </c>
      <c r="G31">
        <v>345500</v>
      </c>
      <c r="H31">
        <v>20800</v>
      </c>
      <c r="I31">
        <v>-324700</v>
      </c>
      <c r="J31">
        <v>-93.979739507959479</v>
      </c>
      <c r="P31">
        <v>6.4000000000000001E-2</v>
      </c>
      <c r="Q31">
        <v>2.1999999999999999E-2</v>
      </c>
      <c r="R31">
        <v>52.380952380952372</v>
      </c>
      <c r="T31">
        <v>10.821</v>
      </c>
      <c r="U31">
        <v>2.8239999999999998</v>
      </c>
      <c r="V31">
        <v>35.313242465924723</v>
      </c>
      <c r="X31">
        <v>1.0740000000000001</v>
      </c>
      <c r="Y31">
        <v>0.39700000000000002</v>
      </c>
      <c r="Z31">
        <v>58.641063515509593</v>
      </c>
      <c r="AB31">
        <v>6.2590000000000003</v>
      </c>
      <c r="AC31">
        <v>-2.4000000000000021E-2</v>
      </c>
      <c r="AD31">
        <v>-0.38198312907846604</v>
      </c>
    </row>
    <row r="32" spans="1:30" x14ac:dyDescent="0.35">
      <c r="B32">
        <v>2011</v>
      </c>
      <c r="C32">
        <v>43</v>
      </c>
      <c r="D32">
        <v>42</v>
      </c>
      <c r="E32" t="s">
        <v>41</v>
      </c>
      <c r="F32">
        <v>665</v>
      </c>
      <c r="H32">
        <v>5700</v>
      </c>
      <c r="I32">
        <v>-339800</v>
      </c>
      <c r="J32">
        <v>-98.350217076700432</v>
      </c>
      <c r="P32">
        <v>7.4999999999999997E-2</v>
      </c>
      <c r="Q32">
        <v>3.2999999999999995E-2</v>
      </c>
      <c r="R32">
        <v>78.571428571428555</v>
      </c>
      <c r="T32">
        <v>23.077999999999999</v>
      </c>
      <c r="U32">
        <v>15.081</v>
      </c>
      <c r="V32">
        <v>188.58321870701513</v>
      </c>
      <c r="X32">
        <v>1.4670000000000001</v>
      </c>
      <c r="Y32">
        <v>0.79</v>
      </c>
      <c r="Z32">
        <v>116.69128508124076</v>
      </c>
      <c r="AB32">
        <v>6.141</v>
      </c>
      <c r="AC32">
        <v>-0.14200000000000035</v>
      </c>
      <c r="AD32">
        <v>-2.260066847047594</v>
      </c>
    </row>
    <row r="33" spans="1:30" x14ac:dyDescent="0.35">
      <c r="A33">
        <v>13</v>
      </c>
      <c r="B33">
        <v>2011</v>
      </c>
      <c r="C33">
        <v>49</v>
      </c>
      <c r="D33">
        <v>45</v>
      </c>
      <c r="E33" t="s">
        <v>42</v>
      </c>
      <c r="F33">
        <v>1350</v>
      </c>
      <c r="G33">
        <v>240500</v>
      </c>
      <c r="H33">
        <v>51500</v>
      </c>
      <c r="I33">
        <v>-189000</v>
      </c>
      <c r="J33">
        <v>-78.586278586278596</v>
      </c>
      <c r="P33">
        <v>0.02</v>
      </c>
      <c r="Q33">
        <v>-2.9000000000000001E-2</v>
      </c>
      <c r="R33">
        <v>-59.183673469387756</v>
      </c>
      <c r="T33">
        <v>10.265000000000001</v>
      </c>
      <c r="U33">
        <v>3.0010000000000003</v>
      </c>
      <c r="V33">
        <v>41.31332599118943</v>
      </c>
      <c r="X33">
        <v>0.79500000000000004</v>
      </c>
      <c r="Y33">
        <v>0.17200000000000004</v>
      </c>
      <c r="Z33">
        <v>27.608346709470311</v>
      </c>
      <c r="AB33">
        <v>6.25</v>
      </c>
      <c r="AC33">
        <v>-6.2999999999999723E-2</v>
      </c>
      <c r="AD33">
        <v>-0.99794075716774477</v>
      </c>
    </row>
    <row r="34" spans="1:30" x14ac:dyDescent="0.35">
      <c r="B34">
        <v>2011</v>
      </c>
      <c r="C34">
        <v>49</v>
      </c>
      <c r="D34">
        <v>47</v>
      </c>
      <c r="E34" t="s">
        <v>43</v>
      </c>
      <c r="F34">
        <v>149</v>
      </c>
      <c r="H34">
        <v>14800</v>
      </c>
      <c r="I34">
        <v>-225700</v>
      </c>
      <c r="J34">
        <v>-93.84615384615384</v>
      </c>
      <c r="P34">
        <v>3.9E-2</v>
      </c>
      <c r="Q34">
        <v>-1.0000000000000002E-2</v>
      </c>
      <c r="R34">
        <v>-20.408163265306126</v>
      </c>
      <c r="T34">
        <v>11.821999999999999</v>
      </c>
      <c r="U34">
        <v>4.5579999999999989</v>
      </c>
      <c r="V34">
        <v>62.747797356828173</v>
      </c>
      <c r="X34">
        <v>0.95699999999999996</v>
      </c>
      <c r="Y34">
        <v>0.33399999999999996</v>
      </c>
      <c r="Z34">
        <v>53.611556982343487</v>
      </c>
      <c r="AB34">
        <v>6.319</v>
      </c>
      <c r="AC34">
        <v>6.0000000000002274E-3</v>
      </c>
      <c r="AD34">
        <v>9.5041976873122574E-2</v>
      </c>
    </row>
    <row r="35" spans="1:30" x14ac:dyDescent="0.35">
      <c r="A35">
        <v>14</v>
      </c>
      <c r="B35">
        <v>2011</v>
      </c>
      <c r="C35">
        <v>55</v>
      </c>
      <c r="D35">
        <v>50</v>
      </c>
      <c r="E35" t="s">
        <v>44</v>
      </c>
      <c r="F35">
        <v>125</v>
      </c>
      <c r="G35">
        <v>216700</v>
      </c>
      <c r="H35">
        <v>29700</v>
      </c>
      <c r="I35">
        <v>-187000</v>
      </c>
      <c r="J35">
        <v>-86.294416243654823</v>
      </c>
      <c r="O35">
        <v>0.109</v>
      </c>
      <c r="P35">
        <v>0.16700000000000001</v>
      </c>
      <c r="Q35">
        <v>5.800000000000001E-2</v>
      </c>
      <c r="R35">
        <v>53.21100917431194</v>
      </c>
      <c r="S35">
        <v>6.6630000000000003</v>
      </c>
      <c r="T35">
        <v>8.4009999999999998</v>
      </c>
      <c r="U35">
        <v>1.7379999999999995</v>
      </c>
      <c r="V35">
        <v>26.084346390514774</v>
      </c>
      <c r="W35">
        <v>0.69</v>
      </c>
      <c r="X35">
        <v>0.73299999999999998</v>
      </c>
      <c r="Y35">
        <v>4.3000000000000038E-2</v>
      </c>
      <c r="Z35">
        <v>6.23188405797102</v>
      </c>
      <c r="AA35">
        <v>6.3689999999999998</v>
      </c>
      <c r="AB35">
        <v>6.2279999999999998</v>
      </c>
      <c r="AC35">
        <v>-0.14100000000000001</v>
      </c>
      <c r="AD35">
        <v>-2.2138483278379653</v>
      </c>
    </row>
    <row r="36" spans="1:30" x14ac:dyDescent="0.35">
      <c r="B36">
        <v>2011</v>
      </c>
      <c r="C36">
        <v>55</v>
      </c>
      <c r="D36">
        <v>51</v>
      </c>
      <c r="E36" t="s">
        <v>45</v>
      </c>
      <c r="F36">
        <v>595</v>
      </c>
      <c r="H36">
        <v>41500</v>
      </c>
      <c r="I36">
        <v>-175200</v>
      </c>
      <c r="J36">
        <v>-80.849100138440249</v>
      </c>
      <c r="P36">
        <v>6.6000000000000003E-2</v>
      </c>
      <c r="Q36">
        <v>-4.2999999999999997E-2</v>
      </c>
      <c r="R36">
        <v>-39.449541284403665</v>
      </c>
      <c r="T36">
        <v>7.3419999999999996</v>
      </c>
      <c r="U36">
        <v>0.67899999999999938</v>
      </c>
      <c r="V36">
        <v>10.190604832657952</v>
      </c>
      <c r="X36">
        <v>0.7</v>
      </c>
      <c r="Y36">
        <v>1.0000000000000009E-2</v>
      </c>
      <c r="Z36">
        <v>1.4492753623188419</v>
      </c>
      <c r="AB36">
        <v>6.29</v>
      </c>
      <c r="AC36">
        <v>-7.8999999999999737E-2</v>
      </c>
      <c r="AD36">
        <v>-1.2403831056680756</v>
      </c>
    </row>
    <row r="37" spans="1:30" x14ac:dyDescent="0.35">
      <c r="B37">
        <v>2011</v>
      </c>
      <c r="C37">
        <v>55</v>
      </c>
      <c r="D37">
        <v>52</v>
      </c>
      <c r="E37" t="s">
        <v>46</v>
      </c>
      <c r="F37">
        <v>1840</v>
      </c>
      <c r="H37">
        <v>25600</v>
      </c>
      <c r="I37">
        <v>-191100</v>
      </c>
      <c r="J37">
        <v>-88.18643285648362</v>
      </c>
      <c r="P37">
        <v>0.10100000000000001</v>
      </c>
      <c r="Q37">
        <v>-7.9999999999999932E-3</v>
      </c>
      <c r="R37">
        <v>-7.339449541284397</v>
      </c>
      <c r="T37">
        <v>8.2230000000000008</v>
      </c>
      <c r="U37">
        <v>1.5600000000000005</v>
      </c>
      <c r="V37">
        <v>23.412877082395326</v>
      </c>
      <c r="X37">
        <v>0.70399999999999996</v>
      </c>
      <c r="Y37">
        <v>1.4000000000000012E-2</v>
      </c>
      <c r="Z37">
        <v>2.0289855072463787</v>
      </c>
      <c r="AB37">
        <v>6.3010000000000002</v>
      </c>
      <c r="AC37">
        <v>-6.7999999999999616E-2</v>
      </c>
      <c r="AD37">
        <v>-1.0676715339927716</v>
      </c>
    </row>
    <row r="38" spans="1:30" x14ac:dyDescent="0.35">
      <c r="B38">
        <v>2011</v>
      </c>
      <c r="C38">
        <v>55</v>
      </c>
      <c r="D38">
        <v>53</v>
      </c>
      <c r="E38" t="s">
        <v>47</v>
      </c>
      <c r="F38">
        <v>1800</v>
      </c>
      <c r="H38">
        <v>32800</v>
      </c>
      <c r="I38">
        <v>-183900</v>
      </c>
      <c r="J38">
        <v>-84.863867097369635</v>
      </c>
      <c r="P38">
        <v>0.05</v>
      </c>
      <c r="Q38">
        <v>-5.8999999999999997E-2</v>
      </c>
      <c r="R38">
        <v>-54.128440366972477</v>
      </c>
      <c r="T38">
        <v>8.1140000000000008</v>
      </c>
      <c r="U38">
        <v>1.4510000000000005</v>
      </c>
      <c r="V38">
        <v>21.776977337535651</v>
      </c>
      <c r="X38">
        <v>0.73599999999999999</v>
      </c>
      <c r="Y38">
        <v>4.6000000000000041E-2</v>
      </c>
      <c r="Z38">
        <v>6.6666666666666732</v>
      </c>
      <c r="AB38">
        <v>6.2720000000000002</v>
      </c>
      <c r="AC38">
        <v>-9.6999999999999531E-2</v>
      </c>
      <c r="AD38">
        <v>-1.5230020411367489</v>
      </c>
    </row>
    <row r="39" spans="1:30" x14ac:dyDescent="0.35">
      <c r="B39">
        <v>2011</v>
      </c>
      <c r="C39">
        <v>55</v>
      </c>
      <c r="D39">
        <v>54</v>
      </c>
      <c r="E39" t="s">
        <v>48</v>
      </c>
      <c r="F39">
        <v>3395</v>
      </c>
      <c r="H39">
        <v>11400</v>
      </c>
      <c r="I39">
        <v>-205300</v>
      </c>
      <c r="J39">
        <v>-94.739270881402859</v>
      </c>
      <c r="P39">
        <v>3.5999999999999997E-2</v>
      </c>
      <c r="Q39">
        <v>-7.3000000000000009E-2</v>
      </c>
      <c r="R39">
        <v>-66.972477064220186</v>
      </c>
      <c r="T39">
        <v>10.71</v>
      </c>
      <c r="U39">
        <v>4.0470000000000006</v>
      </c>
      <c r="V39">
        <v>60.738406123367859</v>
      </c>
      <c r="X39">
        <v>0.85899999999999999</v>
      </c>
      <c r="Y39">
        <v>0.16900000000000004</v>
      </c>
      <c r="Z39">
        <v>24.492753623188413</v>
      </c>
      <c r="AB39">
        <v>6.3179999999999996</v>
      </c>
      <c r="AC39">
        <v>-5.1000000000000156E-2</v>
      </c>
      <c r="AD39">
        <v>-0.80075365049458569</v>
      </c>
    </row>
    <row r="40" spans="1:30" x14ac:dyDescent="0.35">
      <c r="A40">
        <v>15</v>
      </c>
      <c r="B40">
        <v>2011</v>
      </c>
      <c r="C40">
        <v>61</v>
      </c>
      <c r="D40">
        <v>56</v>
      </c>
      <c r="E40" t="s">
        <v>49</v>
      </c>
      <c r="G40">
        <v>196500</v>
      </c>
      <c r="H40">
        <v>17400</v>
      </c>
      <c r="I40">
        <v>-179100</v>
      </c>
      <c r="J40">
        <v>-91.145038167938935</v>
      </c>
      <c r="O40">
        <v>0.11</v>
      </c>
      <c r="P40">
        <v>0.13300000000000001</v>
      </c>
      <c r="Q40">
        <v>2.3000000000000007E-2</v>
      </c>
      <c r="R40">
        <v>20.909090909090917</v>
      </c>
      <c r="S40">
        <v>5.9859999999999998</v>
      </c>
      <c r="T40">
        <v>6.4429999999999996</v>
      </c>
      <c r="U40">
        <v>0.45699999999999985</v>
      </c>
      <c r="V40">
        <v>7.6344804543935831</v>
      </c>
      <c r="W40">
        <v>0.64600000000000002</v>
      </c>
      <c r="X40">
        <v>0.66</v>
      </c>
      <c r="Y40">
        <v>1.4000000000000012E-2</v>
      </c>
      <c r="Z40">
        <v>2.1671826625387016</v>
      </c>
      <c r="AA40">
        <v>6.4169999999999998</v>
      </c>
      <c r="AB40">
        <v>6.3159999999999998</v>
      </c>
      <c r="AC40">
        <v>-0.10099999999999998</v>
      </c>
      <c r="AD40">
        <v>-1.5739442106903534</v>
      </c>
    </row>
    <row r="41" spans="1:30" x14ac:dyDescent="0.35">
      <c r="B41">
        <v>2011</v>
      </c>
      <c r="C41">
        <v>61</v>
      </c>
      <c r="D41">
        <v>57</v>
      </c>
      <c r="E41" t="s">
        <v>50</v>
      </c>
      <c r="F41">
        <v>370</v>
      </c>
      <c r="H41">
        <v>54600</v>
      </c>
      <c r="I41">
        <v>-141900</v>
      </c>
      <c r="J41">
        <v>-72.213740458015266</v>
      </c>
      <c r="P41">
        <v>4.3999999999999997E-2</v>
      </c>
      <c r="Q41">
        <v>-6.6000000000000003E-2</v>
      </c>
      <c r="R41">
        <v>-60</v>
      </c>
      <c r="T41">
        <v>9.6240000000000006</v>
      </c>
      <c r="U41">
        <v>3.6380000000000008</v>
      </c>
      <c r="V41">
        <v>60.775141997995341</v>
      </c>
      <c r="X41">
        <v>0.83399999999999996</v>
      </c>
      <c r="Y41">
        <v>0.18799999999999994</v>
      </c>
      <c r="Z41">
        <v>29.10216718266253</v>
      </c>
      <c r="AB41">
        <v>6.2880000000000003</v>
      </c>
      <c r="AC41">
        <v>-0.12899999999999956</v>
      </c>
      <c r="AD41">
        <v>-2.0102851799906429</v>
      </c>
    </row>
    <row r="42" spans="1:30" x14ac:dyDescent="0.35">
      <c r="B42">
        <v>2011</v>
      </c>
      <c r="C42">
        <v>61</v>
      </c>
      <c r="D42">
        <v>58</v>
      </c>
      <c r="E42" t="s">
        <v>51</v>
      </c>
      <c r="F42">
        <v>1549</v>
      </c>
      <c r="H42">
        <v>22000</v>
      </c>
      <c r="I42">
        <v>-174500</v>
      </c>
      <c r="J42">
        <v>-88.804071246819333</v>
      </c>
      <c r="P42">
        <v>7.2999999999999995E-2</v>
      </c>
      <c r="Q42">
        <v>-3.7000000000000005E-2</v>
      </c>
      <c r="R42">
        <v>-33.63636363636364</v>
      </c>
      <c r="T42">
        <v>8.0920000000000005</v>
      </c>
      <c r="U42">
        <v>2.1060000000000008</v>
      </c>
      <c r="V42">
        <v>35.182091546942878</v>
      </c>
      <c r="X42">
        <v>0.72599999999999998</v>
      </c>
      <c r="Y42">
        <v>7.999999999999996E-2</v>
      </c>
      <c r="Z42">
        <v>12.383900928792563</v>
      </c>
      <c r="AB42">
        <v>6.3079999999999998</v>
      </c>
      <c r="AC42">
        <v>-0.10899999999999999</v>
      </c>
      <c r="AD42">
        <v>-1.6986130590618667</v>
      </c>
    </row>
    <row r="43" spans="1:30" x14ac:dyDescent="0.35">
      <c r="B43">
        <v>2011</v>
      </c>
      <c r="C43">
        <v>61</v>
      </c>
      <c r="D43">
        <v>59</v>
      </c>
      <c r="E43" t="s">
        <v>52</v>
      </c>
      <c r="F43">
        <v>1740</v>
      </c>
      <c r="H43">
        <v>36200</v>
      </c>
      <c r="I43">
        <v>-160300</v>
      </c>
      <c r="J43">
        <v>-81.577608142493645</v>
      </c>
      <c r="P43">
        <v>4.7E-2</v>
      </c>
      <c r="Q43">
        <v>-6.3E-2</v>
      </c>
      <c r="R43">
        <v>-57.272727272727273</v>
      </c>
      <c r="T43">
        <v>7</v>
      </c>
      <c r="U43">
        <v>1.0140000000000002</v>
      </c>
      <c r="V43">
        <v>16.939525559639161</v>
      </c>
      <c r="X43">
        <v>0.69699999999999995</v>
      </c>
      <c r="Y43">
        <v>5.0999999999999934E-2</v>
      </c>
      <c r="Z43">
        <v>7.8947368421052531</v>
      </c>
      <c r="AB43">
        <v>6.3689999999999998</v>
      </c>
      <c r="AC43">
        <v>-4.8000000000000043E-2</v>
      </c>
      <c r="AD43">
        <v>-0.74801309022907969</v>
      </c>
    </row>
    <row r="44" spans="1:30" x14ac:dyDescent="0.35">
      <c r="B44">
        <v>2011</v>
      </c>
      <c r="C44">
        <v>61</v>
      </c>
      <c r="D44">
        <v>60</v>
      </c>
      <c r="E44" t="s">
        <v>53</v>
      </c>
      <c r="F44">
        <v>2339</v>
      </c>
      <c r="H44">
        <v>20000</v>
      </c>
      <c r="I44">
        <v>-176500</v>
      </c>
      <c r="J44">
        <v>-89.821882951653947</v>
      </c>
      <c r="P44">
        <v>4.2999999999999997E-2</v>
      </c>
      <c r="Q44">
        <v>-6.7000000000000004E-2</v>
      </c>
      <c r="R44">
        <v>-60.909090909090914</v>
      </c>
      <c r="T44">
        <v>8.7029999999999994</v>
      </c>
      <c r="U44">
        <v>2.7169999999999996</v>
      </c>
      <c r="V44">
        <v>45.389241563648511</v>
      </c>
      <c r="X44">
        <v>0.76600000000000001</v>
      </c>
      <c r="Y44">
        <v>0.12</v>
      </c>
      <c r="Z44">
        <v>18.575851393188852</v>
      </c>
      <c r="AB44">
        <v>6.3659999999999997</v>
      </c>
      <c r="AC44">
        <v>-5.1000000000000156E-2</v>
      </c>
      <c r="AD44">
        <v>-0.79476390836839894</v>
      </c>
    </row>
    <row r="45" spans="1:30" x14ac:dyDescent="0.35">
      <c r="A45">
        <v>16</v>
      </c>
      <c r="B45">
        <v>2011</v>
      </c>
      <c r="C45">
        <v>67</v>
      </c>
      <c r="D45">
        <v>62</v>
      </c>
      <c r="E45" t="s">
        <v>54</v>
      </c>
      <c r="F45">
        <v>3437</v>
      </c>
      <c r="G45">
        <v>204800</v>
      </c>
      <c r="H45">
        <v>39300</v>
      </c>
      <c r="I45">
        <v>-165500</v>
      </c>
      <c r="J45">
        <v>-80.810546875</v>
      </c>
      <c r="O45">
        <v>0.47299999999999998</v>
      </c>
      <c r="P45">
        <v>7.0999999999999994E-2</v>
      </c>
      <c r="Q45">
        <v>-0.40199999999999997</v>
      </c>
      <c r="R45">
        <v>-84.989429175475678</v>
      </c>
      <c r="S45">
        <v>5.8209999999999997</v>
      </c>
      <c r="T45">
        <v>9.6959999999999997</v>
      </c>
      <c r="U45">
        <v>3.875</v>
      </c>
      <c r="V45">
        <v>66.56931798660024</v>
      </c>
      <c r="W45">
        <v>0.81299999999999994</v>
      </c>
      <c r="X45">
        <v>0.80800000000000005</v>
      </c>
      <c r="Y45">
        <v>-4.9999999999998934E-3</v>
      </c>
      <c r="Z45">
        <v>-0.61500615006148751</v>
      </c>
      <c r="AA45">
        <v>6.4809999999999999</v>
      </c>
      <c r="AB45">
        <v>6.4219999999999997</v>
      </c>
      <c r="AC45">
        <v>-5.9000000000000163E-2</v>
      </c>
      <c r="AD45">
        <v>-0.91035334053387074</v>
      </c>
    </row>
    <row r="46" spans="1:30" x14ac:dyDescent="0.35">
      <c r="B46">
        <v>2011</v>
      </c>
      <c r="C46">
        <v>67</v>
      </c>
      <c r="D46">
        <v>63</v>
      </c>
      <c r="E46" t="s">
        <v>55</v>
      </c>
      <c r="F46">
        <v>255</v>
      </c>
      <c r="H46">
        <v>18000</v>
      </c>
      <c r="I46">
        <v>-186800</v>
      </c>
      <c r="J46">
        <v>-91.2109375</v>
      </c>
      <c r="P46">
        <v>1.1579999999999999</v>
      </c>
      <c r="Q46">
        <v>0.68499999999999994</v>
      </c>
      <c r="R46">
        <v>144.82029598308668</v>
      </c>
      <c r="T46">
        <v>6.7220000000000004</v>
      </c>
      <c r="U46">
        <v>0.90100000000000069</v>
      </c>
      <c r="V46">
        <v>15.478440130561772</v>
      </c>
      <c r="X46">
        <v>0.76800000000000002</v>
      </c>
      <c r="Y46">
        <v>-4.4999999999999929E-2</v>
      </c>
      <c r="Z46">
        <v>-5.5350553505534972</v>
      </c>
      <c r="AB46">
        <v>6.4610000000000003</v>
      </c>
      <c r="AC46">
        <v>-1.9999999999999574E-2</v>
      </c>
      <c r="AD46">
        <v>-0.30859435272333857</v>
      </c>
    </row>
    <row r="47" spans="1:30" x14ac:dyDescent="0.35">
      <c r="B47">
        <v>2011</v>
      </c>
      <c r="C47">
        <v>67</v>
      </c>
      <c r="D47">
        <v>64</v>
      </c>
      <c r="E47" t="s">
        <v>56</v>
      </c>
      <c r="F47">
        <v>396</v>
      </c>
      <c r="H47">
        <v>15600</v>
      </c>
      <c r="I47">
        <v>-189200</v>
      </c>
      <c r="J47">
        <v>-92.3828125</v>
      </c>
      <c r="P47">
        <v>0.20499999999999999</v>
      </c>
      <c r="Q47">
        <v>-0.26800000000000002</v>
      </c>
      <c r="R47">
        <v>-56.65961945031713</v>
      </c>
      <c r="T47">
        <v>7.5209999999999999</v>
      </c>
      <c r="U47">
        <v>1.7000000000000002</v>
      </c>
      <c r="V47">
        <v>29.204604019927853</v>
      </c>
      <c r="X47">
        <v>0.77600000000000002</v>
      </c>
      <c r="Y47">
        <v>-3.6999999999999922E-2</v>
      </c>
      <c r="Z47">
        <v>-4.5510455104550953</v>
      </c>
      <c r="AB47">
        <v>6.4260000000000002</v>
      </c>
      <c r="AC47">
        <v>-5.4999999999999716E-2</v>
      </c>
      <c r="AD47">
        <v>-0.84863446998919478</v>
      </c>
    </row>
    <row r="48" spans="1:30" x14ac:dyDescent="0.35">
      <c r="B48">
        <v>2011</v>
      </c>
      <c r="C48">
        <v>67</v>
      </c>
      <c r="D48">
        <v>65</v>
      </c>
      <c r="E48" t="s">
        <v>57</v>
      </c>
      <c r="F48">
        <v>355</v>
      </c>
      <c r="H48">
        <v>6900</v>
      </c>
      <c r="I48">
        <v>-197900</v>
      </c>
      <c r="J48">
        <v>-96.630859375</v>
      </c>
      <c r="P48">
        <v>0.81399999999999995</v>
      </c>
      <c r="Q48">
        <v>0.34099999999999997</v>
      </c>
      <c r="R48">
        <v>72.093023255813947</v>
      </c>
      <c r="T48">
        <v>9.5830000000000002</v>
      </c>
      <c r="U48">
        <v>3.7620000000000005</v>
      </c>
      <c r="V48">
        <v>64.628070778216824</v>
      </c>
      <c r="X48">
        <v>0.90900000000000003</v>
      </c>
      <c r="Y48">
        <v>9.6000000000000085E-2</v>
      </c>
      <c r="Z48">
        <v>11.808118081180822</v>
      </c>
      <c r="AB48">
        <v>6.2640000000000002</v>
      </c>
      <c r="AC48">
        <v>-0.21699999999999964</v>
      </c>
      <c r="AD48">
        <v>-3.3482487270482899</v>
      </c>
    </row>
    <row r="49" spans="1:30" x14ac:dyDescent="0.35">
      <c r="B49">
        <v>2011</v>
      </c>
      <c r="C49">
        <v>67</v>
      </c>
      <c r="D49">
        <v>66</v>
      </c>
      <c r="E49" t="s">
        <v>58</v>
      </c>
      <c r="F49">
        <v>2580</v>
      </c>
      <c r="H49">
        <v>29300</v>
      </c>
      <c r="I49">
        <v>-175500</v>
      </c>
      <c r="J49">
        <v>-85.693359375</v>
      </c>
      <c r="P49">
        <v>0.126</v>
      </c>
      <c r="Q49">
        <v>-0.34699999999999998</v>
      </c>
      <c r="R49">
        <v>-73.361522198731492</v>
      </c>
      <c r="T49">
        <v>6.7789999999999999</v>
      </c>
      <c r="U49">
        <v>0.95800000000000018</v>
      </c>
      <c r="V49">
        <v>16.457653324171108</v>
      </c>
      <c r="X49">
        <v>0.69399999999999995</v>
      </c>
      <c r="Y49">
        <v>-0.11899999999999999</v>
      </c>
      <c r="Z49">
        <v>-14.637146371463716</v>
      </c>
      <c r="AB49">
        <v>6.476</v>
      </c>
      <c r="AC49">
        <v>-4.9999999999998934E-3</v>
      </c>
      <c r="AD49">
        <v>-7.7148588180834643E-2</v>
      </c>
    </row>
    <row r="50" spans="1:30" x14ac:dyDescent="0.35">
      <c r="A50">
        <v>18</v>
      </c>
      <c r="B50">
        <v>2011</v>
      </c>
      <c r="C50">
        <v>78</v>
      </c>
      <c r="D50">
        <v>73</v>
      </c>
      <c r="E50" t="s">
        <v>59</v>
      </c>
      <c r="F50">
        <v>300</v>
      </c>
      <c r="G50">
        <v>240600</v>
      </c>
      <c r="H50">
        <v>10500</v>
      </c>
      <c r="I50">
        <v>-230100</v>
      </c>
      <c r="J50">
        <v>-95.635910224438902</v>
      </c>
      <c r="O50">
        <v>0.94399999999999995</v>
      </c>
      <c r="P50">
        <v>0.317</v>
      </c>
      <c r="Q50">
        <v>-0.627</v>
      </c>
      <c r="R50">
        <v>-66.419491525423737</v>
      </c>
      <c r="S50">
        <v>5.2</v>
      </c>
      <c r="T50">
        <v>7.4180000000000001</v>
      </c>
      <c r="U50">
        <v>2.218</v>
      </c>
      <c r="V50">
        <v>42.653846153846153</v>
      </c>
      <c r="W50">
        <v>0.84499999999999997</v>
      </c>
      <c r="X50">
        <v>0.88900000000000001</v>
      </c>
      <c r="Y50">
        <v>4.4000000000000039E-2</v>
      </c>
      <c r="Z50">
        <v>5.2071005917159807</v>
      </c>
      <c r="AA50">
        <v>6.6050000000000004</v>
      </c>
      <c r="AB50">
        <v>6.4779999999999998</v>
      </c>
      <c r="AC50">
        <v>-0.12700000000000067</v>
      </c>
      <c r="AD50">
        <v>-1.9227857683573151</v>
      </c>
    </row>
    <row r="51" spans="1:30" x14ac:dyDescent="0.35">
      <c r="B51">
        <v>2011</v>
      </c>
      <c r="C51">
        <v>78</v>
      </c>
      <c r="D51">
        <v>74</v>
      </c>
      <c r="E51" t="s">
        <v>60</v>
      </c>
      <c r="F51">
        <v>640</v>
      </c>
      <c r="H51">
        <v>65600</v>
      </c>
      <c r="I51">
        <v>-175000</v>
      </c>
      <c r="J51">
        <v>-72.73482959268496</v>
      </c>
      <c r="P51">
        <v>4.3999999999999997E-2</v>
      </c>
      <c r="Q51">
        <v>-0.89999999999999991</v>
      </c>
      <c r="R51">
        <v>-95.338983050847446</v>
      </c>
      <c r="T51">
        <v>5.532</v>
      </c>
      <c r="U51">
        <v>0.33199999999999985</v>
      </c>
      <c r="V51">
        <v>6.3846153846153815</v>
      </c>
      <c r="X51">
        <v>0.76100000000000001</v>
      </c>
      <c r="Y51">
        <v>-8.3999999999999964E-2</v>
      </c>
      <c r="Z51">
        <v>-9.9408284023668596</v>
      </c>
      <c r="AB51">
        <v>6.4880000000000004</v>
      </c>
      <c r="AC51">
        <v>-0.11699999999999999</v>
      </c>
      <c r="AD51">
        <v>-1.7713853141559421</v>
      </c>
    </row>
    <row r="52" spans="1:30" x14ac:dyDescent="0.35">
      <c r="B52">
        <v>2011</v>
      </c>
      <c r="C52">
        <v>78</v>
      </c>
      <c r="D52">
        <v>75</v>
      </c>
      <c r="E52" t="s">
        <v>61</v>
      </c>
      <c r="F52">
        <v>225</v>
      </c>
      <c r="H52">
        <v>66100</v>
      </c>
      <c r="I52">
        <v>-174500</v>
      </c>
      <c r="J52">
        <v>-72.527015793848719</v>
      </c>
      <c r="P52">
        <v>0.32600000000000001</v>
      </c>
      <c r="Q52">
        <v>-0.61799999999999988</v>
      </c>
      <c r="R52">
        <v>-65.466101694915253</v>
      </c>
      <c r="T52">
        <v>5.827</v>
      </c>
      <c r="U52">
        <v>0.62699999999999978</v>
      </c>
      <c r="V52">
        <v>12.057692307692303</v>
      </c>
      <c r="X52">
        <v>0.622</v>
      </c>
      <c r="Y52">
        <v>-0.22299999999999998</v>
      </c>
      <c r="Z52">
        <v>-26.390532544378697</v>
      </c>
      <c r="AB52">
        <v>6.5919999999999996</v>
      </c>
      <c r="AC52">
        <v>-1.3000000000000789E-2</v>
      </c>
      <c r="AD52">
        <v>-0.19682059046178332</v>
      </c>
    </row>
    <row r="53" spans="1:30" x14ac:dyDescent="0.35">
      <c r="B53">
        <v>2011</v>
      </c>
      <c r="C53">
        <v>78</v>
      </c>
      <c r="D53">
        <v>76</v>
      </c>
      <c r="E53" t="s">
        <v>62</v>
      </c>
      <c r="F53">
        <v>1660</v>
      </c>
      <c r="H53">
        <v>26300</v>
      </c>
      <c r="I53">
        <v>-214300</v>
      </c>
      <c r="J53">
        <v>-89.06899418121364</v>
      </c>
      <c r="P53">
        <v>0.108</v>
      </c>
      <c r="Q53">
        <v>-0.83599999999999997</v>
      </c>
      <c r="R53">
        <v>-88.559322033898297</v>
      </c>
      <c r="T53">
        <v>6.8049999999999997</v>
      </c>
      <c r="U53">
        <v>1.6049999999999995</v>
      </c>
      <c r="V53">
        <v>30.865384615384606</v>
      </c>
      <c r="X53">
        <v>0.84899999999999998</v>
      </c>
      <c r="Y53">
        <v>4.0000000000000036E-3</v>
      </c>
      <c r="Z53">
        <v>0.47337278106508918</v>
      </c>
      <c r="AB53">
        <v>6.6029999999999998</v>
      </c>
      <c r="AC53">
        <v>-2.0000000000006679E-3</v>
      </c>
      <c r="AD53">
        <v>-3.0280090840282631E-2</v>
      </c>
    </row>
    <row r="54" spans="1:30" x14ac:dyDescent="0.35">
      <c r="B54">
        <v>2011</v>
      </c>
      <c r="C54">
        <v>78</v>
      </c>
      <c r="D54">
        <v>77</v>
      </c>
      <c r="E54" t="s">
        <v>63</v>
      </c>
      <c r="F54">
        <v>179</v>
      </c>
      <c r="H54">
        <v>15600</v>
      </c>
      <c r="I54">
        <v>-225000</v>
      </c>
      <c r="J54">
        <v>-93.516209476309228</v>
      </c>
      <c r="P54">
        <v>0.27200000000000002</v>
      </c>
      <c r="Q54">
        <v>-0.67199999999999993</v>
      </c>
      <c r="R54">
        <v>-71.186440677966104</v>
      </c>
      <c r="T54">
        <v>7.7240000000000002</v>
      </c>
      <c r="U54">
        <v>2.524</v>
      </c>
      <c r="V54">
        <v>48.538461538461533</v>
      </c>
      <c r="X54">
        <v>1.353</v>
      </c>
      <c r="Y54">
        <v>0.50800000000000001</v>
      </c>
      <c r="Z54">
        <v>60.118343195266277</v>
      </c>
      <c r="AB54">
        <v>6.5129999999999999</v>
      </c>
      <c r="AC54">
        <v>-9.2000000000000526E-2</v>
      </c>
      <c r="AD54">
        <v>-1.3928841786525437</v>
      </c>
    </row>
    <row r="55" spans="1:30" x14ac:dyDescent="0.35">
      <c r="A55">
        <v>19</v>
      </c>
      <c r="B55">
        <v>2011</v>
      </c>
      <c r="C55">
        <v>84</v>
      </c>
      <c r="D55">
        <v>79</v>
      </c>
      <c r="E55" t="s">
        <v>64</v>
      </c>
      <c r="F55">
        <v>213</v>
      </c>
      <c r="G55">
        <v>249200</v>
      </c>
      <c r="H55">
        <v>18300</v>
      </c>
      <c r="I55">
        <v>-230900</v>
      </c>
      <c r="J55">
        <v>-92.656500802568218</v>
      </c>
      <c r="O55">
        <v>0.83399999999999996</v>
      </c>
      <c r="P55">
        <v>0.39900000000000002</v>
      </c>
      <c r="Q55">
        <v>-0.43499999999999994</v>
      </c>
      <c r="R55">
        <v>-52.158273381294961</v>
      </c>
      <c r="S55">
        <v>5.2050000000000001</v>
      </c>
      <c r="T55">
        <v>11.076000000000001</v>
      </c>
      <c r="U55">
        <v>5.8710000000000004</v>
      </c>
      <c r="V55">
        <v>112.79538904899135</v>
      </c>
      <c r="W55">
        <v>0.82299999999999995</v>
      </c>
      <c r="X55">
        <v>0.98499999999999999</v>
      </c>
      <c r="Y55">
        <v>0.16200000000000003</v>
      </c>
      <c r="Z55">
        <v>19.684082624544356</v>
      </c>
      <c r="AA55">
        <v>6.6349999999999998</v>
      </c>
      <c r="AB55">
        <v>6.4630000000000001</v>
      </c>
      <c r="AC55">
        <v>-0.17199999999999971</v>
      </c>
      <c r="AD55">
        <v>-2.592313489073093</v>
      </c>
    </row>
    <row r="56" spans="1:30" x14ac:dyDescent="0.35">
      <c r="B56">
        <v>2011</v>
      </c>
      <c r="C56">
        <v>84</v>
      </c>
      <c r="D56">
        <v>80</v>
      </c>
      <c r="E56" t="s">
        <v>65</v>
      </c>
      <c r="F56">
        <v>250</v>
      </c>
      <c r="H56">
        <v>26000</v>
      </c>
      <c r="I56">
        <v>-223200</v>
      </c>
      <c r="J56">
        <v>-89.566613162118784</v>
      </c>
      <c r="P56">
        <v>5.2999999999999999E-2</v>
      </c>
      <c r="Q56">
        <v>-0.78099999999999992</v>
      </c>
      <c r="R56">
        <v>-93.645083932853709</v>
      </c>
      <c r="T56">
        <v>8.0730000000000004</v>
      </c>
      <c r="U56">
        <v>2.8680000000000003</v>
      </c>
      <c r="V56">
        <v>55.100864553314125</v>
      </c>
      <c r="X56">
        <v>0.93600000000000005</v>
      </c>
      <c r="Y56">
        <v>0.1130000000000001</v>
      </c>
      <c r="Z56">
        <v>13.730255164034036</v>
      </c>
      <c r="AB56">
        <v>6.593</v>
      </c>
      <c r="AC56">
        <v>-4.1999999999999815E-2</v>
      </c>
      <c r="AD56">
        <v>-0.63300678221552098</v>
      </c>
    </row>
    <row r="57" spans="1:30" x14ac:dyDescent="0.35">
      <c r="B57">
        <v>2011</v>
      </c>
      <c r="C57">
        <v>84</v>
      </c>
      <c r="D57">
        <v>81</v>
      </c>
      <c r="E57" t="s">
        <v>66</v>
      </c>
      <c r="F57">
        <v>150</v>
      </c>
      <c r="H57">
        <v>36100</v>
      </c>
      <c r="I57">
        <v>-213100</v>
      </c>
      <c r="J57">
        <v>-85.513643659711079</v>
      </c>
      <c r="P57">
        <v>0.217</v>
      </c>
      <c r="Q57">
        <v>-0.61699999999999999</v>
      </c>
      <c r="R57">
        <v>-73.98081534772183</v>
      </c>
      <c r="T57">
        <v>5.3449999999999998</v>
      </c>
      <c r="U57">
        <v>0.13999999999999968</v>
      </c>
      <c r="V57">
        <v>2.6897214217098884</v>
      </c>
      <c r="X57">
        <v>0.79900000000000004</v>
      </c>
      <c r="Y57">
        <v>-2.399999999999991E-2</v>
      </c>
      <c r="Z57">
        <v>-2.9161603888213743</v>
      </c>
      <c r="AB57">
        <v>6.6989999999999998</v>
      </c>
      <c r="AC57">
        <v>6.4000000000000057E-2</v>
      </c>
      <c r="AD57">
        <v>0.96458176337603696</v>
      </c>
    </row>
    <row r="58" spans="1:30" x14ac:dyDescent="0.35">
      <c r="B58">
        <v>2011</v>
      </c>
      <c r="C58">
        <v>84</v>
      </c>
      <c r="D58">
        <v>82</v>
      </c>
      <c r="E58" t="s">
        <v>67</v>
      </c>
      <c r="F58">
        <v>349</v>
      </c>
      <c r="H58">
        <v>28300</v>
      </c>
      <c r="I58">
        <v>-220900</v>
      </c>
      <c r="J58">
        <v>-88.643659711075443</v>
      </c>
      <c r="P58">
        <v>0.17299999999999999</v>
      </c>
      <c r="Q58">
        <v>-0.66100000000000003</v>
      </c>
      <c r="R58">
        <v>-79.256594724220633</v>
      </c>
      <c r="T58">
        <v>6.4740000000000002</v>
      </c>
      <c r="U58">
        <v>1.2690000000000001</v>
      </c>
      <c r="V58">
        <v>24.380403458213259</v>
      </c>
      <c r="X58">
        <v>0.77700000000000002</v>
      </c>
      <c r="Y58">
        <v>-4.599999999999993E-2</v>
      </c>
      <c r="Z58">
        <v>-5.5893074119076465</v>
      </c>
      <c r="AB58">
        <v>6.55</v>
      </c>
      <c r="AC58">
        <v>-8.4999999999999964E-2</v>
      </c>
      <c r="AD58">
        <v>-1.2810851544837976</v>
      </c>
    </row>
    <row r="59" spans="1:30" x14ac:dyDescent="0.35">
      <c r="B59">
        <v>2011</v>
      </c>
      <c r="C59">
        <v>84</v>
      </c>
      <c r="D59">
        <v>83</v>
      </c>
      <c r="E59" t="s">
        <v>68</v>
      </c>
      <c r="H59">
        <v>28100</v>
      </c>
      <c r="I59">
        <v>-221100</v>
      </c>
      <c r="J59">
        <v>-88.723916532905307</v>
      </c>
      <c r="P59">
        <v>0.17499999999999999</v>
      </c>
      <c r="Q59">
        <v>-0.65900000000000003</v>
      </c>
      <c r="R59">
        <v>-79.01678657074342</v>
      </c>
      <c r="T59">
        <v>7.3620000000000001</v>
      </c>
      <c r="U59">
        <v>2.157</v>
      </c>
      <c r="V59">
        <v>41.440922190201732</v>
      </c>
      <c r="X59">
        <v>0.89</v>
      </c>
      <c r="Y59">
        <v>6.700000000000006E-2</v>
      </c>
      <c r="Z59">
        <v>8.1409477521263742</v>
      </c>
      <c r="AB59">
        <v>6.657</v>
      </c>
      <c r="AC59">
        <v>2.2000000000000242E-2</v>
      </c>
      <c r="AD59">
        <v>0.33157498116051609</v>
      </c>
    </row>
    <row r="61" spans="1:30" x14ac:dyDescent="0.35">
      <c r="B61">
        <v>2014</v>
      </c>
      <c r="C61" t="s">
        <v>69</v>
      </c>
      <c r="D61" t="s">
        <v>44</v>
      </c>
      <c r="S61">
        <v>9.3796666666666653</v>
      </c>
      <c r="T61">
        <v>9.94</v>
      </c>
      <c r="U61">
        <v>0.56033333333333424</v>
      </c>
      <c r="V61">
        <v>5.9739152066526993</v>
      </c>
      <c r="W61">
        <v>0.82799999999999996</v>
      </c>
      <c r="X61">
        <v>0.84699999999999998</v>
      </c>
      <c r="Y61">
        <v>1.9000000000000017E-2</v>
      </c>
      <c r="Z61">
        <v>2.2946859903381664</v>
      </c>
      <c r="AA61">
        <v>5.551333333333333</v>
      </c>
      <c r="AB61">
        <v>6.0529999999999999</v>
      </c>
      <c r="AC61">
        <v>0.50166666666666693</v>
      </c>
      <c r="AD61">
        <v>9.0368680196949729</v>
      </c>
    </row>
    <row r="62" spans="1:30" x14ac:dyDescent="0.35">
      <c r="B62">
        <v>2014</v>
      </c>
      <c r="C62" t="s">
        <v>70</v>
      </c>
      <c r="D62" t="s">
        <v>45</v>
      </c>
      <c r="T62">
        <v>10.224</v>
      </c>
      <c r="U62">
        <v>0.84433333333333493</v>
      </c>
      <c r="V62">
        <v>9.0017413554142127</v>
      </c>
      <c r="X62">
        <v>0.14799999999999999</v>
      </c>
      <c r="Y62">
        <v>-0.67999999999999994</v>
      </c>
      <c r="Z62">
        <v>-82.125603864734302</v>
      </c>
      <c r="AB62">
        <v>6.0460000000000003</v>
      </c>
      <c r="AC62">
        <v>0.49466666666666725</v>
      </c>
      <c r="AD62">
        <v>8.910772186862026</v>
      </c>
    </row>
    <row r="63" spans="1:30" x14ac:dyDescent="0.35">
      <c r="B63">
        <v>2014</v>
      </c>
      <c r="C63" t="s">
        <v>71</v>
      </c>
      <c r="D63" t="s">
        <v>46</v>
      </c>
      <c r="T63">
        <v>10.052</v>
      </c>
      <c r="U63">
        <v>0.67233333333333434</v>
      </c>
      <c r="V63">
        <v>7.1679874906713223</v>
      </c>
      <c r="X63">
        <v>0.85399999999999998</v>
      </c>
      <c r="Y63">
        <v>2.6000000000000023E-2</v>
      </c>
      <c r="Z63">
        <v>3.1400966183574908</v>
      </c>
      <c r="AB63">
        <v>5.6980000000000004</v>
      </c>
      <c r="AC63">
        <v>0.14666666666666739</v>
      </c>
      <c r="AD63">
        <v>2.6420079260237914</v>
      </c>
    </row>
    <row r="64" spans="1:30" x14ac:dyDescent="0.35">
      <c r="B64">
        <v>2014</v>
      </c>
      <c r="D64" t="s">
        <v>47</v>
      </c>
      <c r="T64">
        <v>10.16</v>
      </c>
      <c r="U64">
        <v>0.78033333333333488</v>
      </c>
      <c r="V64">
        <v>8.319414335974999</v>
      </c>
      <c r="X64">
        <v>0.86799999999999999</v>
      </c>
      <c r="Y64">
        <v>4.0000000000000036E-2</v>
      </c>
      <c r="Z64">
        <v>4.8309178743961398</v>
      </c>
      <c r="AB64">
        <v>5.3710000000000004</v>
      </c>
      <c r="AC64">
        <v>-0.18033333333333257</v>
      </c>
      <c r="AD64">
        <v>-3.2484688363155865</v>
      </c>
    </row>
    <row r="65" spans="2:30" x14ac:dyDescent="0.35">
      <c r="B65">
        <v>2014</v>
      </c>
      <c r="D65" t="s">
        <v>48</v>
      </c>
      <c r="K65" t="s">
        <v>72</v>
      </c>
      <c r="T65">
        <v>10.177</v>
      </c>
      <c r="U65">
        <v>0.79733333333333434</v>
      </c>
      <c r="V65">
        <v>8.5006574505135344</v>
      </c>
      <c r="X65">
        <v>0.874</v>
      </c>
      <c r="Y65">
        <v>4.6000000000000041E-2</v>
      </c>
      <c r="Z65">
        <v>5.5555555555555607</v>
      </c>
      <c r="AB65">
        <v>5.32</v>
      </c>
      <c r="AC65">
        <v>-0.23133333333333272</v>
      </c>
      <c r="AD65">
        <v>-4.1671670469556759</v>
      </c>
    </row>
    <row r="66" spans="2:30" x14ac:dyDescent="0.35">
      <c r="B66">
        <v>2014</v>
      </c>
      <c r="C66" t="s">
        <v>73</v>
      </c>
      <c r="D66" t="s">
        <v>74</v>
      </c>
      <c r="K66">
        <v>111.13301024427906</v>
      </c>
      <c r="L66">
        <v>35.418563490645276</v>
      </c>
      <c r="M66">
        <v>-46.33501516352549</v>
      </c>
      <c r="N66">
        <v>-56.676436586989269</v>
      </c>
      <c r="S66">
        <v>9.424333333333335</v>
      </c>
      <c r="T66">
        <v>10.061</v>
      </c>
      <c r="U66">
        <v>0.63666666666666494</v>
      </c>
      <c r="V66">
        <v>6.755561843454867</v>
      </c>
      <c r="W66">
        <v>0.83333333333333337</v>
      </c>
      <c r="X66">
        <v>0.873</v>
      </c>
      <c r="Y66">
        <v>3.9666666666666628E-2</v>
      </c>
      <c r="Z66">
        <v>4.7599999999999945</v>
      </c>
      <c r="AA66">
        <v>5.2096666666666662</v>
      </c>
      <c r="AB66">
        <v>5.157</v>
      </c>
      <c r="AC66">
        <v>-5.2666666666666195E-2</v>
      </c>
      <c r="AD66">
        <v>-1.0109411990530335</v>
      </c>
    </row>
    <row r="67" spans="2:30" x14ac:dyDescent="0.35">
      <c r="B67">
        <v>2014</v>
      </c>
      <c r="C67" t="s">
        <v>75</v>
      </c>
      <c r="D67" t="s">
        <v>76</v>
      </c>
      <c r="K67">
        <v>65.10061993255097</v>
      </c>
      <c r="L67">
        <v>51.118778987994467</v>
      </c>
      <c r="M67">
        <v>-30.634799666176299</v>
      </c>
      <c r="N67">
        <v>-37.472120695493764</v>
      </c>
      <c r="T67">
        <v>10.455</v>
      </c>
      <c r="U67">
        <v>1.0306666666666651</v>
      </c>
      <c r="V67">
        <v>10.936228910975117</v>
      </c>
      <c r="X67">
        <v>0.91300000000000003</v>
      </c>
      <c r="Y67">
        <v>7.9666666666666663E-2</v>
      </c>
      <c r="Z67">
        <v>9.5599999999999987</v>
      </c>
      <c r="AB67">
        <v>5.4610000000000003</v>
      </c>
      <c r="AC67">
        <v>0.25133333333333407</v>
      </c>
      <c r="AD67">
        <v>4.8243649625695966</v>
      </c>
    </row>
    <row r="68" spans="2:30" x14ac:dyDescent="0.35">
      <c r="B68">
        <v>2014</v>
      </c>
      <c r="C68" t="s">
        <v>77</v>
      </c>
      <c r="D68" t="s">
        <v>78</v>
      </c>
      <c r="K68">
        <v>69.027105785682252</v>
      </c>
      <c r="L68">
        <v>53.679157071655567</v>
      </c>
      <c r="M68">
        <v>-28.0744215825152</v>
      </c>
      <c r="N68">
        <v>-34.340296834312269</v>
      </c>
      <c r="T68">
        <v>10.115</v>
      </c>
      <c r="U68">
        <v>0.69066666666666521</v>
      </c>
      <c r="V68">
        <v>7.3285466699677979</v>
      </c>
      <c r="X68">
        <v>0.88200000000000001</v>
      </c>
      <c r="Y68">
        <v>4.8666666666666636E-2</v>
      </c>
      <c r="Z68">
        <v>5.8399999999999963</v>
      </c>
      <c r="AB68">
        <v>5.4180000000000001</v>
      </c>
      <c r="AC68">
        <v>0.20833333333333393</v>
      </c>
      <c r="AD68">
        <v>3.99897626207692</v>
      </c>
    </row>
    <row r="69" spans="2:30" x14ac:dyDescent="0.35">
      <c r="B69">
        <v>2014</v>
      </c>
      <c r="D69" t="s">
        <v>79</v>
      </c>
      <c r="L69">
        <v>21.843404523583043</v>
      </c>
      <c r="M69">
        <v>-59.91017413058772</v>
      </c>
      <c r="N69">
        <v>-73.281408736877751</v>
      </c>
      <c r="T69">
        <v>9.9459999999999997</v>
      </c>
      <c r="U69">
        <v>0.52166666666666472</v>
      </c>
      <c r="V69">
        <v>5.5353163795847413</v>
      </c>
      <c r="X69">
        <v>0.872</v>
      </c>
      <c r="Y69">
        <v>3.8666666666666627E-2</v>
      </c>
      <c r="Z69">
        <v>4.6399999999999952</v>
      </c>
      <c r="AB69">
        <v>4.9550000000000001</v>
      </c>
      <c r="AC69">
        <v>-0.25466666666666615</v>
      </c>
      <c r="AD69">
        <v>-4.888348582762803</v>
      </c>
    </row>
    <row r="70" spans="2:30" x14ac:dyDescent="0.35">
      <c r="B70">
        <v>2014</v>
      </c>
      <c r="D70" t="s">
        <v>80</v>
      </c>
      <c r="L70">
        <v>34.871547591339599</v>
      </c>
      <c r="M70">
        <v>-46.882031062831167</v>
      </c>
      <c r="N70">
        <v>-57.345539895138785</v>
      </c>
      <c r="T70">
        <v>10.032</v>
      </c>
      <c r="U70">
        <v>0.60766666666666502</v>
      </c>
      <c r="V70">
        <v>6.4478477699571837</v>
      </c>
      <c r="X70">
        <v>0.88400000000000001</v>
      </c>
      <c r="Y70">
        <v>5.0666666666666638E-2</v>
      </c>
      <c r="Z70">
        <v>6.0799999999999965</v>
      </c>
      <c r="AB70">
        <v>5.1580000000000004</v>
      </c>
      <c r="AC70">
        <v>-5.1666666666665861E-2</v>
      </c>
      <c r="AD70">
        <v>-0.99174611299505788</v>
      </c>
    </row>
    <row r="71" spans="2:30" x14ac:dyDescent="0.35">
      <c r="B71">
        <v>2014</v>
      </c>
      <c r="C71" t="s">
        <v>81</v>
      </c>
      <c r="D71" t="s">
        <v>82</v>
      </c>
      <c r="K71">
        <v>30.947020306739926</v>
      </c>
      <c r="L71">
        <v>17.801520708039465</v>
      </c>
      <c r="M71">
        <v>-14.696767584177056</v>
      </c>
      <c r="N71">
        <v>-45.223205148613921</v>
      </c>
      <c r="S71">
        <v>9.386333333333333</v>
      </c>
      <c r="T71">
        <v>10.18</v>
      </c>
      <c r="U71">
        <v>0.79366666666666674</v>
      </c>
      <c r="V71">
        <v>8.4555559501402762</v>
      </c>
      <c r="W71">
        <v>0.82533333333333336</v>
      </c>
      <c r="X71">
        <v>0.875</v>
      </c>
      <c r="Y71">
        <v>4.9666666666666637E-2</v>
      </c>
      <c r="Z71">
        <v>6.0177705977382843</v>
      </c>
      <c r="AA71">
        <v>5.1366666666666667</v>
      </c>
      <c r="AB71">
        <v>5.1050000000000004</v>
      </c>
      <c r="AC71">
        <v>-3.1666666666666288E-2</v>
      </c>
      <c r="AD71">
        <v>-0.61648280337442474</v>
      </c>
    </row>
    <row r="72" spans="2:30" x14ac:dyDescent="0.35">
      <c r="B72">
        <v>2014</v>
      </c>
      <c r="C72" t="s">
        <v>83</v>
      </c>
      <c r="D72" t="s">
        <v>84</v>
      </c>
      <c r="K72">
        <v>30.674310498907211</v>
      </c>
      <c r="L72">
        <v>16.400280069419345</v>
      </c>
      <c r="M72">
        <v>-16.098008222797176</v>
      </c>
      <c r="N72">
        <v>-49.534941896163552</v>
      </c>
      <c r="T72">
        <v>10.031000000000001</v>
      </c>
      <c r="U72">
        <v>0.64466666666666761</v>
      </c>
      <c r="V72">
        <v>6.8681416243474649</v>
      </c>
      <c r="X72">
        <v>0.877</v>
      </c>
      <c r="Y72">
        <v>5.1666666666666639E-2</v>
      </c>
      <c r="Z72">
        <v>6.2600969305331144</v>
      </c>
      <c r="AB72">
        <v>5.093</v>
      </c>
      <c r="AC72">
        <v>-4.3666666666666742E-2</v>
      </c>
      <c r="AD72">
        <v>-0.85009733939000798</v>
      </c>
    </row>
    <row r="73" spans="2:30" x14ac:dyDescent="0.35">
      <c r="B73">
        <v>2014</v>
      </c>
      <c r="C73" t="s">
        <v>85</v>
      </c>
      <c r="D73" t="s">
        <v>86</v>
      </c>
      <c r="K73">
        <v>35.873534071002432</v>
      </c>
      <c r="L73">
        <v>17.825909390040763</v>
      </c>
      <c r="M73">
        <v>-14.672378902175758</v>
      </c>
      <c r="N73">
        <v>-45.148159097628096</v>
      </c>
      <c r="T73">
        <v>10.335000000000001</v>
      </c>
      <c r="U73">
        <v>0.94866666666666788</v>
      </c>
      <c r="V73">
        <v>10.106893000461678</v>
      </c>
      <c r="X73">
        <v>0.88500000000000001</v>
      </c>
      <c r="Y73">
        <v>5.9666666666666646E-2</v>
      </c>
      <c r="Z73">
        <v>7.2294022617124369</v>
      </c>
      <c r="AB73">
        <v>5.077</v>
      </c>
      <c r="AC73">
        <v>-5.9666666666666757E-2</v>
      </c>
      <c r="AD73">
        <v>-1.1615833874107739</v>
      </c>
    </row>
    <row r="74" spans="2:30" x14ac:dyDescent="0.35">
      <c r="B74">
        <v>2014</v>
      </c>
      <c r="D74" t="s">
        <v>87</v>
      </c>
      <c r="L74">
        <v>24.625917362584921</v>
      </c>
      <c r="M74">
        <v>-7.8723709296316002</v>
      </c>
      <c r="N74">
        <v>-24.223955609123777</v>
      </c>
      <c r="T74">
        <v>10.292</v>
      </c>
      <c r="U74">
        <v>0.90566666666666684</v>
      </c>
      <c r="V74">
        <v>9.6487801413402483</v>
      </c>
      <c r="X74">
        <v>0.86399999999999999</v>
      </c>
      <c r="Y74">
        <v>3.8666666666666627E-2</v>
      </c>
      <c r="Z74">
        <v>4.6849757673667156</v>
      </c>
      <c r="AB74">
        <v>5.048</v>
      </c>
      <c r="AC74">
        <v>-8.8666666666666671E-2</v>
      </c>
      <c r="AD74">
        <v>-1.7261518494484103</v>
      </c>
    </row>
    <row r="75" spans="2:30" x14ac:dyDescent="0.35">
      <c r="B75">
        <v>2014</v>
      </c>
      <c r="D75" t="s">
        <v>88</v>
      </c>
      <c r="L75">
        <v>22.907623857947907</v>
      </c>
      <c r="M75">
        <v>-9.5906644342686143</v>
      </c>
      <c r="N75">
        <v>-29.511291019489228</v>
      </c>
      <c r="T75">
        <v>10.356</v>
      </c>
      <c r="U75">
        <v>0.9696666666666669</v>
      </c>
      <c r="V75">
        <v>10.330622536311662</v>
      </c>
      <c r="X75">
        <v>0.90300000000000002</v>
      </c>
      <c r="Y75">
        <v>7.7666666666666662E-2</v>
      </c>
      <c r="Z75">
        <v>9.4103392568659121</v>
      </c>
      <c r="AB75">
        <v>5.0650000000000004</v>
      </c>
      <c r="AC75">
        <v>-7.1666666666666323E-2</v>
      </c>
      <c r="AD75">
        <v>-1.3951979234263399</v>
      </c>
    </row>
    <row r="76" spans="2:30" x14ac:dyDescent="0.35">
      <c r="B76">
        <v>2014</v>
      </c>
      <c r="C76" t="s">
        <v>89</v>
      </c>
      <c r="D76" t="s">
        <v>90</v>
      </c>
      <c r="K76">
        <v>39.999655635040483</v>
      </c>
      <c r="L76">
        <v>18.355808935341727</v>
      </c>
      <c r="M76">
        <v>-23.792267868722327</v>
      </c>
      <c r="N76">
        <v>-56.449237243556027</v>
      </c>
      <c r="S76">
        <v>9.4976666666666674</v>
      </c>
      <c r="T76">
        <v>10.111000000000001</v>
      </c>
      <c r="U76">
        <v>0.61333333333333329</v>
      </c>
      <c r="V76">
        <v>6.4577264591303116</v>
      </c>
      <c r="W76">
        <v>0.84266666666666656</v>
      </c>
      <c r="X76">
        <v>0.86799999999999999</v>
      </c>
      <c r="Y76">
        <v>2.533333333333343E-2</v>
      </c>
      <c r="Z76">
        <v>3.0063291139240627</v>
      </c>
      <c r="AA76">
        <v>5.1236666666666668</v>
      </c>
      <c r="AB76">
        <v>5.1280000000000001</v>
      </c>
      <c r="AC76">
        <v>4.3333333333333002E-3</v>
      </c>
      <c r="AD76">
        <v>8.4574848741135258E-2</v>
      </c>
    </row>
    <row r="77" spans="2:30" x14ac:dyDescent="0.35">
      <c r="B77">
        <v>2014</v>
      </c>
      <c r="C77" t="s">
        <v>91</v>
      </c>
      <c r="D77" t="s">
        <v>92</v>
      </c>
      <c r="K77">
        <v>42.467346822990159</v>
      </c>
      <c r="L77">
        <v>18.338071712068057</v>
      </c>
      <c r="M77">
        <v>-23.810005091995997</v>
      </c>
      <c r="N77">
        <v>-56.491320357706478</v>
      </c>
      <c r="T77">
        <v>10.305</v>
      </c>
      <c r="U77">
        <v>0.80733333333333235</v>
      </c>
      <c r="V77">
        <v>8.5003334152247803</v>
      </c>
      <c r="X77">
        <v>0.875</v>
      </c>
      <c r="Y77">
        <v>3.2333333333333436E-2</v>
      </c>
      <c r="Z77">
        <v>3.8370253164557089</v>
      </c>
      <c r="AB77">
        <v>4.9480000000000004</v>
      </c>
      <c r="AC77">
        <v>-0.17566666666666642</v>
      </c>
      <c r="AD77">
        <v>-3.4285342528137348</v>
      </c>
    </row>
    <row r="78" spans="2:30" x14ac:dyDescent="0.35">
      <c r="B78">
        <v>2014</v>
      </c>
      <c r="C78" t="s">
        <v>93</v>
      </c>
      <c r="D78" t="s">
        <v>94</v>
      </c>
      <c r="K78">
        <v>43.977227954161513</v>
      </c>
      <c r="L78">
        <v>18.695033330450713</v>
      </c>
      <c r="M78">
        <v>-23.453043473613342</v>
      </c>
      <c r="N78">
        <v>-55.644397685428729</v>
      </c>
      <c r="T78">
        <v>11.169</v>
      </c>
      <c r="U78">
        <v>1.6713333333333331</v>
      </c>
      <c r="V78">
        <v>17.597304601130098</v>
      </c>
      <c r="X78">
        <v>0.90400000000000003</v>
      </c>
      <c r="Y78">
        <v>6.1333333333333462E-2</v>
      </c>
      <c r="Z78">
        <v>7.2784810126582444</v>
      </c>
      <c r="AB78">
        <v>5.0730000000000004</v>
      </c>
      <c r="AC78">
        <v>-5.0666666666666416E-2</v>
      </c>
      <c r="AD78">
        <v>-0.98887515451173791</v>
      </c>
    </row>
    <row r="79" spans="2:30" x14ac:dyDescent="0.35">
      <c r="B79">
        <v>2014</v>
      </c>
      <c r="D79" t="s">
        <v>95</v>
      </c>
      <c r="L79">
        <v>20.628390667281007</v>
      </c>
      <c r="M79">
        <v>-21.519686136783047</v>
      </c>
      <c r="N79">
        <v>-51.057338243029982</v>
      </c>
      <c r="T79">
        <v>10.079000000000001</v>
      </c>
      <c r="U79">
        <v>0.58133333333333326</v>
      </c>
      <c r="V79">
        <v>6.1208016003930776</v>
      </c>
      <c r="X79">
        <v>0.877</v>
      </c>
      <c r="Y79">
        <v>3.4333333333333438E-2</v>
      </c>
      <c r="Z79">
        <v>4.074367088607608</v>
      </c>
      <c r="AB79">
        <v>5.0709999999999997</v>
      </c>
      <c r="AC79">
        <v>-5.2666666666667084E-2</v>
      </c>
      <c r="AD79">
        <v>-1.0279097000845829</v>
      </c>
    </row>
    <row r="80" spans="2:30" x14ac:dyDescent="0.35">
      <c r="B80">
        <v>2014</v>
      </c>
      <c r="D80" t="s">
        <v>96</v>
      </c>
      <c r="L80">
        <v>21.723664204430275</v>
      </c>
      <c r="M80">
        <v>-20.424412599633779</v>
      </c>
      <c r="N80">
        <v>-48.458705944239881</v>
      </c>
      <c r="T80">
        <v>10.417</v>
      </c>
      <c r="U80">
        <v>0.91933333333333245</v>
      </c>
      <c r="V80">
        <v>9.679570420805101</v>
      </c>
      <c r="X80">
        <v>0.873</v>
      </c>
      <c r="Y80">
        <v>3.0333333333333434E-2</v>
      </c>
      <c r="Z80">
        <v>3.5996835443038098</v>
      </c>
      <c r="AB80">
        <v>5.0670000000000002</v>
      </c>
      <c r="AC80">
        <v>-5.6666666666666643E-2</v>
      </c>
      <c r="AD80">
        <v>-1.1059787912302383</v>
      </c>
    </row>
    <row r="81" spans="2:30" x14ac:dyDescent="0.35">
      <c r="B81">
        <v>2014</v>
      </c>
      <c r="D81" t="s">
        <v>97</v>
      </c>
      <c r="L81">
        <v>43.547100289774967</v>
      </c>
      <c r="M81">
        <v>1.399023485710913</v>
      </c>
      <c r="N81">
        <v>3.3193056286165223</v>
      </c>
      <c r="T81">
        <v>11.183999999999999</v>
      </c>
      <c r="U81">
        <v>1.6863333333333319</v>
      </c>
      <c r="V81">
        <v>17.755238128663166</v>
      </c>
      <c r="X81">
        <v>0.91100000000000003</v>
      </c>
      <c r="Y81">
        <v>6.8333333333333468E-2</v>
      </c>
      <c r="Z81">
        <v>8.1091772151898898</v>
      </c>
      <c r="AB81">
        <v>4.7359999999999998</v>
      </c>
      <c r="AC81">
        <v>-0.38766666666666705</v>
      </c>
      <c r="AD81">
        <v>-7.566196083533935</v>
      </c>
    </row>
    <row r="82" spans="2:30" x14ac:dyDescent="0.35">
      <c r="B82">
        <v>2014</v>
      </c>
      <c r="C82" t="s">
        <v>98</v>
      </c>
      <c r="D82" t="s">
        <v>99</v>
      </c>
      <c r="K82">
        <v>33.999369472461858</v>
      </c>
      <c r="L82">
        <v>21.640665377362602</v>
      </c>
      <c r="M82">
        <v>-7.017287977328607</v>
      </c>
      <c r="N82">
        <v>-24.486354243367142</v>
      </c>
      <c r="S82">
        <v>9.3423333333333343</v>
      </c>
      <c r="T82">
        <v>10.285</v>
      </c>
      <c r="U82">
        <v>0.94266666666666588</v>
      </c>
      <c r="V82">
        <v>10.090270096692466</v>
      </c>
      <c r="W82">
        <v>0.81866666666666665</v>
      </c>
      <c r="X82">
        <v>0.84299999999999997</v>
      </c>
      <c r="Y82">
        <v>2.4333333333333318E-2</v>
      </c>
      <c r="Z82">
        <v>2.9723127035830599</v>
      </c>
      <c r="AA82">
        <v>5.0106666666666664</v>
      </c>
      <c r="AB82">
        <v>4.8879999999999999</v>
      </c>
      <c r="AC82">
        <v>-0.12266666666666648</v>
      </c>
      <c r="AD82">
        <v>-2.4481106971793469</v>
      </c>
    </row>
    <row r="83" spans="2:30" x14ac:dyDescent="0.35">
      <c r="B83">
        <v>2014</v>
      </c>
      <c r="C83" t="s">
        <v>100</v>
      </c>
      <c r="D83" t="s">
        <v>101</v>
      </c>
      <c r="K83">
        <v>23.316537236920563</v>
      </c>
      <c r="L83">
        <v>11.89174711067327</v>
      </c>
      <c r="M83">
        <v>-16.766206244017937</v>
      </c>
      <c r="N83">
        <v>-58.504548585544292</v>
      </c>
      <c r="T83">
        <v>9.9480000000000004</v>
      </c>
      <c r="U83">
        <v>0.60566666666666613</v>
      </c>
      <c r="V83">
        <v>6.4830342170050255</v>
      </c>
      <c r="X83">
        <v>0.83699999999999997</v>
      </c>
      <c r="Y83">
        <v>1.8333333333333313E-2</v>
      </c>
      <c r="Z83">
        <v>2.2394136807817566</v>
      </c>
      <c r="AB83">
        <v>4.931</v>
      </c>
      <c r="AC83">
        <v>-7.966666666666633E-2</v>
      </c>
      <c r="AD83">
        <v>-1.5899414582224523</v>
      </c>
    </row>
    <row r="84" spans="2:30" x14ac:dyDescent="0.35">
      <c r="B84">
        <v>2014</v>
      </c>
      <c r="C84" t="s">
        <v>102</v>
      </c>
      <c r="D84" t="s">
        <v>103</v>
      </c>
      <c r="L84">
        <v>11.40573065749521</v>
      </c>
      <c r="M84">
        <v>-17.252222697195997</v>
      </c>
      <c r="N84">
        <v>-60.200470297617635</v>
      </c>
      <c r="T84">
        <v>11.031000000000001</v>
      </c>
      <c r="U84">
        <v>1.6886666666666663</v>
      </c>
      <c r="V84">
        <v>18.075427266564379</v>
      </c>
      <c r="X84">
        <v>0.872</v>
      </c>
      <c r="Y84">
        <v>5.3333333333333344E-2</v>
      </c>
      <c r="Z84">
        <v>6.5146579804560272</v>
      </c>
      <c r="AB84">
        <v>4.7119999999999997</v>
      </c>
      <c r="AC84">
        <v>-0.29866666666666664</v>
      </c>
      <c r="AD84">
        <v>-5.9606173496540711</v>
      </c>
    </row>
    <row r="85" spans="2:30" x14ac:dyDescent="0.35">
      <c r="B85">
        <v>2014</v>
      </c>
      <c r="D85" t="s">
        <v>104</v>
      </c>
      <c r="L85">
        <v>10.601148798032371</v>
      </c>
      <c r="M85">
        <v>-18.05680455665884</v>
      </c>
      <c r="N85">
        <v>-63.00800456046175</v>
      </c>
      <c r="T85">
        <v>10.542999999999999</v>
      </c>
      <c r="U85">
        <v>1.200666666666665</v>
      </c>
      <c r="V85">
        <v>12.851892817640115</v>
      </c>
      <c r="X85">
        <v>0.89500000000000002</v>
      </c>
      <c r="Y85">
        <v>7.6333333333333364E-2</v>
      </c>
      <c r="Z85">
        <v>9.3241042345276917</v>
      </c>
      <c r="AB85">
        <v>4.9249999999999998</v>
      </c>
      <c r="AC85">
        <v>-8.5666666666666558E-2</v>
      </c>
      <c r="AD85">
        <v>-1.7096860031931858</v>
      </c>
    </row>
    <row r="86" spans="2:30" x14ac:dyDescent="0.35">
      <c r="B86">
        <v>2014</v>
      </c>
      <c r="D86" t="s">
        <v>105</v>
      </c>
      <c r="L86">
        <v>7.3501479851774469</v>
      </c>
      <c r="M86">
        <v>-21.307805369513762</v>
      </c>
      <c r="N86">
        <v>-74.352153155506997</v>
      </c>
      <c r="T86">
        <v>9.7029999999999994</v>
      </c>
      <c r="U86">
        <v>0.36066666666666514</v>
      </c>
      <c r="V86">
        <v>3.8605630285082078</v>
      </c>
      <c r="X86">
        <v>0.76400000000000001</v>
      </c>
      <c r="Y86">
        <v>-5.4666666666666641E-2</v>
      </c>
      <c r="Z86">
        <v>-6.6775244299674243</v>
      </c>
      <c r="AB86">
        <v>4.9989999999999997</v>
      </c>
      <c r="AC86">
        <v>-1.1666666666666714E-2</v>
      </c>
      <c r="AD86">
        <v>-0.23283661522086313</v>
      </c>
    </row>
    <row r="87" spans="2:30" x14ac:dyDescent="0.35">
      <c r="B87">
        <v>2014</v>
      </c>
      <c r="C87" t="s">
        <v>106</v>
      </c>
      <c r="D87" t="s">
        <v>107</v>
      </c>
      <c r="K87">
        <v>21.553536377353087</v>
      </c>
      <c r="L87">
        <v>14.848687548496093</v>
      </c>
      <c r="M87">
        <v>-14.082224626537412</v>
      </c>
      <c r="N87">
        <v>-48.675356453813933</v>
      </c>
      <c r="S87">
        <v>9.4193333333333324</v>
      </c>
      <c r="T87">
        <v>10.032999999999999</v>
      </c>
      <c r="U87">
        <v>0.61366666666666703</v>
      </c>
      <c r="V87">
        <v>6.5149692122584799</v>
      </c>
      <c r="W87">
        <v>0.82</v>
      </c>
      <c r="X87">
        <v>0.83099999999999996</v>
      </c>
      <c r="Y87">
        <v>1.100000000000001E-2</v>
      </c>
      <c r="Z87">
        <v>1.3414634146341475</v>
      </c>
      <c r="AA87">
        <v>4.9903333333333331</v>
      </c>
      <c r="AB87">
        <v>4.8090000000000002</v>
      </c>
      <c r="AC87">
        <v>-0.1813333333333329</v>
      </c>
      <c r="AD87">
        <v>-3.6336918041546906</v>
      </c>
    </row>
    <row r="88" spans="2:30" x14ac:dyDescent="0.35">
      <c r="B88">
        <v>2014</v>
      </c>
      <c r="C88" t="s">
        <v>108</v>
      </c>
      <c r="D88" t="s">
        <v>109</v>
      </c>
      <c r="K88">
        <v>36.308287972713927</v>
      </c>
      <c r="L88">
        <v>15.189035204783249</v>
      </c>
      <c r="M88">
        <v>-13.741876970250257</v>
      </c>
      <c r="N88">
        <v>-47.49894122629523</v>
      </c>
      <c r="T88">
        <v>12.712</v>
      </c>
      <c r="U88">
        <v>3.2926666666666673</v>
      </c>
      <c r="V88">
        <v>34.956472503361894</v>
      </c>
      <c r="X88">
        <v>0.94399999999999995</v>
      </c>
      <c r="Y88">
        <v>0.124</v>
      </c>
      <c r="Z88">
        <v>15.121951219512194</v>
      </c>
      <c r="AB88">
        <v>4.8029999999999999</v>
      </c>
      <c r="AC88">
        <v>-0.18733333333333313</v>
      </c>
      <c r="AD88">
        <v>-3.7539242535568729</v>
      </c>
    </row>
    <row r="89" spans="2:30" x14ac:dyDescent="0.35">
      <c r="B89">
        <v>2014</v>
      </c>
      <c r="C89" t="s">
        <v>110</v>
      </c>
      <c r="D89" t="s">
        <v>111</v>
      </c>
      <c r="L89">
        <v>10.511297016772563</v>
      </c>
      <c r="M89">
        <v>-18.419615158260942</v>
      </c>
      <c r="N89">
        <v>-63.66759211331231</v>
      </c>
      <c r="T89">
        <v>10.935</v>
      </c>
      <c r="U89">
        <v>1.515666666666668</v>
      </c>
      <c r="V89">
        <v>16.091018472644929</v>
      </c>
      <c r="X89">
        <v>0.85299999999999998</v>
      </c>
      <c r="Y89">
        <v>3.3000000000000029E-2</v>
      </c>
      <c r="Z89">
        <v>4.0243902439024426</v>
      </c>
      <c r="AB89">
        <v>4.8600000000000003</v>
      </c>
      <c r="AC89">
        <v>-0.13033333333333275</v>
      </c>
      <c r="AD89">
        <v>-2.6117159842361781</v>
      </c>
    </row>
    <row r="90" spans="2:30" x14ac:dyDescent="0.35">
      <c r="B90">
        <v>2014</v>
      </c>
      <c r="D90" t="s">
        <v>112</v>
      </c>
      <c r="L90">
        <v>7.5257673758216175</v>
      </c>
      <c r="M90">
        <v>-21.40514479921189</v>
      </c>
      <c r="N90">
        <v>-73.987106489106395</v>
      </c>
      <c r="T90">
        <v>10.026999999999999</v>
      </c>
      <c r="U90">
        <v>0.6076666666666668</v>
      </c>
      <c r="V90">
        <v>6.4512704366904972</v>
      </c>
      <c r="X90">
        <v>0.81200000000000006</v>
      </c>
      <c r="Y90">
        <v>-7.9999999999998961E-3</v>
      </c>
      <c r="Z90">
        <v>-0.9756097560975483</v>
      </c>
      <c r="AB90">
        <v>4.9859999999999998</v>
      </c>
      <c r="AC90">
        <v>-4.3333333333333002E-3</v>
      </c>
      <c r="AD90">
        <v>-8.6834546790460904E-2</v>
      </c>
    </row>
    <row r="91" spans="2:30" x14ac:dyDescent="0.35">
      <c r="B91">
        <v>2014</v>
      </c>
      <c r="D91" t="s">
        <v>113</v>
      </c>
      <c r="L91">
        <v>12.309694032593899</v>
      </c>
      <c r="M91">
        <v>-16.621218142439606</v>
      </c>
      <c r="N91">
        <v>-57.451414051103477</v>
      </c>
      <c r="T91">
        <v>10.762</v>
      </c>
      <c r="U91">
        <v>1.342666666666668</v>
      </c>
      <c r="V91">
        <v>14.254370443768153</v>
      </c>
      <c r="X91">
        <v>0.96799999999999997</v>
      </c>
      <c r="Y91">
        <v>0.14800000000000002</v>
      </c>
      <c r="Z91">
        <v>18.048780487804883</v>
      </c>
      <c r="AB91">
        <v>4.9080000000000004</v>
      </c>
      <c r="AC91">
        <v>-8.2333333333332703E-2</v>
      </c>
      <c r="AD91">
        <v>-1.649856389018757</v>
      </c>
    </row>
    <row r="93" spans="2:30" x14ac:dyDescent="0.35">
      <c r="K93" t="s">
        <v>114</v>
      </c>
    </row>
    <row r="94" spans="2:30" x14ac:dyDescent="0.35">
      <c r="D94" t="s">
        <v>115</v>
      </c>
      <c r="F94">
        <v>1174.8979591836735</v>
      </c>
      <c r="G94">
        <v>257223.5294117647</v>
      </c>
      <c r="H94">
        <v>20282.692307692309</v>
      </c>
      <c r="I94">
        <v>-224571.15384615384</v>
      </c>
      <c r="J94">
        <v>-91.267171266438339</v>
      </c>
      <c r="K94">
        <v>4.4952120177754115E-2</v>
      </c>
      <c r="L94">
        <v>2.0798730054081768E-2</v>
      </c>
      <c r="M94">
        <v>-2.2026102012452243E-2</v>
      </c>
      <c r="N94">
        <v>-5.1508290658842264E-2</v>
      </c>
      <c r="O94">
        <v>0.21378571428571427</v>
      </c>
      <c r="P94">
        <v>0.10979245283018864</v>
      </c>
      <c r="Q94">
        <v>-0.15156603773584904</v>
      </c>
      <c r="R94">
        <v>-50.370185281082001</v>
      </c>
      <c r="S94">
        <v>9.505233333333333</v>
      </c>
      <c r="T94">
        <v>10.663428571428572</v>
      </c>
      <c r="U94">
        <v>1.8639642857142855</v>
      </c>
      <c r="V94">
        <v>23.46281959507213</v>
      </c>
      <c r="W94">
        <v>0.85105000000000008</v>
      </c>
      <c r="X94">
        <v>0.8863809523809526</v>
      </c>
      <c r="Y94">
        <v>6.5027777777777837E-2</v>
      </c>
      <c r="Z94">
        <v>8.8410665297080957</v>
      </c>
      <c r="AA94">
        <v>6.1309666666666676</v>
      </c>
      <c r="AB94">
        <v>5.9313928571428569</v>
      </c>
      <c r="AC94">
        <v>-6.3123015873015734E-2</v>
      </c>
      <c r="AD94">
        <v>-1.0611593940076942</v>
      </c>
    </row>
    <row r="95" spans="2:30" x14ac:dyDescent="0.35">
      <c r="D95" t="s">
        <v>116</v>
      </c>
      <c r="G95">
        <v>63704.811486542727</v>
      </c>
      <c r="H95">
        <v>15188.072218270187</v>
      </c>
      <c r="I95">
        <v>41322.354660897065</v>
      </c>
      <c r="J95">
        <v>6.9266510668225019</v>
      </c>
      <c r="K95">
        <v>2.4306752759406278E-2</v>
      </c>
      <c r="L95">
        <v>1.2077481409260972E-2</v>
      </c>
      <c r="M95">
        <v>1.2729374403601021E-2</v>
      </c>
      <c r="N95">
        <v>1.4159217695556199E-2</v>
      </c>
      <c r="O95">
        <v>0.30699791494441747</v>
      </c>
      <c r="P95">
        <v>0.20039992308559923</v>
      </c>
      <c r="Q95">
        <v>0.29674221585500271</v>
      </c>
      <c r="R95">
        <v>50.056178683675633</v>
      </c>
      <c r="S95">
        <v>2.4387578616177437</v>
      </c>
      <c r="T95">
        <v>2.8724154785795721</v>
      </c>
      <c r="U95">
        <v>1.9789103082454091</v>
      </c>
      <c r="V95">
        <v>26.765612206909541</v>
      </c>
      <c r="W95">
        <v>9.9194314294237473E-2</v>
      </c>
      <c r="X95">
        <v>0.15639230135135671</v>
      </c>
      <c r="Y95">
        <v>0.16269819307645547</v>
      </c>
      <c r="Z95">
        <v>21.19429893753475</v>
      </c>
      <c r="AA95">
        <v>0.65796336395279786</v>
      </c>
      <c r="AB95">
        <v>0.65933226568618775</v>
      </c>
      <c r="AC95">
        <v>0.12914054048264512</v>
      </c>
      <c r="AD95">
        <v>2.3372071030654271</v>
      </c>
    </row>
    <row r="97" spans="4:30" x14ac:dyDescent="0.35">
      <c r="D97" t="s">
        <v>117</v>
      </c>
      <c r="G97">
        <v>15450.686271710405</v>
      </c>
      <c r="H97">
        <v>2106.2066599393561</v>
      </c>
      <c r="I97">
        <v>5730.3795597220287</v>
      </c>
      <c r="J97">
        <v>0.96055367648753365</v>
      </c>
      <c r="K97">
        <v>6.7414802626203961E-3</v>
      </c>
      <c r="L97">
        <v>2.4653055692199395E-3</v>
      </c>
      <c r="M97">
        <v>2.5983726694722865E-3</v>
      </c>
      <c r="N97">
        <v>2.8902382092582486E-3</v>
      </c>
      <c r="O97">
        <v>8.2048644012569838E-2</v>
      </c>
      <c r="P97">
        <v>2.7527046450311815E-2</v>
      </c>
      <c r="Q97">
        <v>4.0760678117226785E-2</v>
      </c>
      <c r="R97">
        <v>6.8757449331060316</v>
      </c>
      <c r="S97">
        <v>0.54532283592392994</v>
      </c>
      <c r="T97">
        <v>0.31340622280842129</v>
      </c>
      <c r="U97">
        <v>0.21591681621578529</v>
      </c>
      <c r="V97">
        <v>2.9203677133332619</v>
      </c>
      <c r="W97">
        <v>2.2180522974339405E-2</v>
      </c>
      <c r="X97">
        <v>1.7063799025022301E-2</v>
      </c>
      <c r="Y97">
        <v>1.7751828219176129E-2</v>
      </c>
      <c r="Z97">
        <v>2.3124875995898839</v>
      </c>
      <c r="AA97">
        <v>0.14712508085028908</v>
      </c>
      <c r="AB97">
        <v>7.1939047991278343E-2</v>
      </c>
      <c r="AC97">
        <v>1.4090388144029293E-2</v>
      </c>
      <c r="AD97">
        <v>0.25501020153775655</v>
      </c>
    </row>
    <row r="98" spans="4:30" x14ac:dyDescent="0.35">
      <c r="D98" t="s">
        <v>118</v>
      </c>
      <c r="G98">
        <v>17</v>
      </c>
      <c r="H98">
        <v>52</v>
      </c>
      <c r="I98">
        <v>52</v>
      </c>
      <c r="J98">
        <v>52</v>
      </c>
      <c r="K98">
        <v>13</v>
      </c>
      <c r="L98">
        <v>24</v>
      </c>
      <c r="M98">
        <v>24</v>
      </c>
      <c r="N98">
        <v>24</v>
      </c>
      <c r="O98">
        <v>14</v>
      </c>
      <c r="P98">
        <v>53</v>
      </c>
      <c r="Q98">
        <v>53</v>
      </c>
      <c r="R98">
        <v>53</v>
      </c>
      <c r="S98">
        <v>20</v>
      </c>
      <c r="T98">
        <v>84</v>
      </c>
      <c r="U98">
        <v>84</v>
      </c>
      <c r="V98">
        <v>84</v>
      </c>
      <c r="W98">
        <v>20</v>
      </c>
      <c r="X98">
        <v>84</v>
      </c>
      <c r="Y98">
        <v>84</v>
      </c>
      <c r="Z98">
        <v>84</v>
      </c>
      <c r="AA98">
        <v>20</v>
      </c>
      <c r="AB98">
        <v>84</v>
      </c>
      <c r="AC98">
        <v>84</v>
      </c>
      <c r="AD98">
        <v>84</v>
      </c>
    </row>
    <row r="99" spans="4:30" x14ac:dyDescent="0.35">
      <c r="D99" t="s">
        <v>119</v>
      </c>
      <c r="G99">
        <v>196500</v>
      </c>
      <c r="H99">
        <v>2100</v>
      </c>
      <c r="I99">
        <v>-339800</v>
      </c>
      <c r="J99">
        <v>-99.24132947976878</v>
      </c>
      <c r="K99">
        <v>2.1553536377353088E-2</v>
      </c>
      <c r="L99">
        <v>7.350147985177447E-3</v>
      </c>
      <c r="M99">
        <v>-59.91017413058772</v>
      </c>
      <c r="N99">
        <v>-74.352153155506997</v>
      </c>
      <c r="O99">
        <v>4.7E-2</v>
      </c>
      <c r="P99">
        <v>6.0000000000000001E-3</v>
      </c>
      <c r="Q99">
        <v>-0.89999999999999991</v>
      </c>
      <c r="R99">
        <v>-95.338983050847446</v>
      </c>
      <c r="S99">
        <v>5.2</v>
      </c>
      <c r="T99">
        <v>5.3449999999999998</v>
      </c>
      <c r="U99">
        <v>-1.1859999999999999</v>
      </c>
      <c r="V99">
        <v>-10.741780635811974</v>
      </c>
      <c r="W99">
        <v>0.64600000000000002</v>
      </c>
      <c r="X99">
        <v>0.14799999999999999</v>
      </c>
      <c r="Y99">
        <v>-0.67999999999999994</v>
      </c>
      <c r="Z99">
        <v>-82.125603864734302</v>
      </c>
      <c r="AA99">
        <v>4.9903333333333331</v>
      </c>
      <c r="AB99">
        <v>4.7119999999999997</v>
      </c>
      <c r="AC99">
        <v>-0.38766666666666705</v>
      </c>
      <c r="AD99">
        <v>-7.566196083533935</v>
      </c>
    </row>
    <row r="100" spans="4:30" x14ac:dyDescent="0.35">
      <c r="D100" t="s">
        <v>120</v>
      </c>
      <c r="G100">
        <v>345500</v>
      </c>
      <c r="H100">
        <v>66100</v>
      </c>
      <c r="I100">
        <v>-141900</v>
      </c>
      <c r="J100">
        <v>-72.213740458015266</v>
      </c>
      <c r="K100">
        <v>0.11113301024427906</v>
      </c>
      <c r="L100">
        <v>5.3679157071655569E-2</v>
      </c>
      <c r="M100">
        <v>1.399023485710913</v>
      </c>
      <c r="N100">
        <v>3.3193056286165223</v>
      </c>
      <c r="O100">
        <v>0.94399999999999995</v>
      </c>
      <c r="P100">
        <v>1.1579999999999999</v>
      </c>
      <c r="Q100">
        <v>0.68499999999999994</v>
      </c>
      <c r="R100">
        <v>144.82029598308668</v>
      </c>
      <c r="S100">
        <v>11.961</v>
      </c>
      <c r="T100">
        <v>23.077999999999999</v>
      </c>
      <c r="U100">
        <v>15.081</v>
      </c>
      <c r="V100">
        <v>188.58321870701513</v>
      </c>
      <c r="W100">
        <v>1.17</v>
      </c>
      <c r="X100">
        <v>1.4670000000000001</v>
      </c>
      <c r="Y100">
        <v>0.79</v>
      </c>
      <c r="Z100">
        <v>116.69128508124076</v>
      </c>
      <c r="AA100">
        <v>6.6349999999999998</v>
      </c>
      <c r="AB100">
        <v>6.6989999999999998</v>
      </c>
      <c r="AC100">
        <v>0.50166666666666693</v>
      </c>
      <c r="AD100">
        <v>9.0368680196949729</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7"/>
  <sheetViews>
    <sheetView workbookViewId="0">
      <selection activeCell="B30" sqref="B30"/>
    </sheetView>
  </sheetViews>
  <sheetFormatPr defaultRowHeight="14.5" x14ac:dyDescent="0.35"/>
  <cols>
    <col min="1" max="1" width="10.54296875" customWidth="1"/>
    <col min="2" max="2" width="23" customWidth="1"/>
    <col min="3" max="5" width="9.453125" customWidth="1"/>
    <col min="6" max="6" width="12" customWidth="1"/>
    <col min="7" max="11" width="9.453125" customWidth="1"/>
    <col min="12" max="12" width="13.81640625" customWidth="1"/>
    <col min="13" max="13" width="16.7265625" customWidth="1"/>
    <col min="14" max="15" width="18" customWidth="1"/>
    <col min="16" max="16" width="16.26953125" customWidth="1"/>
    <col min="17" max="17" width="8" customWidth="1"/>
    <col min="18" max="18" width="10.453125" customWidth="1"/>
    <col min="20" max="20" width="12.54296875" customWidth="1"/>
  </cols>
  <sheetData>
    <row r="1" spans="1:23" ht="18.5" x14ac:dyDescent="0.45">
      <c r="A1" s="1" t="s">
        <v>122</v>
      </c>
      <c r="B1" s="2"/>
      <c r="C1" s="2"/>
      <c r="D1" s="2"/>
      <c r="E1" s="2"/>
      <c r="F1" s="2"/>
      <c r="G1" s="3"/>
      <c r="H1" s="3"/>
      <c r="I1" s="3"/>
    </row>
    <row r="2" spans="1:23" x14ac:dyDescent="0.35">
      <c r="A2" s="4" t="s">
        <v>123</v>
      </c>
      <c r="B2" s="4"/>
    </row>
    <row r="3" spans="1:23" x14ac:dyDescent="0.35">
      <c r="A3" t="s">
        <v>124</v>
      </c>
    </row>
    <row r="4" spans="1:23" x14ac:dyDescent="0.35">
      <c r="A4" t="s">
        <v>125</v>
      </c>
    </row>
    <row r="5" spans="1:23" x14ac:dyDescent="0.35">
      <c r="A5" t="s">
        <v>184</v>
      </c>
    </row>
    <row r="6" spans="1:23" x14ac:dyDescent="0.35">
      <c r="A6" t="s">
        <v>126</v>
      </c>
    </row>
    <row r="7" spans="1:23" x14ac:dyDescent="0.35">
      <c r="A7" t="s">
        <v>127</v>
      </c>
      <c r="R7" s="5"/>
      <c r="S7" s="5"/>
      <c r="T7" s="5"/>
      <c r="U7" s="5"/>
    </row>
    <row r="8" spans="1:23" x14ac:dyDescent="0.35">
      <c r="R8" s="6" t="s">
        <v>128</v>
      </c>
      <c r="S8" s="6"/>
      <c r="T8" s="6"/>
      <c r="U8" s="6"/>
    </row>
    <row r="9" spans="1:23" ht="36" customHeight="1" x14ac:dyDescent="0.35">
      <c r="A9" s="7" t="s">
        <v>129</v>
      </c>
      <c r="B9" s="7" t="s">
        <v>3</v>
      </c>
      <c r="C9" s="7" t="s">
        <v>130</v>
      </c>
      <c r="D9" s="7" t="s">
        <v>131</v>
      </c>
      <c r="E9" s="7" t="s">
        <v>132</v>
      </c>
      <c r="F9" s="8" t="s">
        <v>133</v>
      </c>
      <c r="G9" s="7" t="s">
        <v>134</v>
      </c>
      <c r="H9" s="9" t="s">
        <v>135</v>
      </c>
      <c r="I9" s="9"/>
      <c r="J9" s="7" t="s">
        <v>136</v>
      </c>
      <c r="K9" s="7" t="s">
        <v>137</v>
      </c>
      <c r="L9" s="7" t="s">
        <v>138</v>
      </c>
      <c r="M9" s="8" t="s">
        <v>139</v>
      </c>
      <c r="N9" s="8" t="s">
        <v>140</v>
      </c>
      <c r="O9" s="7" t="s">
        <v>141</v>
      </c>
      <c r="P9" s="7" t="s">
        <v>142</v>
      </c>
      <c r="R9" s="10" t="s">
        <v>143</v>
      </c>
      <c r="S9" s="10" t="s">
        <v>144</v>
      </c>
      <c r="T9" s="10" t="s">
        <v>145</v>
      </c>
      <c r="U9" s="10"/>
      <c r="V9" s="11"/>
      <c r="W9" s="11"/>
    </row>
    <row r="10" spans="1:23" ht="30" customHeight="1" x14ac:dyDescent="0.35">
      <c r="A10" s="10"/>
      <c r="B10" s="10" t="s">
        <v>146</v>
      </c>
      <c r="C10" s="12" t="s">
        <v>147</v>
      </c>
      <c r="D10" s="12" t="s">
        <v>148</v>
      </c>
      <c r="E10" s="12" t="s">
        <v>149</v>
      </c>
      <c r="F10" s="12" t="s">
        <v>150</v>
      </c>
      <c r="G10" s="10" t="s">
        <v>151</v>
      </c>
      <c r="H10" s="12" t="s">
        <v>152</v>
      </c>
      <c r="I10" s="12" t="s">
        <v>153</v>
      </c>
      <c r="J10" s="12" t="s">
        <v>154</v>
      </c>
      <c r="K10" s="12" t="s">
        <v>155</v>
      </c>
      <c r="L10" s="12" t="s">
        <v>156</v>
      </c>
      <c r="M10" s="12" t="s">
        <v>157</v>
      </c>
      <c r="N10" s="12" t="s">
        <v>158</v>
      </c>
      <c r="O10" s="10" t="s">
        <v>159</v>
      </c>
      <c r="P10" s="10" t="s">
        <v>160</v>
      </c>
      <c r="Q10" s="13" t="s">
        <v>161</v>
      </c>
      <c r="R10" s="14">
        <f>'[1]Geodia morphometrics'!H31</f>
        <v>2.6116653846153848</v>
      </c>
      <c r="S10" s="14">
        <f>'[1]Geodia morphometrics'!I31</f>
        <v>0.20834135496223288</v>
      </c>
      <c r="T10" s="14">
        <f>'[1]Geodia morphometrics'!M31</f>
        <v>2.5856538461538459</v>
      </c>
      <c r="U10" s="14"/>
      <c r="V10" s="15"/>
      <c r="W10" s="15"/>
    </row>
    <row r="11" spans="1:23" x14ac:dyDescent="0.35">
      <c r="A11" s="16">
        <v>41189</v>
      </c>
      <c r="B11" t="s">
        <v>162</v>
      </c>
      <c r="C11" s="17">
        <f>[1]NatSed_Low!C4</f>
        <v>1000</v>
      </c>
      <c r="D11" s="14">
        <f>[1]NatSed_Low!E4</f>
        <v>0.64800000000000002</v>
      </c>
      <c r="E11">
        <f>[1]NatSed_Low!B4</f>
        <v>1184.5999999999999</v>
      </c>
      <c r="F11" s="18">
        <f t="shared" ref="F11:F27" si="0">E11*$S$10</f>
        <v>246.80116908826105</v>
      </c>
      <c r="G11" s="14">
        <f>'[1]pumping summary'!R9</f>
        <v>9.5451686956983242</v>
      </c>
      <c r="H11" s="14">
        <f t="shared" ref="H11:H27" si="1">G11*D11</f>
        <v>6.1852693148125146</v>
      </c>
      <c r="I11" s="14">
        <f t="shared" ref="I11:I27" si="2">(H11/1000)*(3600)</f>
        <v>22.266969533325053</v>
      </c>
      <c r="J11" s="19">
        <f>[1]NatSed_Low!C23</f>
        <v>0.52372395833333241</v>
      </c>
      <c r="K11" s="19">
        <f t="shared" ref="K11:K27" si="3">J11*(0.7)*(44.61)</f>
        <v>16.354328046874969</v>
      </c>
      <c r="L11" s="14">
        <f t="shared" ref="L11:L27" si="4">K11*I11</f>
        <v>364.16132435776836</v>
      </c>
      <c r="M11" s="19">
        <f>L11/C11</f>
        <v>0.36416132435776838</v>
      </c>
      <c r="N11" s="20">
        <f t="shared" ref="N11:N27" si="5">L11/F11</f>
        <v>1.4755251188763088</v>
      </c>
      <c r="O11" s="19">
        <f>(I11/C11)</f>
        <v>2.2266969533325052E-2</v>
      </c>
      <c r="P11" s="20">
        <f>(I11/F11)</f>
        <v>9.0222301683514056E-2</v>
      </c>
    </row>
    <row r="12" spans="1:23" x14ac:dyDescent="0.35">
      <c r="A12" s="16">
        <v>41190</v>
      </c>
      <c r="B12" t="s">
        <v>163</v>
      </c>
      <c r="C12" s="17">
        <f>[1]NatSed_High!C3</f>
        <v>500</v>
      </c>
      <c r="D12" s="14">
        <f>[1]NatSed_High!E3</f>
        <v>0.98299999999999998</v>
      </c>
      <c r="E12">
        <f>[1]NatSed_High!B3</f>
        <v>596.6</v>
      </c>
      <c r="F12" s="18">
        <f t="shared" si="0"/>
        <v>124.29645237046815</v>
      </c>
      <c r="G12" s="14">
        <f>'[1]pumping summary'!R10</f>
        <v>9.5574605207301389</v>
      </c>
      <c r="H12" s="14">
        <f t="shared" si="1"/>
        <v>9.3949836918777265</v>
      </c>
      <c r="I12" s="14">
        <f t="shared" si="2"/>
        <v>33.821941290759817</v>
      </c>
      <c r="J12" s="19">
        <f>[1]NatSed_High!C34</f>
        <v>0.4906730769230786</v>
      </c>
      <c r="K12" s="19">
        <f t="shared" si="3"/>
        <v>15.322248173076975</v>
      </c>
      <c r="L12" s="14">
        <f t="shared" si="4"/>
        <v>518.22817815226131</v>
      </c>
      <c r="M12" s="19">
        <f t="shared" ref="M12:M27" si="6">L12/C12</f>
        <v>1.0364563563045226</v>
      </c>
      <c r="N12" s="20">
        <f t="shared" si="5"/>
        <v>4.1692917880525791</v>
      </c>
      <c r="O12" s="19">
        <f t="shared" ref="O12:O27" si="7">(I12/C12)</f>
        <v>6.764388258151964E-2</v>
      </c>
      <c r="P12" s="20">
        <f t="shared" ref="P12:P27" si="8">(I12/F12)</f>
        <v>0.2721070525002019</v>
      </c>
    </row>
    <row r="13" spans="1:23" x14ac:dyDescent="0.35">
      <c r="A13" s="16">
        <v>41191</v>
      </c>
      <c r="B13" t="s">
        <v>164</v>
      </c>
      <c r="C13" s="17">
        <f>[1]Control!C3</f>
        <v>1580</v>
      </c>
      <c r="D13" s="14">
        <f>[1]Control!E3</f>
        <v>1.6830000000000001</v>
      </c>
      <c r="E13">
        <f>[1]Control!B3</f>
        <v>1746.4</v>
      </c>
      <c r="F13" s="18">
        <f t="shared" si="0"/>
        <v>363.84734230604352</v>
      </c>
      <c r="G13" s="14">
        <f>'[1]pumping summary'!R11</f>
        <v>3.2731050866360198</v>
      </c>
      <c r="H13" s="14">
        <f t="shared" si="1"/>
        <v>5.5086358608084218</v>
      </c>
      <c r="I13" s="14">
        <f t="shared" si="2"/>
        <v>19.831089098910319</v>
      </c>
      <c r="J13" s="19">
        <f>[1]Control!C226</f>
        <v>0.30151140350876882</v>
      </c>
      <c r="K13" s="19">
        <f t="shared" si="3"/>
        <v>9.4152965973683234</v>
      </c>
      <c r="L13" s="14">
        <f t="shared" si="4"/>
        <v>186.71558571507836</v>
      </c>
      <c r="M13" s="19">
        <f t="shared" si="6"/>
        <v>0.11817442133865719</v>
      </c>
      <c r="N13" s="20">
        <f t="shared" si="5"/>
        <v>0.51317012385382765</v>
      </c>
      <c r="O13" s="19">
        <f t="shared" si="7"/>
        <v>1.2551322214500201E-2</v>
      </c>
      <c r="P13" s="20">
        <f t="shared" si="8"/>
        <v>5.4503872347182798E-2</v>
      </c>
    </row>
    <row r="14" spans="1:23" x14ac:dyDescent="0.35">
      <c r="A14" s="16">
        <v>41191</v>
      </c>
      <c r="B14" t="s">
        <v>165</v>
      </c>
      <c r="C14" s="17">
        <f>'[1]Bent low'!D2</f>
        <v>1420</v>
      </c>
      <c r="D14" s="14">
        <f>'[1]Bent low'!F2</f>
        <v>1.476</v>
      </c>
      <c r="E14">
        <f>'[1]Bent low'!C2</f>
        <v>1562.6</v>
      </c>
      <c r="F14" s="18">
        <f t="shared" si="0"/>
        <v>325.55420126398508</v>
      </c>
      <c r="G14" s="14">
        <f>'[1]pumping summary'!R12</f>
        <v>2.7616819023411336</v>
      </c>
      <c r="H14" s="14">
        <f t="shared" si="1"/>
        <v>4.076242487855513</v>
      </c>
      <c r="I14" s="14">
        <f t="shared" si="2"/>
        <v>14.674472956279846</v>
      </c>
      <c r="J14" s="19">
        <f>'[1]Bent low'!D38</f>
        <v>0.7619989550679227</v>
      </c>
      <c r="K14" s="19">
        <f t="shared" si="3"/>
        <v>23.79494136990602</v>
      </c>
      <c r="L14" s="14">
        <f t="shared" si="4"/>
        <v>349.17822362895043</v>
      </c>
      <c r="M14" s="19">
        <f t="shared" si="6"/>
        <v>0.24590015748517635</v>
      </c>
      <c r="N14" s="20">
        <f t="shared" si="5"/>
        <v>1.0725655582795233</v>
      </c>
      <c r="O14" s="19">
        <f t="shared" si="7"/>
        <v>1.0334135884704117E-2</v>
      </c>
      <c r="P14" s="20">
        <f t="shared" si="8"/>
        <v>4.5075360414042462E-2</v>
      </c>
    </row>
    <row r="15" spans="1:23" s="22" customFormat="1" x14ac:dyDescent="0.35">
      <c r="A15" s="21">
        <v>41191</v>
      </c>
      <c r="B15" s="22" t="s">
        <v>166</v>
      </c>
      <c r="C15" s="23">
        <f>[1]NatSed_Low!M4</f>
        <v>570</v>
      </c>
      <c r="D15" s="18">
        <f>[1]NatSed_Low!O4</f>
        <v>0.96699999999999997</v>
      </c>
      <c r="E15" s="22">
        <f>[1]NatSed_Low!L4</f>
        <v>694</v>
      </c>
      <c r="F15" s="18">
        <f t="shared" si="0"/>
        <v>144.58890034378962</v>
      </c>
      <c r="G15" s="18">
        <f>'[1]pumping summary'!R13</f>
        <v>3.0282692138527469</v>
      </c>
      <c r="H15" s="18">
        <f t="shared" si="1"/>
        <v>2.9283363297956062</v>
      </c>
      <c r="I15" s="18">
        <f t="shared" si="2"/>
        <v>10.542010787264182</v>
      </c>
      <c r="J15" s="24">
        <f>[1]NatSed_Low!M70</f>
        <v>0.40156249999999849</v>
      </c>
      <c r="K15" s="24">
        <f t="shared" si="3"/>
        <v>12.539592187499952</v>
      </c>
      <c r="L15" s="18">
        <f t="shared" si="4"/>
        <v>132.19251610851816</v>
      </c>
      <c r="M15" s="24">
        <f t="shared" si="6"/>
        <v>0.23191669492722486</v>
      </c>
      <c r="N15" s="25">
        <f t="shared" si="5"/>
        <v>0.91426462054973434</v>
      </c>
      <c r="O15" s="19">
        <f t="shared" si="7"/>
        <v>1.8494755767130146E-2</v>
      </c>
      <c r="P15" s="20">
        <f t="shared" si="8"/>
        <v>7.2910235586538114E-2</v>
      </c>
    </row>
    <row r="16" spans="1:23" s="26" customFormat="1" x14ac:dyDescent="0.35">
      <c r="A16" s="16">
        <v>41192</v>
      </c>
      <c r="B16" t="s">
        <v>167</v>
      </c>
      <c r="C16" s="17">
        <f>'[1]Barite medium'!C2</f>
        <v>3200</v>
      </c>
      <c r="D16" s="14">
        <f>'[1]Barite medium'!E2</f>
        <v>0.94099999999999995</v>
      </c>
      <c r="E16">
        <f>'[1]Barite medium'!B2</f>
        <v>3667</v>
      </c>
      <c r="F16" s="18">
        <f t="shared" si="0"/>
        <v>763.98774864650795</v>
      </c>
      <c r="G16" s="14">
        <f>'[1]pumping summary'!R14</f>
        <v>2.8036378969063684</v>
      </c>
      <c r="H16" s="14">
        <f t="shared" si="1"/>
        <v>2.6382232609888927</v>
      </c>
      <c r="I16" s="14">
        <f t="shared" si="2"/>
        <v>9.497603739560013</v>
      </c>
      <c r="J16" s="19">
        <f>'[1]Barite medium'!C60</f>
        <v>0.39026081730769174</v>
      </c>
      <c r="K16" s="19">
        <f t="shared" si="3"/>
        <v>12.186674542067289</v>
      </c>
      <c r="L16" s="14">
        <f t="shared" si="4"/>
        <v>115.74420570353909</v>
      </c>
      <c r="M16" s="19">
        <f t="shared" si="6"/>
        <v>3.6170064282355967E-2</v>
      </c>
      <c r="N16" s="20">
        <f t="shared" si="5"/>
        <v>0.15150008086987421</v>
      </c>
      <c r="O16" s="19">
        <f t="shared" si="7"/>
        <v>2.9680011686125042E-3</v>
      </c>
      <c r="P16" s="20">
        <f t="shared" si="8"/>
        <v>1.2431617858252451E-2</v>
      </c>
      <c r="Q16" s="22"/>
      <c r="R16" s="22"/>
      <c r="S16" s="22"/>
      <c r="T16" s="22"/>
      <c r="U16" s="22"/>
    </row>
    <row r="17" spans="1:16" x14ac:dyDescent="0.35">
      <c r="A17" s="16">
        <v>41193</v>
      </c>
      <c r="B17" t="s">
        <v>168</v>
      </c>
      <c r="C17" s="17">
        <f>[1]Control!N3</f>
        <v>420</v>
      </c>
      <c r="D17" s="14">
        <f>[1]Control!P3</f>
        <v>0.53900000000000003</v>
      </c>
      <c r="E17">
        <f>[1]Control!M3</f>
        <v>434</v>
      </c>
      <c r="F17" s="18">
        <f t="shared" si="0"/>
        <v>90.420148053609068</v>
      </c>
      <c r="G17" s="14">
        <f>'[1]pumping summary'!R15</f>
        <v>9.2056340662354703</v>
      </c>
      <c r="H17" s="14">
        <f t="shared" si="1"/>
        <v>4.9618367617009191</v>
      </c>
      <c r="I17" s="14">
        <f t="shared" si="2"/>
        <v>17.86261234212331</v>
      </c>
      <c r="J17" s="19">
        <f>[1]Control!N190</f>
        <v>0.36507336956521658</v>
      </c>
      <c r="K17" s="19">
        <f t="shared" si="3"/>
        <v>11.400146111413017</v>
      </c>
      <c r="L17" s="14">
        <f t="shared" si="4"/>
        <v>203.63639063173522</v>
      </c>
      <c r="M17" s="19">
        <f t="shared" si="6"/>
        <v>0.4848485491231791</v>
      </c>
      <c r="N17" s="20">
        <f t="shared" si="5"/>
        <v>2.2521129971054852</v>
      </c>
      <c r="O17" s="19">
        <f t="shared" si="7"/>
        <v>4.2530029386007882E-2</v>
      </c>
      <c r="P17" s="20">
        <f t="shared" si="8"/>
        <v>0.19755123970304464</v>
      </c>
    </row>
    <row r="18" spans="1:16" s="22" customFormat="1" x14ac:dyDescent="0.35">
      <c r="A18" s="21">
        <v>41193</v>
      </c>
      <c r="B18" s="22" t="s">
        <v>169</v>
      </c>
      <c r="C18" s="23">
        <f>'[1]Bent low'!N2</f>
        <v>550</v>
      </c>
      <c r="D18" s="18">
        <f>'[1]Bent low'!P2</f>
        <v>1.3</v>
      </c>
      <c r="E18" s="22">
        <f>'[1]Bent low'!M2</f>
        <v>608.20000000000005</v>
      </c>
      <c r="F18" s="18">
        <f t="shared" si="0"/>
        <v>126.71321208803005</v>
      </c>
      <c r="G18" s="18">
        <f>'[1]pumping summary'!R16</f>
        <v>2.8500030277955575</v>
      </c>
      <c r="H18" s="18">
        <f t="shared" si="1"/>
        <v>3.7050039361342249</v>
      </c>
      <c r="I18" s="18">
        <f t="shared" si="2"/>
        <v>13.338014170083209</v>
      </c>
      <c r="J18" s="24">
        <f>'[1]Bent low'!N36</f>
        <v>0.63189548387096794</v>
      </c>
      <c r="K18" s="24">
        <f t="shared" si="3"/>
        <v>19.732200274838714</v>
      </c>
      <c r="L18" s="18">
        <f t="shared" si="4"/>
        <v>263.18836687271857</v>
      </c>
      <c r="M18" s="24">
        <f t="shared" si="6"/>
        <v>0.47852430340494284</v>
      </c>
      <c r="N18" s="25">
        <f t="shared" si="5"/>
        <v>2.0770396593677751</v>
      </c>
      <c r="O18" s="19">
        <f t="shared" si="7"/>
        <v>2.4250934854696742E-2</v>
      </c>
      <c r="P18" s="20">
        <f t="shared" si="8"/>
        <v>0.10526143209768087</v>
      </c>
    </row>
    <row r="19" spans="1:16" x14ac:dyDescent="0.35">
      <c r="A19" s="16">
        <v>41193</v>
      </c>
      <c r="B19" t="s">
        <v>170</v>
      </c>
      <c r="C19" s="17">
        <f>[1]NatSed_Low!W4</f>
        <v>2700</v>
      </c>
      <c r="D19" s="14">
        <f>[1]NatSed_Low!Y4</f>
        <v>0.88900000000000001</v>
      </c>
      <c r="E19">
        <f>[1]NatSed_Low!V4</f>
        <v>2816</v>
      </c>
      <c r="F19" s="18">
        <f t="shared" si="0"/>
        <v>586.68925557364776</v>
      </c>
      <c r="G19" s="14">
        <f>'[1]pumping summary'!R17</f>
        <v>4.1577343000500786</v>
      </c>
      <c r="H19" s="14">
        <f t="shared" si="1"/>
        <v>3.6962257927445199</v>
      </c>
      <c r="I19" s="14">
        <f t="shared" si="2"/>
        <v>13.306412853880271</v>
      </c>
      <c r="J19" s="19">
        <f>[1]NatSed_Low!W39</f>
        <v>0.8697269841269839</v>
      </c>
      <c r="K19" s="19">
        <f t="shared" si="3"/>
        <v>27.158964533333325</v>
      </c>
      <c r="L19" s="14">
        <f t="shared" si="4"/>
        <v>361.38839476442496</v>
      </c>
      <c r="M19" s="19">
        <f t="shared" si="6"/>
        <v>0.1338475536164537</v>
      </c>
      <c r="N19" s="20">
        <f t="shared" si="5"/>
        <v>0.61597922806864747</v>
      </c>
      <c r="O19" s="19">
        <f t="shared" si="7"/>
        <v>4.9283010569926931E-3</v>
      </c>
      <c r="P19" s="20">
        <f t="shared" si="8"/>
        <v>2.2680512260054339E-2</v>
      </c>
    </row>
    <row r="20" spans="1:16" x14ac:dyDescent="0.35">
      <c r="A20" s="16">
        <v>41194</v>
      </c>
      <c r="B20" t="s">
        <v>171</v>
      </c>
      <c r="C20" s="17">
        <f>'[1]Barite High'!C2</f>
        <v>500</v>
      </c>
      <c r="D20" s="14">
        <f>'[1]Barite High'!E2</f>
        <v>1.0880000000000001</v>
      </c>
      <c r="E20">
        <f>'[1]Barite High'!B2</f>
        <v>523.79999999999995</v>
      </c>
      <c r="F20" s="18">
        <f t="shared" si="0"/>
        <v>109.12920172921757</v>
      </c>
      <c r="G20" s="14">
        <f>'[1]pumping summary'!R18</f>
        <v>4.5141671134103234</v>
      </c>
      <c r="H20" s="14">
        <f t="shared" si="1"/>
        <v>4.9114138193904324</v>
      </c>
      <c r="I20" s="14">
        <f t="shared" si="2"/>
        <v>17.681089749805555</v>
      </c>
      <c r="J20" s="19">
        <f>'[1]Barite High'!C41</f>
        <v>0.55295333333333396</v>
      </c>
      <c r="K20" s="19">
        <f t="shared" si="3"/>
        <v>17.267073740000018</v>
      </c>
      <c r="L20" s="14">
        <f t="shared" si="4"/>
        <v>305.30068051345097</v>
      </c>
      <c r="M20" s="19">
        <f t="shared" si="6"/>
        <v>0.61060136102690199</v>
      </c>
      <c r="N20" s="20">
        <f t="shared" si="5"/>
        <v>2.7976075667720353</v>
      </c>
      <c r="O20" s="19">
        <f t="shared" si="7"/>
        <v>3.536217949961111E-2</v>
      </c>
      <c r="P20" s="20">
        <f t="shared" si="8"/>
        <v>0.16201978452731347</v>
      </c>
    </row>
    <row r="21" spans="1:16" x14ac:dyDescent="0.35">
      <c r="A21" s="27">
        <v>41194</v>
      </c>
      <c r="B21" s="28" t="s">
        <v>172</v>
      </c>
      <c r="C21" s="29">
        <f>'[1]Bent High'!M2</f>
        <v>600</v>
      </c>
      <c r="D21" s="30">
        <f>'[1]Bent High'!O2</f>
        <v>0.44400000000000001</v>
      </c>
      <c r="E21" s="28">
        <f>'[1]Bent High'!L2</f>
        <v>677.4</v>
      </c>
      <c r="F21" s="31">
        <f t="shared" si="0"/>
        <v>141.13043385141654</v>
      </c>
      <c r="G21" s="30">
        <f>'[1]pumping summary'!R20</f>
        <v>4.4918186913434717</v>
      </c>
      <c r="H21" s="30">
        <f t="shared" si="1"/>
        <v>1.9943674989565014</v>
      </c>
      <c r="I21" s="30">
        <f t="shared" si="2"/>
        <v>7.179722996243405</v>
      </c>
      <c r="J21" s="32">
        <f>'[1]Bent High'!M45</f>
        <v>0.38171250000000023</v>
      </c>
      <c r="K21" s="32">
        <f t="shared" si="3"/>
        <v>11.919736237500006</v>
      </c>
      <c r="L21" s="30">
        <f t="shared" si="4"/>
        <v>85.580404373534634</v>
      </c>
      <c r="M21" s="32">
        <f t="shared" si="6"/>
        <v>0.1426340072892244</v>
      </c>
      <c r="N21" s="33">
        <f t="shared" si="5"/>
        <v>0.60639227158923426</v>
      </c>
      <c r="O21" s="19">
        <f t="shared" si="7"/>
        <v>1.1966204993739009E-2</v>
      </c>
      <c r="P21" s="20">
        <f t="shared" si="8"/>
        <v>5.0872960567826822E-2</v>
      </c>
    </row>
    <row r="22" spans="1:16" s="28" customFormat="1" x14ac:dyDescent="0.35">
      <c r="A22" s="27">
        <v>41196</v>
      </c>
      <c r="B22" s="28" t="s">
        <v>173</v>
      </c>
      <c r="C22" s="29">
        <f>[1]Control!X3</f>
        <v>270</v>
      </c>
      <c r="D22" s="30">
        <f>[1]Control!Z3</f>
        <v>0.32700000000000001</v>
      </c>
      <c r="E22" s="28">
        <f>[1]Control!W3</f>
        <v>306.8</v>
      </c>
      <c r="F22" s="31">
        <f t="shared" si="0"/>
        <v>63.91912770241305</v>
      </c>
      <c r="G22" s="30">
        <f>'[1]pumping summary'!R21</f>
        <v>4.4061584728903096</v>
      </c>
      <c r="H22" s="30">
        <f t="shared" si="1"/>
        <v>1.4408138206351313</v>
      </c>
      <c r="I22" s="30">
        <f t="shared" si="2"/>
        <v>5.1869297542864725</v>
      </c>
      <c r="J22" s="32">
        <f>[1]Control!X147</f>
        <v>0.34978524173027914</v>
      </c>
      <c r="K22" s="32">
        <f t="shared" si="3"/>
        <v>10.922743743511425</v>
      </c>
      <c r="L22" s="30">
        <f t="shared" si="4"/>
        <v>56.655504521665826</v>
      </c>
      <c r="M22" s="32">
        <f t="shared" si="6"/>
        <v>0.20983520193209565</v>
      </c>
      <c r="N22" s="33">
        <f t="shared" si="5"/>
        <v>0.88636229182343784</v>
      </c>
      <c r="O22" s="19">
        <f t="shared" si="7"/>
        <v>1.9210850941801749E-2</v>
      </c>
      <c r="P22" s="20">
        <f t="shared" si="8"/>
        <v>8.1148318832433897E-2</v>
      </c>
    </row>
    <row r="23" spans="1:16" s="28" customFormat="1" x14ac:dyDescent="0.35">
      <c r="A23" s="27">
        <v>41196</v>
      </c>
      <c r="B23" s="28" t="s">
        <v>174</v>
      </c>
      <c r="C23" s="29">
        <f>'[1]Bent High'!C2</f>
        <v>180</v>
      </c>
      <c r="D23" s="30">
        <f>'[1]Bent High'!E2</f>
        <v>0.69899999999999995</v>
      </c>
      <c r="E23" s="28">
        <f>'[1]Bent High'!B2</f>
        <v>192.8</v>
      </c>
      <c r="F23" s="31">
        <f t="shared" si="0"/>
        <v>40.168213236718501</v>
      </c>
      <c r="G23" s="30">
        <f>'[1]pumping summary'!R22</f>
        <v>2.0304592436576301</v>
      </c>
      <c r="H23" s="30">
        <f t="shared" si="1"/>
        <v>1.4192910113166834</v>
      </c>
      <c r="I23" s="30">
        <f t="shared" si="2"/>
        <v>5.1094476407400604</v>
      </c>
      <c r="J23" s="32">
        <f>'[1]Bent High'!C15</f>
        <v>0.46680000000000099</v>
      </c>
      <c r="K23" s="32">
        <f t="shared" si="3"/>
        <v>14.57676360000003</v>
      </c>
      <c r="L23" s="30">
        <f t="shared" si="4"/>
        <v>74.479210385645743</v>
      </c>
      <c r="M23" s="32">
        <f t="shared" si="6"/>
        <v>0.41377339103136523</v>
      </c>
      <c r="N23" s="33">
        <f t="shared" si="5"/>
        <v>1.854182807353824</v>
      </c>
      <c r="O23" s="19">
        <f t="shared" si="7"/>
        <v>2.838582022633367E-2</v>
      </c>
      <c r="P23" s="20">
        <f t="shared" si="8"/>
        <v>0.12720126759507991</v>
      </c>
    </row>
    <row r="24" spans="1:16" s="28" customFormat="1" x14ac:dyDescent="0.35">
      <c r="A24" s="34">
        <v>41198</v>
      </c>
      <c r="B24" s="35" t="s">
        <v>175</v>
      </c>
      <c r="C24" s="36">
        <f>'[1]Barite High'!W2</f>
        <v>3500</v>
      </c>
      <c r="D24" s="31">
        <f>'[1]Barite High'!Y2</f>
        <v>6.6349999999999998</v>
      </c>
      <c r="E24" s="35">
        <f>'[1]Barite High'!V2</f>
        <v>3606</v>
      </c>
      <c r="F24" s="31">
        <f t="shared" si="0"/>
        <v>751.27892599381175</v>
      </c>
      <c r="G24" s="31">
        <f>'[1]pumping summary'!R23</f>
        <v>3.6887047768249914</v>
      </c>
      <c r="H24" s="31">
        <f t="shared" si="1"/>
        <v>24.474556194233816</v>
      </c>
      <c r="I24" s="31">
        <f t="shared" si="2"/>
        <v>88.108402299241746</v>
      </c>
      <c r="J24" s="37">
        <f>'[1]Barite High'!W18</f>
        <v>0.50105000000000199</v>
      </c>
      <c r="K24" s="37">
        <f t="shared" si="3"/>
        <v>15.646288350000059</v>
      </c>
      <c r="L24" s="31">
        <f t="shared" si="4"/>
        <v>1378.5694684317446</v>
      </c>
      <c r="M24" s="37">
        <f t="shared" si="6"/>
        <v>0.39387699098049844</v>
      </c>
      <c r="N24" s="38">
        <f t="shared" si="5"/>
        <v>1.8349635810802707</v>
      </c>
      <c r="O24" s="19">
        <f t="shared" si="7"/>
        <v>2.5173829228354785E-2</v>
      </c>
      <c r="P24" s="20">
        <f t="shared" si="8"/>
        <v>0.11727788342084747</v>
      </c>
    </row>
    <row r="25" spans="1:16" s="39" customFormat="1" x14ac:dyDescent="0.35">
      <c r="A25" s="34">
        <v>41198</v>
      </c>
      <c r="B25" s="35" t="s">
        <v>176</v>
      </c>
      <c r="C25" s="36">
        <f>[1]NatSed_High!M3</f>
        <v>700</v>
      </c>
      <c r="D25" s="31">
        <f>[1]NatSed_High!O3</f>
        <v>0.45900000000000002</v>
      </c>
      <c r="E25" s="35">
        <f>[1]NatSed_High!L3</f>
        <v>770.2</v>
      </c>
      <c r="F25" s="31">
        <f t="shared" si="0"/>
        <v>160.46451159191179</v>
      </c>
      <c r="G25" s="31">
        <f>'[1]pumping summary'!R24</f>
        <v>4.5945391106595377</v>
      </c>
      <c r="H25" s="31">
        <f t="shared" si="1"/>
        <v>2.1088934517927278</v>
      </c>
      <c r="I25" s="31">
        <f t="shared" si="2"/>
        <v>7.5920164264538208</v>
      </c>
      <c r="J25" s="37">
        <f>[1]NatSed_High!M13</f>
        <v>0.47201190476190419</v>
      </c>
      <c r="K25" s="37">
        <f t="shared" si="3"/>
        <v>14.739515749999981</v>
      </c>
      <c r="L25" s="31">
        <f t="shared" si="4"/>
        <v>111.90264569197467</v>
      </c>
      <c r="M25" s="37">
        <f t="shared" si="6"/>
        <v>0.15986092241710667</v>
      </c>
      <c r="N25" s="38">
        <f t="shared" si="5"/>
        <v>0.69736694164851787</v>
      </c>
      <c r="O25" s="19">
        <f t="shared" si="7"/>
        <v>1.0845737752076886E-2</v>
      </c>
      <c r="P25" s="20">
        <f t="shared" si="8"/>
        <v>4.7312744426391266E-2</v>
      </c>
    </row>
    <row r="26" spans="1:16" s="28" customFormat="1" x14ac:dyDescent="0.35">
      <c r="A26" s="34">
        <v>41199</v>
      </c>
      <c r="B26" s="35" t="s">
        <v>177</v>
      </c>
      <c r="C26" s="36">
        <f>'[1]Barite High'!M2</f>
        <v>150</v>
      </c>
      <c r="D26" s="31">
        <f>'[1]Barite High'!O2</f>
        <v>0.22500000000000001</v>
      </c>
      <c r="E26" s="35">
        <f>'[1]Barite High'!L2</f>
        <v>169.2</v>
      </c>
      <c r="F26" s="31">
        <f t="shared" si="0"/>
        <v>35.251357259609804</v>
      </c>
      <c r="G26" s="31">
        <f>'[1]pumping summary'!R25</f>
        <v>4.642518019434001</v>
      </c>
      <c r="H26" s="31">
        <f t="shared" si="1"/>
        <v>1.0445665543726503</v>
      </c>
      <c r="I26" s="31">
        <f t="shared" si="2"/>
        <v>3.7604395957415409</v>
      </c>
      <c r="J26" s="37">
        <f>'[1]Barite High'!M66</f>
        <v>0.32220333333333556</v>
      </c>
      <c r="K26" s="37">
        <f t="shared" si="3"/>
        <v>10.061443490000068</v>
      </c>
      <c r="L26" s="31">
        <f t="shared" si="4"/>
        <v>37.835450490112216</v>
      </c>
      <c r="M26" s="37">
        <f t="shared" si="6"/>
        <v>0.25223633660074812</v>
      </c>
      <c r="N26" s="38">
        <f t="shared" si="5"/>
        <v>1.0733047868617305</v>
      </c>
      <c r="O26" s="19">
        <f t="shared" si="7"/>
        <v>2.5069597304943604E-2</v>
      </c>
      <c r="P26" s="20">
        <f t="shared" si="8"/>
        <v>0.10667503007182552</v>
      </c>
    </row>
    <row r="27" spans="1:16" s="40" customFormat="1" x14ac:dyDescent="0.35">
      <c r="A27" s="34">
        <v>41199</v>
      </c>
      <c r="B27" s="35" t="s">
        <v>178</v>
      </c>
      <c r="C27" s="36">
        <f>[1]NatSed_Med!M3</f>
        <v>1000</v>
      </c>
      <c r="D27" s="31">
        <f>[1]NatSed_Med!O3</f>
        <v>0.85699999999999998</v>
      </c>
      <c r="E27" s="35">
        <f>[1]NatSed_Med!L3</f>
        <v>1152.8</v>
      </c>
      <c r="F27" s="31">
        <f t="shared" si="0"/>
        <v>240.17591400046206</v>
      </c>
      <c r="G27" s="31">
        <f>'[1]pumping summary'!R26</f>
        <v>3.1019274638955476</v>
      </c>
      <c r="H27" s="31">
        <f t="shared" si="1"/>
        <v>2.6583518365584844</v>
      </c>
      <c r="I27" s="31">
        <f t="shared" si="2"/>
        <v>9.5700666116105442</v>
      </c>
      <c r="J27" s="37">
        <f>[1]NatSed_Med!M75</f>
        <v>0.43973508771929865</v>
      </c>
      <c r="K27" s="37">
        <f t="shared" si="3"/>
        <v>13.731607584210538</v>
      </c>
      <c r="L27" s="31">
        <f t="shared" si="4"/>
        <v>131.4123992653914</v>
      </c>
      <c r="M27" s="37">
        <f t="shared" si="6"/>
        <v>0.13141239926539139</v>
      </c>
      <c r="N27" s="38">
        <f t="shared" si="5"/>
        <v>0.54715061588206793</v>
      </c>
      <c r="O27" s="19">
        <f t="shared" si="7"/>
        <v>9.5700666116105438E-3</v>
      </c>
      <c r="P27" s="20">
        <f t="shared" si="8"/>
        <v>3.9846071374135095E-2</v>
      </c>
    </row>
    <row r="29" spans="1:16" x14ac:dyDescent="0.35">
      <c r="A29" s="26" t="s">
        <v>115</v>
      </c>
      <c r="B29" s="26"/>
      <c r="C29" s="41">
        <f t="shared" ref="C29:P29" si="9">AVERAGE(C11:C27)</f>
        <v>1108.2352941176471</v>
      </c>
      <c r="D29" s="41">
        <f t="shared" si="9"/>
        <v>1.1858823529411764</v>
      </c>
      <c r="E29" s="41">
        <f t="shared" si="9"/>
        <v>1218.1411764705881</v>
      </c>
      <c r="F29" s="41">
        <f t="shared" si="9"/>
        <v>253.7891832411708</v>
      </c>
      <c r="G29" s="41">
        <f t="shared" si="9"/>
        <v>4.6266463295506863</v>
      </c>
      <c r="H29" s="41">
        <f t="shared" si="9"/>
        <v>4.8910006837632203</v>
      </c>
      <c r="I29" s="41">
        <f t="shared" si="9"/>
        <v>17.6076024615476</v>
      </c>
      <c r="J29" s="41">
        <f t="shared" si="9"/>
        <v>0.48368693821071257</v>
      </c>
      <c r="K29" s="41">
        <f t="shared" si="9"/>
        <v>15.104092019505927</v>
      </c>
      <c r="L29" s="41">
        <f t="shared" si="9"/>
        <v>275.06876174167735</v>
      </c>
      <c r="M29" s="41">
        <f t="shared" si="9"/>
        <v>0.32024882561080076</v>
      </c>
      <c r="N29" s="41">
        <f t="shared" si="9"/>
        <v>1.3846341198844043</v>
      </c>
      <c r="O29" s="42">
        <f t="shared" si="9"/>
        <v>2.1856036412115313E-2</v>
      </c>
      <c r="P29" s="41">
        <f t="shared" si="9"/>
        <v>9.4417510898021487E-2</v>
      </c>
    </row>
    <row r="30" spans="1:16" x14ac:dyDescent="0.35">
      <c r="A30" t="s">
        <v>179</v>
      </c>
      <c r="C30" s="14">
        <f t="shared" ref="C30:P30" si="10">MEDIAN(C11:C27)</f>
        <v>600</v>
      </c>
      <c r="D30" s="14">
        <f t="shared" si="10"/>
        <v>0.88900000000000001</v>
      </c>
      <c r="E30" s="14">
        <f t="shared" si="10"/>
        <v>694</v>
      </c>
      <c r="F30" s="14">
        <f t="shared" si="10"/>
        <v>144.58890034378962</v>
      </c>
      <c r="G30" s="14">
        <f t="shared" si="10"/>
        <v>4.1577343000500786</v>
      </c>
      <c r="H30" s="14">
        <f t="shared" si="10"/>
        <v>3.6962257927445199</v>
      </c>
      <c r="I30" s="14">
        <f t="shared" si="10"/>
        <v>13.306412853880271</v>
      </c>
      <c r="J30" s="14">
        <f t="shared" si="10"/>
        <v>0.46680000000000099</v>
      </c>
      <c r="K30" s="14">
        <f t="shared" si="10"/>
        <v>14.57676360000003</v>
      </c>
      <c r="L30" s="14">
        <f t="shared" si="10"/>
        <v>186.71558571507836</v>
      </c>
      <c r="M30" s="14">
        <f t="shared" si="10"/>
        <v>0.24590015748517635</v>
      </c>
      <c r="N30" s="14">
        <f t="shared" si="10"/>
        <v>1.0725655582795233</v>
      </c>
      <c r="O30" s="20">
        <f t="shared" si="10"/>
        <v>1.9210850941801749E-2</v>
      </c>
      <c r="P30" s="14">
        <f t="shared" si="10"/>
        <v>8.1148318832433897E-2</v>
      </c>
    </row>
    <row r="31" spans="1:16" x14ac:dyDescent="0.35">
      <c r="A31" t="s">
        <v>119</v>
      </c>
      <c r="C31" s="14">
        <f t="shared" ref="C31:P31" si="11">MIN(C11:C27)</f>
        <v>150</v>
      </c>
      <c r="D31" s="14">
        <f t="shared" si="11"/>
        <v>0.22500000000000001</v>
      </c>
      <c r="E31" s="14">
        <f t="shared" si="11"/>
        <v>169.2</v>
      </c>
      <c r="F31" s="14">
        <f t="shared" si="11"/>
        <v>35.251357259609804</v>
      </c>
      <c r="G31" s="14">
        <f t="shared" si="11"/>
        <v>2.0304592436576301</v>
      </c>
      <c r="H31" s="14">
        <f t="shared" si="11"/>
        <v>1.0445665543726503</v>
      </c>
      <c r="I31" s="14">
        <f t="shared" si="11"/>
        <v>3.7604395957415409</v>
      </c>
      <c r="J31" s="14">
        <f t="shared" si="11"/>
        <v>0.30151140350876882</v>
      </c>
      <c r="K31" s="14">
        <f t="shared" si="11"/>
        <v>9.4152965973683234</v>
      </c>
      <c r="L31" s="14">
        <f t="shared" si="11"/>
        <v>37.835450490112216</v>
      </c>
      <c r="M31" s="14">
        <f t="shared" si="11"/>
        <v>3.6170064282355967E-2</v>
      </c>
      <c r="N31" s="14">
        <f t="shared" si="11"/>
        <v>0.15150008086987421</v>
      </c>
      <c r="O31" s="20">
        <f t="shared" si="11"/>
        <v>2.9680011686125042E-3</v>
      </c>
      <c r="P31" s="14">
        <f t="shared" si="11"/>
        <v>1.2431617858252451E-2</v>
      </c>
    </row>
    <row r="32" spans="1:16" x14ac:dyDescent="0.35">
      <c r="A32" t="s">
        <v>120</v>
      </c>
      <c r="C32" s="14">
        <f t="shared" ref="C32:P32" si="12">MAX(C11:C27)</f>
        <v>3500</v>
      </c>
      <c r="D32" s="14">
        <f t="shared" si="12"/>
        <v>6.6349999999999998</v>
      </c>
      <c r="E32" s="14">
        <f t="shared" si="12"/>
        <v>3667</v>
      </c>
      <c r="F32" s="14">
        <f t="shared" si="12"/>
        <v>763.98774864650795</v>
      </c>
      <c r="G32" s="14">
        <f t="shared" si="12"/>
        <v>9.5574605207301389</v>
      </c>
      <c r="H32" s="14">
        <f t="shared" si="12"/>
        <v>24.474556194233816</v>
      </c>
      <c r="I32" s="14">
        <f t="shared" si="12"/>
        <v>88.108402299241746</v>
      </c>
      <c r="J32" s="14">
        <f t="shared" si="12"/>
        <v>0.8697269841269839</v>
      </c>
      <c r="K32" s="14">
        <f t="shared" si="12"/>
        <v>27.158964533333325</v>
      </c>
      <c r="L32" s="14">
        <f t="shared" si="12"/>
        <v>1378.5694684317446</v>
      </c>
      <c r="M32" s="14">
        <f t="shared" si="12"/>
        <v>1.0364563563045226</v>
      </c>
      <c r="N32" s="14">
        <f t="shared" si="12"/>
        <v>4.1692917880525791</v>
      </c>
      <c r="O32" s="20">
        <f t="shared" si="12"/>
        <v>6.764388258151964E-2</v>
      </c>
      <c r="P32" s="14">
        <f t="shared" si="12"/>
        <v>0.2721070525002019</v>
      </c>
    </row>
    <row r="33" spans="1:16" x14ac:dyDescent="0.35">
      <c r="A33" t="s">
        <v>116</v>
      </c>
      <c r="C33" s="14">
        <f t="shared" ref="C33:P33" si="13">STDEV(C11:C27)</f>
        <v>1051.6429722945286</v>
      </c>
      <c r="D33" s="14">
        <f t="shared" si="13"/>
        <v>1.4593806855286653</v>
      </c>
      <c r="E33" s="14">
        <f t="shared" si="13"/>
        <v>1125.2856787605222</v>
      </c>
      <c r="F33" s="14">
        <f t="shared" si="13"/>
        <v>234.44354303256313</v>
      </c>
      <c r="G33" s="14">
        <f t="shared" si="13"/>
        <v>2.4246393021201267</v>
      </c>
      <c r="H33" s="14">
        <f t="shared" si="13"/>
        <v>5.4666914715797024</v>
      </c>
      <c r="I33" s="14">
        <f t="shared" si="13"/>
        <v>19.680089297686926</v>
      </c>
      <c r="J33" s="14">
        <f t="shared" si="13"/>
        <v>0.15302980920787101</v>
      </c>
      <c r="K33" s="14">
        <f t="shared" si="13"/>
        <v>4.7786618521341673</v>
      </c>
      <c r="L33" s="14">
        <f t="shared" si="13"/>
        <v>314.72898418952531</v>
      </c>
      <c r="M33" s="14">
        <f t="shared" si="13"/>
        <v>0.24300928143640224</v>
      </c>
      <c r="N33" s="14">
        <f t="shared" si="13"/>
        <v>1.0225091893840961</v>
      </c>
      <c r="O33" s="20">
        <f t="shared" si="13"/>
        <v>1.5864952834136921E-2</v>
      </c>
      <c r="P33" s="14">
        <f t="shared" si="13"/>
        <v>6.7217142701533977E-2</v>
      </c>
    </row>
    <row r="34" spans="1:16" x14ac:dyDescent="0.35">
      <c r="A34" t="s">
        <v>117</v>
      </c>
      <c r="C34" s="14">
        <f>(C33)/SQRT(C35)</f>
        <v>255.06088560052049</v>
      </c>
      <c r="D34" s="14">
        <f t="shared" ref="D34:P34" si="14">(D33)/SQRT(D35)</f>
        <v>0.35395180673064691</v>
      </c>
      <c r="E34" s="14">
        <f t="shared" si="14"/>
        <v>272.92186544261745</v>
      </c>
      <c r="F34" s="14">
        <f t="shared" si="14"/>
        <v>56.860911245135121</v>
      </c>
      <c r="G34" s="14">
        <f t="shared" si="14"/>
        <v>0.58806140862736311</v>
      </c>
      <c r="H34" s="14">
        <f t="shared" si="14"/>
        <v>1.3258674329403739</v>
      </c>
      <c r="I34" s="14">
        <f t="shared" si="14"/>
        <v>4.7731227585853455</v>
      </c>
      <c r="J34" s="14">
        <f t="shared" si="14"/>
        <v>3.7115180425421779E-2</v>
      </c>
      <c r="K34" s="14">
        <f t="shared" si="14"/>
        <v>1.1589957391446408</v>
      </c>
      <c r="L34" s="14">
        <f t="shared" si="14"/>
        <v>76.332990897456682</v>
      </c>
      <c r="M34" s="14">
        <f t="shared" si="14"/>
        <v>5.8938407962807964E-2</v>
      </c>
      <c r="N34" s="14">
        <f t="shared" si="14"/>
        <v>0.24799490535266591</v>
      </c>
      <c r="O34" s="20">
        <f t="shared" si="14"/>
        <v>3.8478162517993405E-3</v>
      </c>
      <c r="P34" s="14">
        <f t="shared" si="14"/>
        <v>1.6302551718272929E-2</v>
      </c>
    </row>
    <row r="35" spans="1:16" x14ac:dyDescent="0.35">
      <c r="A35" t="s">
        <v>180</v>
      </c>
      <c r="C35" s="14">
        <f t="shared" ref="C35:P35" si="15">COUNT(C11:C27)</f>
        <v>17</v>
      </c>
      <c r="D35" s="14">
        <f t="shared" si="15"/>
        <v>17</v>
      </c>
      <c r="E35" s="14">
        <f t="shared" si="15"/>
        <v>17</v>
      </c>
      <c r="F35" s="14">
        <f t="shared" si="15"/>
        <v>17</v>
      </c>
      <c r="G35" s="14">
        <f t="shared" si="15"/>
        <v>17</v>
      </c>
      <c r="H35" s="14">
        <f t="shared" si="15"/>
        <v>17</v>
      </c>
      <c r="I35" s="14">
        <f t="shared" si="15"/>
        <v>17</v>
      </c>
      <c r="J35" s="14">
        <f t="shared" si="15"/>
        <v>17</v>
      </c>
      <c r="K35" s="14">
        <f t="shared" si="15"/>
        <v>17</v>
      </c>
      <c r="L35" s="14">
        <f t="shared" si="15"/>
        <v>17</v>
      </c>
      <c r="M35" s="14">
        <f t="shared" si="15"/>
        <v>17</v>
      </c>
      <c r="N35" s="14">
        <f t="shared" si="15"/>
        <v>17</v>
      </c>
      <c r="O35" s="14">
        <f t="shared" si="15"/>
        <v>17</v>
      </c>
      <c r="P35" s="14">
        <f t="shared" si="15"/>
        <v>17</v>
      </c>
    </row>
    <row r="36" spans="1:16" x14ac:dyDescent="0.35">
      <c r="F36" s="18"/>
      <c r="H36" s="14"/>
      <c r="I36" s="14"/>
      <c r="K36" s="19"/>
      <c r="L36" s="19"/>
      <c r="M36" s="43"/>
      <c r="N36" s="20"/>
      <c r="O36" s="20"/>
    </row>
    <row r="37" spans="1:16" x14ac:dyDescent="0.35">
      <c r="F37" s="18"/>
      <c r="H37" s="14"/>
      <c r="I37" s="14"/>
      <c r="K37" s="19"/>
      <c r="L37" s="19"/>
      <c r="M37" s="43"/>
      <c r="N37" s="20"/>
      <c r="O37" s="20"/>
    </row>
    <row r="38" spans="1:16" x14ac:dyDescent="0.35">
      <c r="F38" s="18"/>
      <c r="H38" s="14"/>
      <c r="I38" s="14"/>
      <c r="K38" s="19"/>
      <c r="L38" s="19"/>
      <c r="M38" s="43"/>
      <c r="N38" s="20"/>
      <c r="O38" s="20"/>
    </row>
    <row r="39" spans="1:16" x14ac:dyDescent="0.35">
      <c r="A39" s="44" t="s">
        <v>181</v>
      </c>
      <c r="B39" s="44"/>
      <c r="C39" s="44"/>
      <c r="D39" s="44"/>
      <c r="E39" s="44"/>
      <c r="F39" s="45"/>
      <c r="G39" s="44"/>
      <c r="H39" s="45"/>
      <c r="I39" s="45"/>
      <c r="J39" s="44"/>
      <c r="K39" s="46"/>
      <c r="L39" s="46"/>
      <c r="M39" s="47"/>
      <c r="N39" s="48"/>
      <c r="O39" s="48"/>
      <c r="P39" s="44"/>
    </row>
    <row r="40" spans="1:16" x14ac:dyDescent="0.35">
      <c r="A40" s="49">
        <v>41555</v>
      </c>
      <c r="B40" s="50" t="s">
        <v>182</v>
      </c>
      <c r="C40" s="51">
        <f>'[1]Bent Med'!C2</f>
        <v>1370</v>
      </c>
      <c r="D40" s="50">
        <f>'[1]Bent Med'!E2</f>
        <v>0.46400000000000002</v>
      </c>
      <c r="E40" s="50">
        <f>'[1]Bent Med'!B2</f>
        <v>1267</v>
      </c>
      <c r="F40" s="52">
        <f>E40*$S$10</f>
        <v>263.96849673714905</v>
      </c>
      <c r="G40" s="50">
        <f>'[1]Bent Med'!B38</f>
        <v>2.2945859384921876</v>
      </c>
      <c r="H40" s="52">
        <f>G40*D40</f>
        <v>1.064687875460375</v>
      </c>
      <c r="I40" s="52">
        <f>(H40/1000)*(3600)</f>
        <v>3.8328763516573505</v>
      </c>
      <c r="J40" s="50">
        <f>'[1]Bent Med'!C38</f>
        <v>0.38182291666666618</v>
      </c>
      <c r="K40" s="53">
        <f>J40*(0.7)*(44.61)</f>
        <v>11.923184218749983</v>
      </c>
      <c r="L40" s="52">
        <f>K40*I40</f>
        <v>45.700090828500933</v>
      </c>
      <c r="M40" s="54">
        <f>L40/C40</f>
        <v>3.3357730531752505E-2</v>
      </c>
      <c r="N40" s="55">
        <f>L40/F40</f>
        <v>0.17312706399963912</v>
      </c>
      <c r="O40" s="55">
        <f>I40/C40</f>
        <v>2.7977199647133944E-3</v>
      </c>
      <c r="P40" s="50">
        <f>I40/F40</f>
        <v>1.4520203732773461E-2</v>
      </c>
    </row>
    <row r="41" spans="1:16" x14ac:dyDescent="0.35">
      <c r="A41" s="56">
        <v>41806</v>
      </c>
      <c r="B41" s="50" t="s">
        <v>163</v>
      </c>
      <c r="C41" s="51">
        <f>[1]NatSed_High!W3</f>
        <v>2500</v>
      </c>
      <c r="D41" s="50">
        <f>[1]NatSed_High!Y3</f>
        <v>1.5549999999999999</v>
      </c>
      <c r="E41" s="57">
        <f>C41/$T$10</f>
        <v>966.87342883067822</v>
      </c>
      <c r="F41" s="52">
        <f>E41*$S$10</f>
        <v>201.43972023956354</v>
      </c>
      <c r="G41" s="50">
        <f>[1]NatSed_High!V55</f>
        <v>1.1113619486549311</v>
      </c>
      <c r="H41" s="52">
        <f>G41*D41</f>
        <v>1.7281678301584178</v>
      </c>
      <c r="I41" s="52">
        <f>(H41/1000)*(3600)</f>
        <v>6.221404188570304</v>
      </c>
      <c r="J41" s="50">
        <f>[1]NatSed_High!W55</f>
        <v>0.35370045002616418</v>
      </c>
      <c r="K41" s="53">
        <f>J41*(0.7)*(44.61)</f>
        <v>11.045003952967027</v>
      </c>
      <c r="L41" s="52">
        <f>K41*I41</f>
        <v>68.71543385576463</v>
      </c>
      <c r="M41" s="54">
        <f>L41/C41</f>
        <v>2.7486173542305852E-2</v>
      </c>
      <c r="N41" s="55">
        <f>L41/F41</f>
        <v>0.34112157112829755</v>
      </c>
      <c r="O41" s="55">
        <f>I41/C41</f>
        <v>2.4885616754281217E-3</v>
      </c>
      <c r="P41" s="50">
        <f>I41/F41</f>
        <v>3.0884694345144331E-2</v>
      </c>
    </row>
    <row r="42" spans="1:16" x14ac:dyDescent="0.35">
      <c r="A42" s="56">
        <v>41555</v>
      </c>
      <c r="B42" s="50" t="s">
        <v>182</v>
      </c>
      <c r="C42" s="51">
        <f>'[1]Bent Med'!M2</f>
        <v>1575</v>
      </c>
      <c r="D42" s="50">
        <f>'[1]Bent Med'!O2</f>
        <v>1.7030000000000001</v>
      </c>
      <c r="E42" s="57">
        <f>C42/$T$10</f>
        <v>609.13026016332731</v>
      </c>
      <c r="F42" s="52">
        <f>E42*$S$10</f>
        <v>126.90702375092503</v>
      </c>
      <c r="G42" s="50">
        <f>'[1]Bent Med'!L55</f>
        <v>1.0994886012029503</v>
      </c>
      <c r="H42" s="52">
        <f>G42*D42</f>
        <v>1.8724290878486245</v>
      </c>
      <c r="I42" s="52">
        <f>(H42/1000)*(3600)</f>
        <v>6.7407447162550485</v>
      </c>
      <c r="J42" s="50">
        <f>'[1]Bent Med'!M55</f>
        <v>0.51575449133333362</v>
      </c>
      <c r="K42" s="53">
        <f>J42*(0.7)*(44.61)</f>
        <v>16.105465500866007</v>
      </c>
      <c r="L42" s="52">
        <f>K42*I42</f>
        <v>108.56283147779051</v>
      </c>
      <c r="M42" s="54">
        <f>L42/C42</f>
        <v>6.8928781890660637E-2</v>
      </c>
      <c r="N42" s="55">
        <f>L42/F42</f>
        <v>0.85545171787230723</v>
      </c>
      <c r="O42" s="55">
        <f>I42/C42</f>
        <v>4.2798379150825704E-3</v>
      </c>
      <c r="P42" s="50">
        <f>I42/F42</f>
        <v>5.3115615802989902E-2</v>
      </c>
    </row>
    <row r="43" spans="1:16" x14ac:dyDescent="0.35">
      <c r="A43" s="49">
        <v>41806</v>
      </c>
      <c r="B43" s="50" t="s">
        <v>183</v>
      </c>
      <c r="C43" s="51">
        <f>'[1]Barite medium'!M2</f>
        <v>3750</v>
      </c>
      <c r="D43" s="50">
        <f>'[1]Barite medium'!O2</f>
        <v>2.3439999999999999</v>
      </c>
      <c r="E43" s="57">
        <f>C43/$T$10</f>
        <v>1450.3101432460173</v>
      </c>
      <c r="F43" s="52">
        <f>E43*$S$10</f>
        <v>302.15958035934534</v>
      </c>
      <c r="G43" s="50">
        <f>'[1]Barite medium'!L56</f>
        <v>7.1698187506892994</v>
      </c>
      <c r="H43" s="52">
        <f>G43*D43</f>
        <v>16.806055151615716</v>
      </c>
      <c r="I43" s="52">
        <f>(H43/1000)*(3600)</f>
        <v>60.501798545816584</v>
      </c>
      <c r="J43" s="50">
        <f>'[1]Barite medium'!M56</f>
        <v>0.49793309056956297</v>
      </c>
      <c r="K43" s="53">
        <f>J43*(0.7)*(44.61)</f>
        <v>15.548956619215742</v>
      </c>
      <c r="L43" s="52">
        <f>K43*I43</f>
        <v>940.73984097343214</v>
      </c>
      <c r="M43" s="54">
        <f>L43/C43</f>
        <v>0.25086395759291524</v>
      </c>
      <c r="N43" s="55">
        <f>L43/F43</f>
        <v>3.1133874353897726</v>
      </c>
      <c r="O43" s="55">
        <f>I43/C43</f>
        <v>1.613381294555109E-2</v>
      </c>
      <c r="P43" s="50">
        <f>I43/F43</f>
        <v>0.20023127671101609</v>
      </c>
    </row>
    <row r="44" spans="1:16" x14ac:dyDescent="0.35">
      <c r="F44" s="18"/>
      <c r="H44" s="14"/>
      <c r="I44" s="14"/>
      <c r="K44" s="19"/>
      <c r="L44" s="19"/>
      <c r="M44" s="43"/>
      <c r="N44" s="20"/>
      <c r="O44" s="20"/>
    </row>
    <row r="45" spans="1:16" x14ac:dyDescent="0.35">
      <c r="F45" s="18"/>
      <c r="H45" s="14"/>
      <c r="I45" s="14"/>
      <c r="K45" s="19"/>
      <c r="L45" s="19"/>
      <c r="M45" s="43"/>
      <c r="N45" s="20"/>
      <c r="O45" s="20"/>
    </row>
    <row r="46" spans="1:16" x14ac:dyDescent="0.35">
      <c r="F46" s="18"/>
      <c r="H46" s="14"/>
      <c r="I46" s="14"/>
      <c r="K46" s="19"/>
      <c r="L46" s="19"/>
      <c r="M46" s="43"/>
      <c r="N46" s="20"/>
      <c r="O46" s="20"/>
    </row>
    <row r="47" spans="1:16" x14ac:dyDescent="0.35">
      <c r="F47" s="18"/>
      <c r="H47" s="14"/>
      <c r="I47" s="14"/>
      <c r="K47" s="19"/>
      <c r="L47" s="19"/>
      <c r="M47" s="43"/>
      <c r="N47" s="20"/>
      <c r="O47" s="20"/>
    </row>
    <row r="48" spans="1:16" x14ac:dyDescent="0.35">
      <c r="F48" s="18"/>
      <c r="H48" s="14"/>
      <c r="I48" s="14"/>
      <c r="K48" s="19"/>
      <c r="L48" s="19"/>
      <c r="M48" s="43"/>
      <c r="N48" s="20"/>
      <c r="O48" s="20"/>
    </row>
    <row r="49" spans="6:15" x14ac:dyDescent="0.35">
      <c r="F49" s="18"/>
      <c r="H49" s="14"/>
      <c r="I49" s="14"/>
      <c r="K49" s="19"/>
      <c r="L49" s="19"/>
      <c r="M49" s="43"/>
      <c r="N49" s="20"/>
      <c r="O49" s="20"/>
    </row>
    <row r="50" spans="6:15" x14ac:dyDescent="0.35">
      <c r="F50" s="18"/>
      <c r="H50" s="14"/>
      <c r="I50" s="14"/>
      <c r="K50" s="19"/>
      <c r="L50" s="19"/>
      <c r="M50" s="43"/>
      <c r="N50" s="20"/>
      <c r="O50" s="20"/>
    </row>
    <row r="51" spans="6:15" x14ac:dyDescent="0.35">
      <c r="F51" s="18"/>
      <c r="H51" s="14"/>
      <c r="I51" s="14"/>
      <c r="K51" s="19"/>
      <c r="L51" s="19"/>
      <c r="M51" s="43"/>
      <c r="N51" s="20"/>
      <c r="O51" s="20"/>
    </row>
    <row r="52" spans="6:15" x14ac:dyDescent="0.35">
      <c r="H52" s="14"/>
      <c r="I52" s="14"/>
    </row>
    <row r="53" spans="6:15" x14ac:dyDescent="0.35">
      <c r="H53" s="14"/>
      <c r="I53" s="14"/>
    </row>
    <row r="54" spans="6:15" x14ac:dyDescent="0.35">
      <c r="H54" s="14"/>
      <c r="I54" s="14"/>
    </row>
    <row r="55" spans="6:15" x14ac:dyDescent="0.35">
      <c r="H55" s="14"/>
      <c r="I55" s="14"/>
    </row>
    <row r="56" spans="6:15" x14ac:dyDescent="0.35">
      <c r="H56" s="14"/>
      <c r="I56" s="14"/>
    </row>
    <row r="57" spans="6:15" x14ac:dyDescent="0.35">
      <c r="H57" s="14"/>
      <c r="I57" s="14"/>
    </row>
  </sheetData>
  <mergeCells count="2">
    <mergeCell ref="R8:U8"/>
    <mergeCell ref="H9:I9"/>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6"/>
  <sheetViews>
    <sheetView workbookViewId="0">
      <selection activeCell="E23" sqref="E23"/>
    </sheetView>
  </sheetViews>
  <sheetFormatPr defaultRowHeight="14.5" x14ac:dyDescent="0.35"/>
  <cols>
    <col min="2" max="2" width="20.453125" customWidth="1"/>
    <col min="3" max="3" width="13.26953125" customWidth="1"/>
    <col min="4" max="4" width="8.7265625" customWidth="1"/>
    <col min="5" max="5" width="8.1796875" style="5" customWidth="1"/>
    <col min="6" max="6" width="8.7265625" customWidth="1"/>
    <col min="7" max="7" width="13.26953125" style="60" customWidth="1"/>
    <col min="8" max="8" width="13.81640625" style="61" customWidth="1"/>
    <col min="9" max="9" width="13.26953125" customWidth="1"/>
    <col min="10" max="10" width="19.1796875" customWidth="1"/>
    <col min="11" max="11" width="11.1796875" customWidth="1"/>
    <col min="12" max="12" width="11.26953125" customWidth="1"/>
    <col min="15" max="15" width="8.7265625" customWidth="1"/>
    <col min="16" max="16" width="12.453125" customWidth="1"/>
    <col min="17" max="17" width="11.26953125" customWidth="1"/>
    <col min="18" max="18" width="13.81640625" customWidth="1"/>
    <col min="19" max="19" width="11.81640625" customWidth="1"/>
  </cols>
  <sheetData>
    <row r="1" spans="1:19" ht="21" x14ac:dyDescent="0.5">
      <c r="A1" s="59" t="s">
        <v>185</v>
      </c>
    </row>
    <row r="2" spans="1:19" x14ac:dyDescent="0.35">
      <c r="A2" t="s">
        <v>186</v>
      </c>
      <c r="C2" s="62"/>
    </row>
    <row r="3" spans="1:19" x14ac:dyDescent="0.35">
      <c r="A3" t="s">
        <v>187</v>
      </c>
    </row>
    <row r="4" spans="1:19" x14ac:dyDescent="0.35">
      <c r="A4" t="s">
        <v>188</v>
      </c>
    </row>
    <row r="5" spans="1:19" x14ac:dyDescent="0.35">
      <c r="A5" t="s">
        <v>189</v>
      </c>
      <c r="C5" s="62"/>
      <c r="O5" s="63" t="s">
        <v>190</v>
      </c>
      <c r="P5" s="63"/>
      <c r="Q5" s="63"/>
    </row>
    <row r="6" spans="1:19" s="22" customFormat="1" ht="14.5" customHeight="1" x14ac:dyDescent="0.35">
      <c r="A6" s="22" t="s">
        <v>191</v>
      </c>
      <c r="C6" s="64"/>
      <c r="E6" s="65"/>
      <c r="G6" s="66"/>
      <c r="H6" s="67"/>
      <c r="O6" s="63"/>
      <c r="P6" s="63"/>
      <c r="Q6" s="63"/>
    </row>
    <row r="7" spans="1:19" ht="14.5" customHeight="1" x14ac:dyDescent="0.35">
      <c r="C7" s="62"/>
      <c r="G7" s="68" t="s">
        <v>192</v>
      </c>
      <c r="H7" s="68"/>
      <c r="I7" s="69"/>
      <c r="K7" s="70" t="s">
        <v>193</v>
      </c>
      <c r="L7" s="70"/>
      <c r="O7" s="63"/>
      <c r="P7" s="63"/>
      <c r="Q7" s="63"/>
    </row>
    <row r="8" spans="1:19" ht="58" x14ac:dyDescent="0.35">
      <c r="B8" s="71" t="s">
        <v>194</v>
      </c>
      <c r="C8" s="72" t="s">
        <v>195</v>
      </c>
      <c r="D8" s="71" t="s">
        <v>196</v>
      </c>
      <c r="E8" s="71" t="s">
        <v>3</v>
      </c>
      <c r="F8" s="71" t="s">
        <v>197</v>
      </c>
      <c r="G8" s="73" t="s">
        <v>198</v>
      </c>
      <c r="H8" s="12" t="s">
        <v>199</v>
      </c>
      <c r="I8" s="74" t="s">
        <v>200</v>
      </c>
      <c r="J8" s="12" t="s">
        <v>201</v>
      </c>
      <c r="K8" s="74" t="s">
        <v>202</v>
      </c>
      <c r="L8" s="75" t="s">
        <v>203</v>
      </c>
      <c r="M8" s="75" t="s">
        <v>204</v>
      </c>
      <c r="N8" s="74"/>
      <c r="O8" s="76" t="s">
        <v>205</v>
      </c>
      <c r="P8" s="76" t="s">
        <v>206</v>
      </c>
      <c r="Q8" s="76" t="s">
        <v>207</v>
      </c>
      <c r="R8" s="76" t="s">
        <v>208</v>
      </c>
      <c r="S8" s="76" t="s">
        <v>209</v>
      </c>
    </row>
    <row r="9" spans="1:19" x14ac:dyDescent="0.35">
      <c r="B9" s="11" t="s">
        <v>210</v>
      </c>
      <c r="C9" s="77">
        <v>41189</v>
      </c>
      <c r="D9" s="78">
        <v>4</v>
      </c>
      <c r="E9" s="79" t="s">
        <v>211</v>
      </c>
      <c r="F9" s="80">
        <v>1184.5999999999999</v>
      </c>
      <c r="G9" s="81">
        <f>[1]NatSed_Low!A7</f>
        <v>0.87706018518518514</v>
      </c>
      <c r="H9" s="81">
        <f>[1]NatSed_Low!A22</f>
        <v>0.92914351851851851</v>
      </c>
      <c r="I9" s="81">
        <f>[1]NatSed_Low!A171</f>
        <v>0.43956018518518519</v>
      </c>
      <c r="J9" s="82">
        <f>[1]NatSed_Low!B23</f>
        <v>2.5575000000000001</v>
      </c>
      <c r="K9" s="81">
        <f>[1]NatSed_Low!G3</f>
        <v>0.9375</v>
      </c>
      <c r="L9" s="81">
        <f>[1]NatSed_Low!G4</f>
        <v>0.4375</v>
      </c>
      <c r="M9" s="11" t="s">
        <v>212</v>
      </c>
      <c r="N9" s="11"/>
      <c r="O9" s="83">
        <v>6.767157894736842</v>
      </c>
      <c r="P9" s="84">
        <v>19.090337391396648</v>
      </c>
      <c r="Q9" s="84">
        <v>14.338003084632559</v>
      </c>
      <c r="R9" s="84">
        <f>P9/2</f>
        <v>9.5451686956983242</v>
      </c>
    </row>
    <row r="10" spans="1:19" x14ac:dyDescent="0.35">
      <c r="B10" s="11" t="s">
        <v>213</v>
      </c>
      <c r="C10" s="77">
        <f>[1]NatSed_High!A4</f>
        <v>41190</v>
      </c>
      <c r="D10" s="78">
        <v>4</v>
      </c>
      <c r="E10" s="79" t="s">
        <v>214</v>
      </c>
      <c r="F10" s="80">
        <f>[1]NatSed_High!B3</f>
        <v>596.6</v>
      </c>
      <c r="G10" s="81">
        <f>[1]NatSed_High!A6</f>
        <v>0.80136574074074074</v>
      </c>
      <c r="H10" s="81">
        <f>[1]NatSed_High!A33</f>
        <v>0.89511574074074074</v>
      </c>
      <c r="I10" s="81">
        <f>[1]NatSed_High!A183</f>
        <v>0.40900462962962963</v>
      </c>
      <c r="J10" s="82">
        <f>[1]NatSed_High!B34</f>
        <v>2.1287632163300549</v>
      </c>
      <c r="K10" s="81">
        <f>[1]NatSed_High!G2</f>
        <v>0.90277777777777779</v>
      </c>
      <c r="L10" s="81">
        <f>[1]NatSed_High!G3</f>
        <v>0.40625</v>
      </c>
      <c r="M10" s="11" t="s">
        <v>215</v>
      </c>
      <c r="N10" s="11"/>
      <c r="O10" s="83">
        <v>6.6926818181818168</v>
      </c>
      <c r="P10" s="84">
        <v>19.114921041460278</v>
      </c>
      <c r="Q10" s="84">
        <v>14.587430431103146</v>
      </c>
      <c r="R10" s="84">
        <f t="shared" ref="R10:R26" si="0">P10/2</f>
        <v>9.5574605207301389</v>
      </c>
    </row>
    <row r="11" spans="1:19" x14ac:dyDescent="0.35">
      <c r="B11" s="11" t="s">
        <v>216</v>
      </c>
      <c r="C11" s="77">
        <f>[1]Control!A4</f>
        <v>41191</v>
      </c>
      <c r="D11" s="78">
        <v>1</v>
      </c>
      <c r="E11" s="79" t="s">
        <v>217</v>
      </c>
      <c r="F11" s="80">
        <f>[1]Control!B3</f>
        <v>1746.4</v>
      </c>
      <c r="G11" s="85">
        <f>[1]Control!A6</f>
        <v>0.62283564814814818</v>
      </c>
      <c r="H11" s="81" t="str">
        <f>[1]Control!A225</f>
        <v xml:space="preserve">   09:11:52</v>
      </c>
      <c r="I11" s="81" t="s">
        <v>218</v>
      </c>
      <c r="J11" s="82">
        <f>[1]Control!B226</f>
        <v>2.2913970026157782</v>
      </c>
      <c r="K11" s="81" t="str">
        <f>[1]Control!G2</f>
        <v>14:55:30:00</v>
      </c>
      <c r="L11" s="81">
        <f>[1]Control!G3</f>
        <v>0.39583333333333331</v>
      </c>
      <c r="M11" s="78" t="s">
        <v>219</v>
      </c>
      <c r="O11" s="83">
        <v>2.1847623318385647</v>
      </c>
      <c r="P11" s="83">
        <v>6.5462101732720397</v>
      </c>
      <c r="Q11" s="83">
        <v>5.4159692024055008</v>
      </c>
      <c r="R11" s="84">
        <f t="shared" si="0"/>
        <v>3.2731050866360198</v>
      </c>
    </row>
    <row r="12" spans="1:19" x14ac:dyDescent="0.35">
      <c r="B12" s="11" t="s">
        <v>220</v>
      </c>
      <c r="C12" s="77">
        <f>'[1]Bent low'!B3</f>
        <v>41191</v>
      </c>
      <c r="D12" s="78">
        <v>3</v>
      </c>
      <c r="E12" s="79" t="s">
        <v>221</v>
      </c>
      <c r="F12" s="82">
        <f>'[1]Bent low'!C2</f>
        <v>1562.6</v>
      </c>
      <c r="G12" s="81">
        <f>'[1]Bent low'!B5</f>
        <v>0.74667824074074074</v>
      </c>
      <c r="H12" s="86">
        <f>'[1]Bent low'!B37</f>
        <v>0.86334490740740744</v>
      </c>
      <c r="I12" s="81">
        <f>'[1]Bent low'!B185</f>
        <v>0.39563657407407399</v>
      </c>
      <c r="J12" s="82">
        <f>'[1]Bent low'!C38</f>
        <v>2.0797917875245187</v>
      </c>
      <c r="K12" s="81">
        <f>'[1]Bent low'!H1</f>
        <v>0.87291666666666667</v>
      </c>
      <c r="L12" s="81">
        <f>'[1]Bent low'!H2</f>
        <v>0.37847222222222227</v>
      </c>
      <c r="M12" s="78" t="s">
        <v>222</v>
      </c>
      <c r="N12" s="11"/>
      <c r="O12" s="83">
        <v>1.9936250000000002</v>
      </c>
      <c r="P12" s="84">
        <v>5.5233638046822673</v>
      </c>
      <c r="Q12" s="84">
        <v>4.4568347405256361</v>
      </c>
      <c r="R12" s="84">
        <f t="shared" si="0"/>
        <v>2.7616819023411336</v>
      </c>
    </row>
    <row r="13" spans="1:19" x14ac:dyDescent="0.35">
      <c r="B13" s="78" t="s">
        <v>223</v>
      </c>
      <c r="C13" s="87">
        <f>[1]NatSed_Low!K5</f>
        <v>41191</v>
      </c>
      <c r="D13" s="78">
        <v>4</v>
      </c>
      <c r="E13" s="88" t="s">
        <v>24</v>
      </c>
      <c r="F13">
        <f>[1]NatSed_Low!L4</f>
        <v>694</v>
      </c>
      <c r="G13" s="60">
        <f>[1]NatSed_Low!K7</f>
        <v>0.64094907407407409</v>
      </c>
      <c r="H13" s="89">
        <f>[1]NatSed_Low!K69</f>
        <v>0.86699074074074067</v>
      </c>
      <c r="I13" s="60">
        <f>[1]NatSed_Low!K212</f>
        <v>0.38105324074074076</v>
      </c>
      <c r="J13">
        <f>[1]NatSed_Low!L70</f>
        <v>3.0954924889108733</v>
      </c>
      <c r="K13" s="60">
        <f>[1]NatSed_Low!Q3</f>
        <v>0.87291666666666667</v>
      </c>
      <c r="L13" s="60">
        <f>[1]NatSed_Low!Q4</f>
        <v>0.37847222222222227</v>
      </c>
      <c r="M13" s="78" t="s">
        <v>224</v>
      </c>
      <c r="O13" s="83">
        <v>2.2579852941176464</v>
      </c>
      <c r="P13" s="84">
        <v>6.0565384277054939</v>
      </c>
      <c r="Q13" s="84">
        <v>5.1350455612292549</v>
      </c>
      <c r="R13" s="84">
        <f t="shared" si="0"/>
        <v>3.0282692138527469</v>
      </c>
    </row>
    <row r="14" spans="1:19" x14ac:dyDescent="0.35">
      <c r="B14" s="11" t="s">
        <v>225</v>
      </c>
      <c r="C14" s="77">
        <f>'[1]Barite medium'!A3</f>
        <v>41192</v>
      </c>
      <c r="D14" s="78">
        <v>2</v>
      </c>
      <c r="E14" s="79" t="s">
        <v>226</v>
      </c>
      <c r="F14" s="80">
        <f>'[1]Barite medium'!B2</f>
        <v>3667</v>
      </c>
      <c r="G14" s="81">
        <f>'[1]Barite medium'!A5</f>
        <v>0.64231481481481478</v>
      </c>
      <c r="H14" s="81">
        <f>'[1]Barite medium'!A59</f>
        <v>0.82981481481481489</v>
      </c>
      <c r="I14" s="81">
        <f>'[1]Barite medium'!A209</f>
        <v>0.34371527777777783</v>
      </c>
      <c r="J14" s="82">
        <f>'[1]Barite medium'!B60</f>
        <v>6.9559836237247303</v>
      </c>
      <c r="K14" s="81">
        <f>'[1]Barite medium'!G1</f>
        <v>0.83888888888888891</v>
      </c>
      <c r="L14" s="81">
        <f>'[1]Barite medium'!G2</f>
        <v>0.34027777777777773</v>
      </c>
      <c r="M14" s="78" t="s">
        <v>227</v>
      </c>
      <c r="O14" s="83">
        <v>2.3561551724137924</v>
      </c>
      <c r="P14" s="84">
        <v>5.6072757938127369</v>
      </c>
      <c r="Q14" s="84">
        <v>4.7858614715671592</v>
      </c>
      <c r="R14" s="84">
        <f t="shared" si="0"/>
        <v>2.8036378969063684</v>
      </c>
      <c r="S14" t="s">
        <v>228</v>
      </c>
    </row>
    <row r="15" spans="1:19" x14ac:dyDescent="0.35">
      <c r="B15" s="78" t="s">
        <v>229</v>
      </c>
      <c r="C15" s="87">
        <f>[1]Control!L4</f>
        <v>41193</v>
      </c>
      <c r="D15" s="78">
        <v>1</v>
      </c>
      <c r="E15" s="88" t="s">
        <v>25</v>
      </c>
      <c r="F15">
        <f>[1]Control!M3</f>
        <v>434</v>
      </c>
      <c r="G15" s="60" t="str">
        <f>[1]Control!L6</f>
        <v xml:space="preserve">   18:03:56</v>
      </c>
      <c r="H15" s="89" t="str">
        <f>[1]Control!L189</f>
        <v xml:space="preserve">   09:18:56</v>
      </c>
      <c r="I15" s="60" t="str">
        <f>[1]Control!L189</f>
        <v xml:space="preserve">   09:18:56</v>
      </c>
      <c r="J15">
        <f>[1]Control!M190</f>
        <v>2.0391323379773851</v>
      </c>
      <c r="K15" s="60">
        <f>[1]Control!R2</f>
        <v>0.75138888888888899</v>
      </c>
      <c r="L15" s="60" t="s">
        <v>230</v>
      </c>
      <c r="M15" s="78" t="s">
        <v>231</v>
      </c>
      <c r="N15" s="11"/>
      <c r="O15" s="83">
        <v>1.7429725490196089</v>
      </c>
      <c r="P15" s="84">
        <v>18.411268132470941</v>
      </c>
      <c r="Q15" s="84">
        <v>12.394509910912328</v>
      </c>
      <c r="R15" s="84">
        <f t="shared" si="0"/>
        <v>9.2056340662354703</v>
      </c>
    </row>
    <row r="16" spans="1:19" x14ac:dyDescent="0.35">
      <c r="B16" s="78" t="s">
        <v>232</v>
      </c>
      <c r="C16" s="87">
        <f>'[1]Bent low'!L3</f>
        <v>41193</v>
      </c>
      <c r="D16" s="78">
        <v>3</v>
      </c>
      <c r="E16" s="88" t="s">
        <v>233</v>
      </c>
      <c r="F16">
        <f>'[1]Bent low'!M2</f>
        <v>608.20000000000005</v>
      </c>
      <c r="G16" s="60">
        <f>'[1]Bent low'!L5</f>
        <v>0.77357638888888891</v>
      </c>
      <c r="H16" s="89">
        <f>'[1]Bent low'!L35</f>
        <v>0.87774305555555554</v>
      </c>
      <c r="I16" s="60">
        <f>'[1]Bent low'!L186</f>
        <v>0.39510416666666665</v>
      </c>
      <c r="J16">
        <f>'[1]Bent low'!M36</f>
        <v>3.1970784799276077</v>
      </c>
      <c r="K16" s="60">
        <f>'[1]Bent low'!R1</f>
        <v>0.88541666666666663</v>
      </c>
      <c r="L16" s="60">
        <f>'[1]Bent low'!R2</f>
        <v>0.39583333333333331</v>
      </c>
      <c r="M16" s="78" t="s">
        <v>234</v>
      </c>
      <c r="O16" s="83">
        <v>0.7758115942028988</v>
      </c>
      <c r="P16" s="84">
        <v>5.700006055591115</v>
      </c>
      <c r="Q16" s="84">
        <v>4.0873151955324367</v>
      </c>
      <c r="R16" s="84">
        <f t="shared" si="0"/>
        <v>2.8500030277955575</v>
      </c>
      <c r="S16" t="s">
        <v>235</v>
      </c>
    </row>
    <row r="17" spans="1:18" x14ac:dyDescent="0.35">
      <c r="B17" s="78" t="s">
        <v>236</v>
      </c>
      <c r="C17" s="87">
        <f>[1]NatSed_Low!U5</f>
        <v>41193</v>
      </c>
      <c r="D17" s="78">
        <v>4</v>
      </c>
      <c r="E17" s="88" t="s">
        <v>237</v>
      </c>
      <c r="F17" s="11">
        <f>[1]NatSed_Low!V4</f>
        <v>2816</v>
      </c>
      <c r="G17" s="60">
        <f>[1]NatSed_Low!U7</f>
        <v>0.77357638888888891</v>
      </c>
      <c r="H17" s="89">
        <f>[1]NatSed_Low!U38</f>
        <v>0.88121527777777775</v>
      </c>
      <c r="I17" s="60">
        <f>[1]NatSed_Low!U188</f>
        <v>0.39510416666666665</v>
      </c>
      <c r="J17" s="11">
        <f>[1]NatSed_Low!V39</f>
        <v>3.9912059247360143</v>
      </c>
      <c r="K17" s="90">
        <f>[1]NatSed_Low!AA3</f>
        <v>0.88541666666666663</v>
      </c>
      <c r="L17" s="90">
        <f>[1]NatSed_Low!AA4</f>
        <v>0.39583333333333331</v>
      </c>
      <c r="M17" s="78" t="s">
        <v>238</v>
      </c>
      <c r="N17" s="11"/>
      <c r="O17" s="83">
        <v>2.947260869565218</v>
      </c>
      <c r="P17" s="84">
        <v>8.3154686001001572</v>
      </c>
      <c r="Q17" s="84">
        <v>6.6273198443495138</v>
      </c>
      <c r="R17" s="84">
        <f t="shared" si="0"/>
        <v>4.1577343000500786</v>
      </c>
    </row>
    <row r="18" spans="1:18" x14ac:dyDescent="0.35">
      <c r="B18" s="11" t="s">
        <v>239</v>
      </c>
      <c r="C18" s="77">
        <f>'[1]Barite High'!A3</f>
        <v>41194</v>
      </c>
      <c r="D18" s="11">
        <v>2</v>
      </c>
      <c r="E18" s="79" t="s">
        <v>28</v>
      </c>
      <c r="F18" s="80">
        <v>523</v>
      </c>
      <c r="G18" s="81">
        <f>'[1]Barite High'!A5</f>
        <v>0.76731481481481489</v>
      </c>
      <c r="H18" s="91">
        <f>'[1]Barite High'!A40</f>
        <v>0.88884259259259257</v>
      </c>
      <c r="I18" s="91">
        <f>'[1]Barite High'!A191</f>
        <v>0.40620370370370368</v>
      </c>
      <c r="J18" s="82">
        <f>'[1]Barite High'!B41</f>
        <v>0.99002484126676238</v>
      </c>
      <c r="K18" s="81">
        <f>'[1]Barite High'!G1</f>
        <v>0.89861111111111114</v>
      </c>
      <c r="L18" s="81">
        <f>'[1]Barite High'!G2</f>
        <v>0.40625</v>
      </c>
      <c r="M18" s="78" t="s">
        <v>240</v>
      </c>
      <c r="N18" s="11"/>
      <c r="O18" s="83">
        <v>1.6271129032258063</v>
      </c>
      <c r="P18" s="84">
        <v>9.0283342268206468</v>
      </c>
      <c r="Q18" s="84">
        <v>7.1131919841621398</v>
      </c>
      <c r="R18" s="84">
        <f t="shared" si="0"/>
        <v>4.5141671134103234</v>
      </c>
    </row>
    <row r="19" spans="1:18" x14ac:dyDescent="0.35">
      <c r="B19" s="11" t="s">
        <v>241</v>
      </c>
      <c r="C19" s="77">
        <f>[1]NatSed_Med!A4</f>
        <v>41194</v>
      </c>
      <c r="D19" s="78">
        <v>4</v>
      </c>
      <c r="E19" s="88" t="s">
        <v>32</v>
      </c>
      <c r="F19" s="80">
        <f>[1]NatSed_Med!B3</f>
        <v>1407.6</v>
      </c>
      <c r="G19" s="81">
        <v>0.77219907407407407</v>
      </c>
      <c r="H19" s="81">
        <f>[1]NatSed_Med!A39</f>
        <v>0.88678240740740744</v>
      </c>
      <c r="I19" s="81">
        <f>[1]NatSed_Med!A191</f>
        <v>0.40761574074074075</v>
      </c>
      <c r="J19" s="82">
        <f>[1]NatSed_Med!B40</f>
        <v>2.8241657183388935</v>
      </c>
      <c r="K19" s="81">
        <f>[1]NatSed_Med!G2</f>
        <v>0.89930555555555547</v>
      </c>
      <c r="L19" s="81">
        <f>[1]NatSed_Med!G3</f>
        <v>0.40625</v>
      </c>
      <c r="M19" s="78" t="s">
        <v>242</v>
      </c>
      <c r="N19" s="11"/>
      <c r="O19" s="83">
        <v>2.6288387096774182</v>
      </c>
      <c r="P19" s="84">
        <v>7.7482835256614866</v>
      </c>
      <c r="Q19" s="84">
        <v>5.536672672846997</v>
      </c>
      <c r="R19" s="84">
        <f t="shared" si="0"/>
        <v>3.8741417628307433</v>
      </c>
    </row>
    <row r="20" spans="1:18" x14ac:dyDescent="0.35">
      <c r="B20" s="78" t="s">
        <v>243</v>
      </c>
      <c r="C20" s="77">
        <v>41194</v>
      </c>
      <c r="D20" s="78">
        <v>3</v>
      </c>
      <c r="E20" s="88" t="s">
        <v>244</v>
      </c>
      <c r="F20" s="80">
        <v>677.4</v>
      </c>
      <c r="G20" s="92">
        <v>0.75343749999999998</v>
      </c>
      <c r="H20" s="81">
        <v>0.88885416666666661</v>
      </c>
      <c r="I20" s="81"/>
      <c r="J20" s="82"/>
      <c r="K20" s="81" t="s">
        <v>245</v>
      </c>
      <c r="L20" s="81" t="s">
        <v>246</v>
      </c>
      <c r="M20" s="78" t="s">
        <v>247</v>
      </c>
      <c r="N20" s="11"/>
      <c r="O20" s="83">
        <v>1.3845737704918035</v>
      </c>
      <c r="P20" s="84">
        <v>8.9836373826869433</v>
      </c>
      <c r="Q20" s="84">
        <v>6.5987988223505418</v>
      </c>
      <c r="R20" s="84">
        <f t="shared" si="0"/>
        <v>4.4918186913434717</v>
      </c>
    </row>
    <row r="21" spans="1:18" x14ac:dyDescent="0.35">
      <c r="B21" s="28" t="s">
        <v>248</v>
      </c>
      <c r="C21" s="93">
        <f>[1]Control!V4</f>
        <v>41196</v>
      </c>
      <c r="D21" s="28">
        <v>1</v>
      </c>
      <c r="E21" s="94"/>
      <c r="F21" s="28">
        <f>[1]Control!W3</f>
        <v>306.8</v>
      </c>
      <c r="G21" s="95">
        <f>[1]Control!V6</f>
        <v>0.90267361111111111</v>
      </c>
      <c r="H21" s="96" t="str">
        <f>[1]Control!V146</f>
        <v xml:space="preserve">   09:19:51</v>
      </c>
      <c r="I21" s="95" t="str">
        <f>[1]Control!V146</f>
        <v xml:space="preserve">   09:19:51</v>
      </c>
      <c r="J21" s="28">
        <f>[1]Control!W147</f>
        <v>1.2832639451345771</v>
      </c>
      <c r="K21" s="95">
        <f>[1]Control!AB2</f>
        <v>0.75138888888888899</v>
      </c>
      <c r="L21" s="95" t="s">
        <v>230</v>
      </c>
      <c r="M21" s="97" t="s">
        <v>249</v>
      </c>
      <c r="N21" s="97"/>
      <c r="O21" s="98">
        <v>0.9937721518987348</v>
      </c>
      <c r="P21" s="98">
        <v>8.8123169457806192</v>
      </c>
      <c r="Q21" s="98">
        <v>5.5451076203471841</v>
      </c>
      <c r="R21" s="98">
        <f t="shared" si="0"/>
        <v>4.4061584728903096</v>
      </c>
    </row>
    <row r="22" spans="1:18" x14ac:dyDescent="0.35">
      <c r="B22" s="99" t="s">
        <v>250</v>
      </c>
      <c r="C22" s="100">
        <f>'[1]Bent High'!A3</f>
        <v>41196</v>
      </c>
      <c r="D22" s="99">
        <v>3</v>
      </c>
      <c r="E22" s="101"/>
      <c r="F22" s="102">
        <f>'[1]Bent High'!B2</f>
        <v>192.8</v>
      </c>
      <c r="G22" s="103">
        <f>'[1]Bent High'!A5</f>
        <v>0.91234953703703703</v>
      </c>
      <c r="H22" s="103">
        <f>'[1]Bent High'!A14</f>
        <v>0.94359953703703703</v>
      </c>
      <c r="I22" s="103">
        <f>'[1]Bent High'!A161</f>
        <v>0.44707175925925802</v>
      </c>
      <c r="J22" s="102">
        <f>'[1]Bent High'!B15</f>
        <v>1.2983760845958048</v>
      </c>
      <c r="K22" s="103">
        <f>'[1]Bent High'!G1</f>
        <v>0.9506944444444444</v>
      </c>
      <c r="L22" s="103">
        <f>'[1]Bent High'!G2</f>
        <v>0.40625</v>
      </c>
      <c r="M22" s="97" t="s">
        <v>251</v>
      </c>
      <c r="N22" s="97"/>
      <c r="O22" s="28">
        <v>0.76150000000000007</v>
      </c>
      <c r="P22" s="28">
        <v>4.0609184873152602</v>
      </c>
      <c r="Q22" s="28">
        <v>2.7806888545152568</v>
      </c>
      <c r="R22" s="98">
        <f t="shared" si="0"/>
        <v>2.0304592436576301</v>
      </c>
    </row>
    <row r="23" spans="1:18" s="28" customFormat="1" x14ac:dyDescent="0.35">
      <c r="B23" s="99" t="s">
        <v>252</v>
      </c>
      <c r="C23" s="93">
        <f>'[1]Barite High'!U3</f>
        <v>41198</v>
      </c>
      <c r="D23" s="99">
        <v>2</v>
      </c>
      <c r="E23" s="101"/>
      <c r="F23" s="28">
        <f>'[1]Barite High'!V2</f>
        <v>3606</v>
      </c>
      <c r="G23" s="95">
        <f>'[1]Barite High'!U5</f>
        <v>0.87554398148148149</v>
      </c>
      <c r="H23" s="96">
        <f>'[1]Barite High'!U17</f>
        <v>0.91721064814814823</v>
      </c>
      <c r="I23" s="95">
        <f>'[1]Barite High'!U166</f>
        <v>0.42762731481481481</v>
      </c>
      <c r="J23" s="28">
        <f>'[1]Barite High'!V18</f>
        <v>1.4533988239760949</v>
      </c>
      <c r="K23" s="95">
        <f>'[1]Barite High'!AA1</f>
        <v>0.92708333333333337</v>
      </c>
      <c r="L23" s="95">
        <f>'[1]Barite High'!AA2</f>
        <v>0.42708333333333331</v>
      </c>
      <c r="M23" s="28" t="s">
        <v>253</v>
      </c>
      <c r="O23" s="28">
        <v>2.2084000000000001</v>
      </c>
      <c r="P23" s="28">
        <v>7.3774095536499829</v>
      </c>
      <c r="Q23" s="28">
        <v>6.445628301717746</v>
      </c>
      <c r="R23" s="98">
        <f t="shared" si="0"/>
        <v>3.6887047768249914</v>
      </c>
    </row>
    <row r="24" spans="1:18" s="28" customFormat="1" x14ac:dyDescent="0.35">
      <c r="B24" s="99" t="s">
        <v>254</v>
      </c>
      <c r="C24" s="93">
        <f>[1]NatSed_High!K4</f>
        <v>41198</v>
      </c>
      <c r="D24" s="99">
        <v>4</v>
      </c>
      <c r="E24" s="101"/>
      <c r="F24" s="28">
        <f>[1]NatSed_High!L3</f>
        <v>770.2</v>
      </c>
      <c r="G24" s="95">
        <f>[1]NatSed_High!K6</f>
        <v>0.89986111111111111</v>
      </c>
      <c r="H24" s="96">
        <f>[1]NatSed_High!K12</f>
        <v>0.92069444444444448</v>
      </c>
      <c r="I24" s="95">
        <f>[1]NatSed_High!K160</f>
        <v>0.4276388888888889</v>
      </c>
      <c r="J24" s="28">
        <f>[1]NatSed_High!L13</f>
        <v>3.0191417393173898</v>
      </c>
      <c r="K24" s="95">
        <f>[1]NatSed_High!Q2</f>
        <v>0.92708333333333337</v>
      </c>
      <c r="L24" s="95">
        <f>[1]NatSed_High!Q3</f>
        <v>0.42708333333333331</v>
      </c>
      <c r="M24" s="97" t="s">
        <v>255</v>
      </c>
      <c r="N24" s="97"/>
      <c r="O24" s="28">
        <v>2.2830666666666666</v>
      </c>
      <c r="P24" s="28">
        <v>9.1890782213190754</v>
      </c>
      <c r="Q24" s="28">
        <v>7.404125764213382</v>
      </c>
      <c r="R24" s="98">
        <f t="shared" si="0"/>
        <v>4.5945391106595377</v>
      </c>
    </row>
    <row r="25" spans="1:18" s="28" customFormat="1" x14ac:dyDescent="0.35">
      <c r="B25" s="35" t="s">
        <v>256</v>
      </c>
      <c r="C25" s="104">
        <f>'[1]Barite High'!K3</f>
        <v>41199</v>
      </c>
      <c r="D25" s="35">
        <v>2</v>
      </c>
      <c r="E25" s="105"/>
      <c r="F25" s="35">
        <f>'[1]Barite High'!L2</f>
        <v>169.2</v>
      </c>
      <c r="G25" s="106">
        <f>'[1]Barite High'!A5</f>
        <v>0.76731481481481489</v>
      </c>
      <c r="H25" s="107">
        <f>'[1]Barite High'!A40</f>
        <v>0.88884259259259257</v>
      </c>
      <c r="I25" s="106">
        <f>'[1]Barite High'!A191</f>
        <v>0.40620370370370368</v>
      </c>
      <c r="J25" s="35">
        <f>'[1]Barite High'!L66</f>
        <v>1.5383718925170058</v>
      </c>
      <c r="K25" s="106">
        <f>'[1]Barite High'!Q1</f>
        <v>0.91666666666666663</v>
      </c>
      <c r="L25" s="106">
        <f>'[1]Barite High'!Q2</f>
        <v>0.33333333333333331</v>
      </c>
      <c r="M25" s="99" t="s">
        <v>257</v>
      </c>
      <c r="N25" s="99"/>
      <c r="O25" s="35">
        <v>1.9063906249999998</v>
      </c>
      <c r="P25" s="35">
        <v>9.285036038868002</v>
      </c>
      <c r="Q25" s="35">
        <v>5.5235350703526427</v>
      </c>
      <c r="R25" s="108">
        <f t="shared" si="0"/>
        <v>4.642518019434001</v>
      </c>
    </row>
    <row r="26" spans="1:18" s="28" customFormat="1" x14ac:dyDescent="0.35">
      <c r="B26" s="99" t="s">
        <v>258</v>
      </c>
      <c r="C26" s="104">
        <f>[1]NatSed_Med!K4</f>
        <v>41199</v>
      </c>
      <c r="D26" s="99">
        <v>4</v>
      </c>
      <c r="E26" s="101"/>
      <c r="F26" s="35">
        <f>[1]NatSed_Med!L3</f>
        <v>1152.8</v>
      </c>
      <c r="G26" s="106">
        <f>[1]NatSed_Med!K6</f>
        <v>0.67358796296296297</v>
      </c>
      <c r="H26" s="107">
        <f>[1]NatSed_Med!K74</f>
        <v>0.90969907407407413</v>
      </c>
      <c r="I26" s="106">
        <f>[1]NatSed_Med!K197</f>
        <v>0.32983796296296297</v>
      </c>
      <c r="J26" s="35">
        <f>[1]NatSed_Med!L75</f>
        <v>3.0072563910759906</v>
      </c>
      <c r="K26" s="106">
        <f>[1]NatSed_Med!Q2</f>
        <v>0.91666666666666663</v>
      </c>
      <c r="L26" s="106">
        <f>[1]NatSed_Med!Q3</f>
        <v>0.33333333333333331</v>
      </c>
      <c r="M26" s="99" t="s">
        <v>259</v>
      </c>
      <c r="N26" s="99"/>
      <c r="O26" s="35">
        <v>3.2424285714285705</v>
      </c>
      <c r="P26" s="35">
        <v>6.2038549277910953</v>
      </c>
      <c r="Q26" s="35">
        <v>5.1632919490538756</v>
      </c>
      <c r="R26" s="108">
        <f t="shared" si="0"/>
        <v>3.1019274638955476</v>
      </c>
    </row>
    <row r="27" spans="1:18" s="28" customFormat="1" x14ac:dyDescent="0.35">
      <c r="B27" s="99"/>
      <c r="C27" s="93"/>
      <c r="D27" s="99"/>
      <c r="E27" s="101"/>
      <c r="G27" s="95"/>
      <c r="H27" s="96"/>
      <c r="I27" s="95"/>
      <c r="K27" s="95"/>
      <c r="L27" s="95"/>
      <c r="M27" s="97"/>
      <c r="N27" s="97"/>
      <c r="R27" s="98"/>
    </row>
    <row r="28" spans="1:18" s="28" customFormat="1" x14ac:dyDescent="0.35">
      <c r="M28" s="39"/>
      <c r="N28" s="109"/>
      <c r="O28" s="39"/>
      <c r="P28" s="39"/>
      <c r="Q28" s="39"/>
      <c r="R28" s="39"/>
    </row>
    <row r="29" spans="1:18" s="28" customFormat="1" x14ac:dyDescent="0.35">
      <c r="B29" s="109"/>
      <c r="C29" s="39"/>
      <c r="D29" s="39"/>
      <c r="E29" s="39"/>
      <c r="F29" s="39"/>
    </row>
    <row r="30" spans="1:18" s="22" customFormat="1" x14ac:dyDescent="0.35">
      <c r="A30" s="39"/>
      <c r="B30" s="40"/>
      <c r="C30" s="40"/>
      <c r="D30" s="40"/>
      <c r="E30" s="40"/>
      <c r="F30" s="40"/>
      <c r="G30" s="39"/>
    </row>
    <row r="31" spans="1:18" s="22" customFormat="1" x14ac:dyDescent="0.35">
      <c r="A31" s="39"/>
      <c r="B31" s="110"/>
      <c r="C31" s="40"/>
      <c r="D31" s="40"/>
      <c r="E31" s="40"/>
      <c r="F31" s="40"/>
      <c r="G31" s="39"/>
    </row>
    <row r="32" spans="1:18" x14ac:dyDescent="0.35">
      <c r="A32" s="40"/>
      <c r="B32" s="40"/>
      <c r="C32" s="40"/>
      <c r="D32" s="40"/>
      <c r="E32" s="40"/>
      <c r="F32" s="40"/>
      <c r="G32" s="40"/>
      <c r="H32"/>
    </row>
    <row r="33" spans="1:8" x14ac:dyDescent="0.35">
      <c r="A33" s="40"/>
      <c r="E33"/>
      <c r="G33" s="40"/>
      <c r="H33"/>
    </row>
    <row r="34" spans="1:8" x14ac:dyDescent="0.35">
      <c r="A34" s="40"/>
      <c r="E34"/>
      <c r="G34" s="40"/>
      <c r="H34"/>
    </row>
    <row r="35" spans="1:8" x14ac:dyDescent="0.35">
      <c r="E35"/>
      <c r="G35"/>
      <c r="H35"/>
    </row>
    <row r="36" spans="1:8" x14ac:dyDescent="0.35">
      <c r="E36"/>
      <c r="G36"/>
      <c r="H36"/>
    </row>
  </sheetData>
  <mergeCells count="3">
    <mergeCell ref="O5:Q7"/>
    <mergeCell ref="G7:H7"/>
    <mergeCell ref="K7:L7"/>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50"/>
  <sheetViews>
    <sheetView topLeftCell="A21" workbookViewId="0">
      <selection activeCell="A2" sqref="A2"/>
    </sheetView>
  </sheetViews>
  <sheetFormatPr defaultRowHeight="14.5" x14ac:dyDescent="0.35"/>
  <cols>
    <col min="1" max="6" width="12.7265625" customWidth="1"/>
    <col min="7" max="7" width="28.81640625" style="69" customWidth="1"/>
    <col min="8" max="11" width="12.7265625" style="88" customWidth="1"/>
    <col min="12" max="14" width="12.7265625" style="78" customWidth="1"/>
    <col min="15" max="15" width="8.7265625" style="112"/>
    <col min="16" max="16" width="10" bestFit="1" customWidth="1"/>
    <col min="20" max="20" width="9" style="5" customWidth="1"/>
    <col min="21" max="27" width="8.7265625" style="5"/>
    <col min="28" max="29" width="9.7265625" customWidth="1"/>
    <col min="265" max="270" width="12.7265625" customWidth="1"/>
    <col min="271" max="271" width="28.81640625" customWidth="1"/>
    <col min="272" max="277" width="12.7265625" customWidth="1"/>
    <col min="521" max="526" width="12.7265625" customWidth="1"/>
    <col min="527" max="527" width="28.81640625" customWidth="1"/>
    <col min="528" max="533" width="12.7265625" customWidth="1"/>
    <col min="777" max="782" width="12.7265625" customWidth="1"/>
    <col min="783" max="783" width="28.81640625" customWidth="1"/>
    <col min="784" max="789" width="12.7265625" customWidth="1"/>
    <col min="1033" max="1038" width="12.7265625" customWidth="1"/>
    <col min="1039" max="1039" width="28.81640625" customWidth="1"/>
    <col min="1040" max="1045" width="12.7265625" customWidth="1"/>
    <col min="1289" max="1294" width="12.7265625" customWidth="1"/>
    <col min="1295" max="1295" width="28.81640625" customWidth="1"/>
    <col min="1296" max="1301" width="12.7265625" customWidth="1"/>
    <col min="1545" max="1550" width="12.7265625" customWidth="1"/>
    <col min="1551" max="1551" width="28.81640625" customWidth="1"/>
    <col min="1552" max="1557" width="12.7265625" customWidth="1"/>
    <col min="1801" max="1806" width="12.7265625" customWidth="1"/>
    <col min="1807" max="1807" width="28.81640625" customWidth="1"/>
    <col min="1808" max="1813" width="12.7265625" customWidth="1"/>
    <col min="2057" max="2062" width="12.7265625" customWidth="1"/>
    <col min="2063" max="2063" width="28.81640625" customWidth="1"/>
    <col min="2064" max="2069" width="12.7265625" customWidth="1"/>
    <col min="2313" max="2318" width="12.7265625" customWidth="1"/>
    <col min="2319" max="2319" width="28.81640625" customWidth="1"/>
    <col min="2320" max="2325" width="12.7265625" customWidth="1"/>
    <col min="2569" max="2574" width="12.7265625" customWidth="1"/>
    <col min="2575" max="2575" width="28.81640625" customWidth="1"/>
    <col min="2576" max="2581" width="12.7265625" customWidth="1"/>
    <col min="2825" max="2830" width="12.7265625" customWidth="1"/>
    <col min="2831" max="2831" width="28.81640625" customWidth="1"/>
    <col min="2832" max="2837" width="12.7265625" customWidth="1"/>
    <col min="3081" max="3086" width="12.7265625" customWidth="1"/>
    <col min="3087" max="3087" width="28.81640625" customWidth="1"/>
    <col min="3088" max="3093" width="12.7265625" customWidth="1"/>
    <col min="3337" max="3342" width="12.7265625" customWidth="1"/>
    <col min="3343" max="3343" width="28.81640625" customWidth="1"/>
    <col min="3344" max="3349" width="12.7265625" customWidth="1"/>
    <col min="3593" max="3598" width="12.7265625" customWidth="1"/>
    <col min="3599" max="3599" width="28.81640625" customWidth="1"/>
    <col min="3600" max="3605" width="12.7265625" customWidth="1"/>
    <col min="3849" max="3854" width="12.7265625" customWidth="1"/>
    <col min="3855" max="3855" width="28.81640625" customWidth="1"/>
    <col min="3856" max="3861" width="12.7265625" customWidth="1"/>
    <col min="4105" max="4110" width="12.7265625" customWidth="1"/>
    <col min="4111" max="4111" width="28.81640625" customWidth="1"/>
    <col min="4112" max="4117" width="12.7265625" customWidth="1"/>
    <col min="4361" max="4366" width="12.7265625" customWidth="1"/>
    <col min="4367" max="4367" width="28.81640625" customWidth="1"/>
    <col min="4368" max="4373" width="12.7265625" customWidth="1"/>
    <col min="4617" max="4622" width="12.7265625" customWidth="1"/>
    <col min="4623" max="4623" width="28.81640625" customWidth="1"/>
    <col min="4624" max="4629" width="12.7265625" customWidth="1"/>
    <col min="4873" max="4878" width="12.7265625" customWidth="1"/>
    <col min="4879" max="4879" width="28.81640625" customWidth="1"/>
    <col min="4880" max="4885" width="12.7265625" customWidth="1"/>
    <col min="5129" max="5134" width="12.7265625" customWidth="1"/>
    <col min="5135" max="5135" width="28.81640625" customWidth="1"/>
    <col min="5136" max="5141" width="12.7265625" customWidth="1"/>
    <col min="5385" max="5390" width="12.7265625" customWidth="1"/>
    <col min="5391" max="5391" width="28.81640625" customWidth="1"/>
    <col min="5392" max="5397" width="12.7265625" customWidth="1"/>
    <col min="5641" max="5646" width="12.7265625" customWidth="1"/>
    <col min="5647" max="5647" width="28.81640625" customWidth="1"/>
    <col min="5648" max="5653" width="12.7265625" customWidth="1"/>
    <col min="5897" max="5902" width="12.7265625" customWidth="1"/>
    <col min="5903" max="5903" width="28.81640625" customWidth="1"/>
    <col min="5904" max="5909" width="12.7265625" customWidth="1"/>
    <col min="6153" max="6158" width="12.7265625" customWidth="1"/>
    <col min="6159" max="6159" width="28.81640625" customWidth="1"/>
    <col min="6160" max="6165" width="12.7265625" customWidth="1"/>
    <col min="6409" max="6414" width="12.7265625" customWidth="1"/>
    <col min="6415" max="6415" width="28.81640625" customWidth="1"/>
    <col min="6416" max="6421" width="12.7265625" customWidth="1"/>
    <col min="6665" max="6670" width="12.7265625" customWidth="1"/>
    <col min="6671" max="6671" width="28.81640625" customWidth="1"/>
    <col min="6672" max="6677" width="12.7265625" customWidth="1"/>
    <col min="6921" max="6926" width="12.7265625" customWidth="1"/>
    <col min="6927" max="6927" width="28.81640625" customWidth="1"/>
    <col min="6928" max="6933" width="12.7265625" customWidth="1"/>
    <col min="7177" max="7182" width="12.7265625" customWidth="1"/>
    <col min="7183" max="7183" width="28.81640625" customWidth="1"/>
    <col min="7184" max="7189" width="12.7265625" customWidth="1"/>
    <col min="7433" max="7438" width="12.7265625" customWidth="1"/>
    <col min="7439" max="7439" width="28.81640625" customWidth="1"/>
    <col min="7440" max="7445" width="12.7265625" customWidth="1"/>
    <col min="7689" max="7694" width="12.7265625" customWidth="1"/>
    <col min="7695" max="7695" width="28.81640625" customWidth="1"/>
    <col min="7696" max="7701" width="12.7265625" customWidth="1"/>
    <col min="7945" max="7950" width="12.7265625" customWidth="1"/>
    <col min="7951" max="7951" width="28.81640625" customWidth="1"/>
    <col min="7952" max="7957" width="12.7265625" customWidth="1"/>
    <col min="8201" max="8206" width="12.7265625" customWidth="1"/>
    <col min="8207" max="8207" width="28.81640625" customWidth="1"/>
    <col min="8208" max="8213" width="12.7265625" customWidth="1"/>
    <col min="8457" max="8462" width="12.7265625" customWidth="1"/>
    <col min="8463" max="8463" width="28.81640625" customWidth="1"/>
    <col min="8464" max="8469" width="12.7265625" customWidth="1"/>
    <col min="8713" max="8718" width="12.7265625" customWidth="1"/>
    <col min="8719" max="8719" width="28.81640625" customWidth="1"/>
    <col min="8720" max="8725" width="12.7265625" customWidth="1"/>
    <col min="8969" max="8974" width="12.7265625" customWidth="1"/>
    <col min="8975" max="8975" width="28.81640625" customWidth="1"/>
    <col min="8976" max="8981" width="12.7265625" customWidth="1"/>
    <col min="9225" max="9230" width="12.7265625" customWidth="1"/>
    <col min="9231" max="9231" width="28.81640625" customWidth="1"/>
    <col min="9232" max="9237" width="12.7265625" customWidth="1"/>
    <col min="9481" max="9486" width="12.7265625" customWidth="1"/>
    <col min="9487" max="9487" width="28.81640625" customWidth="1"/>
    <col min="9488" max="9493" width="12.7265625" customWidth="1"/>
    <col min="9737" max="9742" width="12.7265625" customWidth="1"/>
    <col min="9743" max="9743" width="28.81640625" customWidth="1"/>
    <col min="9744" max="9749" width="12.7265625" customWidth="1"/>
    <col min="9993" max="9998" width="12.7265625" customWidth="1"/>
    <col min="9999" max="9999" width="28.81640625" customWidth="1"/>
    <col min="10000" max="10005" width="12.7265625" customWidth="1"/>
    <col min="10249" max="10254" width="12.7265625" customWidth="1"/>
    <col min="10255" max="10255" width="28.81640625" customWidth="1"/>
    <col min="10256" max="10261" width="12.7265625" customWidth="1"/>
    <col min="10505" max="10510" width="12.7265625" customWidth="1"/>
    <col min="10511" max="10511" width="28.81640625" customWidth="1"/>
    <col min="10512" max="10517" width="12.7265625" customWidth="1"/>
    <col min="10761" max="10766" width="12.7265625" customWidth="1"/>
    <col min="10767" max="10767" width="28.81640625" customWidth="1"/>
    <col min="10768" max="10773" width="12.7265625" customWidth="1"/>
    <col min="11017" max="11022" width="12.7265625" customWidth="1"/>
    <col min="11023" max="11023" width="28.81640625" customWidth="1"/>
    <col min="11024" max="11029" width="12.7265625" customWidth="1"/>
    <col min="11273" max="11278" width="12.7265625" customWidth="1"/>
    <col min="11279" max="11279" width="28.81640625" customWidth="1"/>
    <col min="11280" max="11285" width="12.7265625" customWidth="1"/>
    <col min="11529" max="11534" width="12.7265625" customWidth="1"/>
    <col min="11535" max="11535" width="28.81640625" customWidth="1"/>
    <col min="11536" max="11541" width="12.7265625" customWidth="1"/>
    <col min="11785" max="11790" width="12.7265625" customWidth="1"/>
    <col min="11791" max="11791" width="28.81640625" customWidth="1"/>
    <col min="11792" max="11797" width="12.7265625" customWidth="1"/>
    <col min="12041" max="12046" width="12.7265625" customWidth="1"/>
    <col min="12047" max="12047" width="28.81640625" customWidth="1"/>
    <col min="12048" max="12053" width="12.7265625" customWidth="1"/>
    <col min="12297" max="12302" width="12.7265625" customWidth="1"/>
    <col min="12303" max="12303" width="28.81640625" customWidth="1"/>
    <col min="12304" max="12309" width="12.7265625" customWidth="1"/>
    <col min="12553" max="12558" width="12.7265625" customWidth="1"/>
    <col min="12559" max="12559" width="28.81640625" customWidth="1"/>
    <col min="12560" max="12565" width="12.7265625" customWidth="1"/>
    <col min="12809" max="12814" width="12.7265625" customWidth="1"/>
    <col min="12815" max="12815" width="28.81640625" customWidth="1"/>
    <col min="12816" max="12821" width="12.7265625" customWidth="1"/>
    <col min="13065" max="13070" width="12.7265625" customWidth="1"/>
    <col min="13071" max="13071" width="28.81640625" customWidth="1"/>
    <col min="13072" max="13077" width="12.7265625" customWidth="1"/>
    <col min="13321" max="13326" width="12.7265625" customWidth="1"/>
    <col min="13327" max="13327" width="28.81640625" customWidth="1"/>
    <col min="13328" max="13333" width="12.7265625" customWidth="1"/>
    <col min="13577" max="13582" width="12.7265625" customWidth="1"/>
    <col min="13583" max="13583" width="28.81640625" customWidth="1"/>
    <col min="13584" max="13589" width="12.7265625" customWidth="1"/>
    <col min="13833" max="13838" width="12.7265625" customWidth="1"/>
    <col min="13839" max="13839" width="28.81640625" customWidth="1"/>
    <col min="13840" max="13845" width="12.7265625" customWidth="1"/>
    <col min="14089" max="14094" width="12.7265625" customWidth="1"/>
    <col min="14095" max="14095" width="28.81640625" customWidth="1"/>
    <col min="14096" max="14101" width="12.7265625" customWidth="1"/>
    <col min="14345" max="14350" width="12.7265625" customWidth="1"/>
    <col min="14351" max="14351" width="28.81640625" customWidth="1"/>
    <col min="14352" max="14357" width="12.7265625" customWidth="1"/>
    <col min="14601" max="14606" width="12.7265625" customWidth="1"/>
    <col min="14607" max="14607" width="28.81640625" customWidth="1"/>
    <col min="14608" max="14613" width="12.7265625" customWidth="1"/>
    <col min="14857" max="14862" width="12.7265625" customWidth="1"/>
    <col min="14863" max="14863" width="28.81640625" customWidth="1"/>
    <col min="14864" max="14869" width="12.7265625" customWidth="1"/>
    <col min="15113" max="15118" width="12.7265625" customWidth="1"/>
    <col min="15119" max="15119" width="28.81640625" customWidth="1"/>
    <col min="15120" max="15125" width="12.7265625" customWidth="1"/>
    <col min="15369" max="15374" width="12.7265625" customWidth="1"/>
    <col min="15375" max="15375" width="28.81640625" customWidth="1"/>
    <col min="15376" max="15381" width="12.7265625" customWidth="1"/>
    <col min="15625" max="15630" width="12.7265625" customWidth="1"/>
    <col min="15631" max="15631" width="28.81640625" customWidth="1"/>
    <col min="15632" max="15637" width="12.7265625" customWidth="1"/>
    <col min="15881" max="15886" width="12.7265625" customWidth="1"/>
    <col min="15887" max="15887" width="28.81640625" customWidth="1"/>
    <col min="15888" max="15893" width="12.7265625" customWidth="1"/>
    <col min="16137" max="16142" width="12.7265625" customWidth="1"/>
    <col min="16143" max="16143" width="28.81640625" customWidth="1"/>
    <col min="16144" max="16149" width="12.7265625" customWidth="1"/>
  </cols>
  <sheetData>
    <row r="1" spans="1:31" ht="18.5" x14ac:dyDescent="0.45">
      <c r="A1" s="111" t="s">
        <v>260</v>
      </c>
    </row>
    <row r="2" spans="1:31" x14ac:dyDescent="0.35">
      <c r="A2" s="113">
        <v>2014</v>
      </c>
    </row>
    <row r="3" spans="1:31" x14ac:dyDescent="0.35">
      <c r="C3" s="114" t="s">
        <v>261</v>
      </c>
    </row>
    <row r="4" spans="1:31" x14ac:dyDescent="0.35">
      <c r="C4" s="115" t="s">
        <v>262</v>
      </c>
      <c r="D4" s="115" t="s">
        <v>263</v>
      </c>
      <c r="E4" s="115"/>
      <c r="H4" s="116" t="s">
        <v>263</v>
      </c>
      <c r="K4" s="117"/>
      <c r="L4" s="116" t="s">
        <v>263</v>
      </c>
      <c r="M4" s="116" t="s">
        <v>262</v>
      </c>
      <c r="N4" s="116"/>
      <c r="P4" s="118" t="s">
        <v>264</v>
      </c>
      <c r="Q4" s="118"/>
      <c r="R4" s="118"/>
      <c r="S4" s="118"/>
      <c r="T4" s="118"/>
      <c r="U4" s="118"/>
      <c r="V4" s="118"/>
      <c r="W4" s="118"/>
      <c r="X4" s="118"/>
      <c r="Y4" s="118"/>
      <c r="Z4" s="118"/>
      <c r="AA4" s="119"/>
    </row>
    <row r="5" spans="1:31" x14ac:dyDescent="0.35">
      <c r="C5" s="120" t="s">
        <v>265</v>
      </c>
      <c r="D5" s="120" t="s">
        <v>266</v>
      </c>
      <c r="F5" s="78"/>
      <c r="H5" s="88" t="s">
        <v>267</v>
      </c>
      <c r="I5" s="88" t="s">
        <v>268</v>
      </c>
      <c r="J5" s="88" t="s">
        <v>269</v>
      </c>
      <c r="K5" s="88" t="s">
        <v>270</v>
      </c>
      <c r="L5" s="121" t="s">
        <v>271</v>
      </c>
      <c r="M5" s="121" t="s">
        <v>265</v>
      </c>
      <c r="N5" s="121"/>
      <c r="O5" s="122"/>
      <c r="P5" s="11" t="s">
        <v>272</v>
      </c>
      <c r="Q5" s="11" t="s">
        <v>273</v>
      </c>
      <c r="R5" s="11" t="s">
        <v>274</v>
      </c>
      <c r="S5" s="11" t="s">
        <v>275</v>
      </c>
      <c r="T5" s="79" t="s">
        <v>276</v>
      </c>
      <c r="U5" s="68" t="s">
        <v>277</v>
      </c>
      <c r="V5" s="68"/>
      <c r="W5" s="68"/>
      <c r="X5" s="79"/>
      <c r="Y5" s="79" t="s">
        <v>276</v>
      </c>
      <c r="Z5" s="79" t="s">
        <v>278</v>
      </c>
      <c r="AA5" s="79"/>
      <c r="AB5" s="88" t="s">
        <v>279</v>
      </c>
      <c r="AC5" s="88"/>
      <c r="AD5" s="88" t="s">
        <v>280</v>
      </c>
      <c r="AE5" s="123" t="s">
        <v>281</v>
      </c>
    </row>
    <row r="6" spans="1:31" x14ac:dyDescent="0.35">
      <c r="C6" s="124">
        <v>0</v>
      </c>
      <c r="D6" s="125">
        <v>125.44199999999999</v>
      </c>
      <c r="F6" s="78"/>
      <c r="G6" s="69" t="s">
        <v>282</v>
      </c>
      <c r="H6" s="126">
        <v>266.84399999999999</v>
      </c>
      <c r="I6" s="127">
        <v>253.70913220901886</v>
      </c>
      <c r="J6" s="127">
        <v>233.36630208747093</v>
      </c>
      <c r="K6" s="128">
        <v>222.83016869657069</v>
      </c>
      <c r="L6" s="129">
        <f>AVERAGE(H6:K6)</f>
        <v>244.18740074826511</v>
      </c>
      <c r="M6" s="130">
        <f>L6*0.0049</f>
        <v>1.196518263666499</v>
      </c>
      <c r="N6" s="131"/>
      <c r="P6" s="74" t="s">
        <v>265</v>
      </c>
      <c r="Q6" s="74" t="s">
        <v>265</v>
      </c>
      <c r="R6" s="74" t="s">
        <v>265</v>
      </c>
      <c r="S6" s="74" t="s">
        <v>265</v>
      </c>
      <c r="T6" s="132"/>
      <c r="U6" s="132" t="s">
        <v>154</v>
      </c>
      <c r="V6" s="132" t="s">
        <v>283</v>
      </c>
      <c r="W6" s="132" t="s">
        <v>115</v>
      </c>
      <c r="X6" s="132"/>
      <c r="Y6" s="132"/>
      <c r="Z6" s="132" t="s">
        <v>154</v>
      </c>
      <c r="AA6" s="132" t="s">
        <v>283</v>
      </c>
      <c r="AB6" s="132" t="s">
        <v>154</v>
      </c>
      <c r="AC6" s="132" t="s">
        <v>283</v>
      </c>
      <c r="AD6" s="132" t="s">
        <v>154</v>
      </c>
      <c r="AE6" s="132"/>
    </row>
    <row r="7" spans="1:31" x14ac:dyDescent="0.35">
      <c r="C7" s="133">
        <v>0</v>
      </c>
      <c r="D7" s="134">
        <v>112.07</v>
      </c>
      <c r="E7" s="115"/>
      <c r="F7" s="78"/>
      <c r="G7" s="69" t="s">
        <v>284</v>
      </c>
      <c r="H7" s="135">
        <v>225.315</v>
      </c>
      <c r="I7" s="136">
        <v>237.89788820642141</v>
      </c>
      <c r="J7" s="136">
        <v>221.80332223921954</v>
      </c>
      <c r="K7" s="137">
        <v>248.97248986154239</v>
      </c>
      <c r="L7" s="138">
        <f>AVERAGE(H7:K7)</f>
        <v>233.49717507679586</v>
      </c>
      <c r="M7" s="139">
        <f>L7*0.0049</f>
        <v>1.1441361578762996</v>
      </c>
      <c r="N7" s="131"/>
      <c r="P7" s="14">
        <f>M6</f>
        <v>1.196518263666499</v>
      </c>
      <c r="Q7" s="14">
        <f>M11</f>
        <v>1.2206275666666666</v>
      </c>
      <c r="R7" s="14">
        <f>M16</f>
        <v>0.41833749999999997</v>
      </c>
      <c r="S7" s="14">
        <f>M20</f>
        <v>0.69707236666666672</v>
      </c>
      <c r="T7" s="5" t="s">
        <v>285</v>
      </c>
      <c r="U7" s="140">
        <f>M24</f>
        <v>1.153411</v>
      </c>
      <c r="V7" s="140">
        <f>(U7*1000)/12.1</f>
        <v>95.32322314049587</v>
      </c>
      <c r="W7" s="140">
        <f>AVERAGE(U7:U9)</f>
        <v>1.1763168037485718</v>
      </c>
      <c r="X7" s="140">
        <f>AVERAGE(V7:V9)</f>
        <v>97.216264772609236</v>
      </c>
      <c r="Y7" s="13" t="s">
        <v>44</v>
      </c>
      <c r="Z7" s="140">
        <f>M28</f>
        <v>1.0543792173345963</v>
      </c>
      <c r="AA7" s="140">
        <f>Z7*1000/12.1</f>
        <v>87.13877829211539</v>
      </c>
      <c r="AB7" s="14">
        <f>$W$7-Z7</f>
        <v>0.12193758641397556</v>
      </c>
      <c r="AC7" s="14">
        <f>$X$7-AA7</f>
        <v>10.077486480493846</v>
      </c>
      <c r="AD7" s="14">
        <f>AVERAGE(AB7:AB11)</f>
        <v>0.12411324179460514</v>
      </c>
      <c r="AE7" s="14">
        <f>(AC7/$X$38)*100</f>
        <v>11.185266846641458</v>
      </c>
    </row>
    <row r="8" spans="1:31" x14ac:dyDescent="0.35">
      <c r="C8" s="141">
        <v>0</v>
      </c>
      <c r="D8" s="142">
        <v>100.523</v>
      </c>
      <c r="F8" s="88"/>
      <c r="G8" s="69" t="s">
        <v>286</v>
      </c>
      <c r="H8" s="135">
        <v>225.55699999999999</v>
      </c>
      <c r="I8" s="136">
        <v>233.43987187938478</v>
      </c>
      <c r="J8" s="136">
        <v>216.2292365157021</v>
      </c>
      <c r="K8" s="137">
        <v>220.64029340109167</v>
      </c>
      <c r="L8" s="138">
        <f>AVERAGE(H8:K8)</f>
        <v>223.96660044904462</v>
      </c>
      <c r="M8" s="139">
        <f>L8*0.0049</f>
        <v>1.0974363422003186</v>
      </c>
      <c r="N8" s="131"/>
      <c r="P8" s="14">
        <f>M7</f>
        <v>1.1441361578762996</v>
      </c>
      <c r="Q8" s="14">
        <f>M12</f>
        <v>1.3470410333333331</v>
      </c>
      <c r="R8" s="14">
        <f>M17</f>
        <v>0.4031769</v>
      </c>
      <c r="S8" s="14">
        <f>M21</f>
        <v>0.6256467</v>
      </c>
      <c r="T8" s="5" t="s">
        <v>287</v>
      </c>
      <c r="U8" s="140">
        <f>M25</f>
        <v>1.2818814612457154</v>
      </c>
      <c r="V8" s="140">
        <f>(U8*1000)/12.1</f>
        <v>105.9406166318773</v>
      </c>
      <c r="W8" s="140"/>
      <c r="X8" s="140"/>
      <c r="Y8" s="13" t="s">
        <v>45</v>
      </c>
      <c r="Z8" s="140">
        <f>M29</f>
        <v>1.0646577215522748</v>
      </c>
      <c r="AA8" s="140">
        <f t="shared" ref="AA8:AA37" si="0">Z8*1000/12.1</f>
        <v>87.988241450601222</v>
      </c>
      <c r="AB8" s="14">
        <f>$W$7-Z8</f>
        <v>0.11165908219629705</v>
      </c>
      <c r="AC8" s="14">
        <f>$X$7-AA8</f>
        <v>9.2280233220080135</v>
      </c>
      <c r="AE8" s="14">
        <f t="shared" ref="AE8:AE37" si="1">(AC8/$X$38)*100</f>
        <v>10.242425382904827</v>
      </c>
    </row>
    <row r="9" spans="1:31" x14ac:dyDescent="0.35">
      <c r="F9" s="143"/>
      <c r="G9" s="69" t="s">
        <v>288</v>
      </c>
      <c r="H9" s="144">
        <v>235.685</v>
      </c>
      <c r="I9" s="145">
        <v>214.04718779383094</v>
      </c>
      <c r="J9" s="145">
        <v>218.72747881133083</v>
      </c>
      <c r="K9" s="146">
        <v>219.45378484214018</v>
      </c>
      <c r="L9" s="147">
        <f>AVERAGE(H9:K9)</f>
        <v>221.97836286182547</v>
      </c>
      <c r="M9" s="148">
        <f>L9*0.0049</f>
        <v>1.0876939780229449</v>
      </c>
      <c r="N9" s="131"/>
      <c r="P9" s="14">
        <f>M8</f>
        <v>1.0974363422003186</v>
      </c>
      <c r="Q9" s="14">
        <f>M13</f>
        <v>1.1331625666666667</v>
      </c>
      <c r="R9" s="14">
        <f>M18</f>
        <v>0.38851609999999998</v>
      </c>
      <c r="S9" s="14">
        <f>M22</f>
        <v>0.53627069999999999</v>
      </c>
      <c r="T9" s="5" t="s">
        <v>289</v>
      </c>
      <c r="U9" s="140">
        <f>M26</f>
        <v>1.0936579499999999</v>
      </c>
      <c r="V9" s="140">
        <f>(U9*1000)/12.1</f>
        <v>90.384954545454534</v>
      </c>
      <c r="W9" s="140"/>
      <c r="X9" s="140"/>
      <c r="Y9" s="13" t="s">
        <v>46</v>
      </c>
      <c r="Z9" s="140">
        <f>M30</f>
        <v>1.1126946832876379</v>
      </c>
      <c r="AA9" s="140">
        <f t="shared" si="0"/>
        <v>91.95823828823454</v>
      </c>
      <c r="AB9" s="14">
        <f>$W$7-Z9</f>
        <v>6.3622120460933962E-2</v>
      </c>
      <c r="AC9" s="14">
        <f>$X$7-AA9</f>
        <v>5.258026484374696</v>
      </c>
      <c r="AE9" s="14">
        <f t="shared" si="1"/>
        <v>5.8360216536412493</v>
      </c>
    </row>
    <row r="10" spans="1:31" x14ac:dyDescent="0.35">
      <c r="C10" s="115" t="s">
        <v>262</v>
      </c>
      <c r="D10" s="115" t="s">
        <v>263</v>
      </c>
      <c r="E10" s="114" t="s">
        <v>290</v>
      </c>
      <c r="F10" s="149"/>
      <c r="K10" s="117"/>
      <c r="M10" s="150"/>
      <c r="N10" s="150"/>
      <c r="P10" s="14">
        <f>M9</f>
        <v>1.0876939780229449</v>
      </c>
      <c r="Q10" s="14">
        <f>M14</f>
        <v>1.3126397666666667</v>
      </c>
      <c r="U10" s="140"/>
      <c r="V10" s="140"/>
      <c r="W10" s="140"/>
      <c r="X10" s="140"/>
      <c r="Y10" s="13" t="s">
        <v>47</v>
      </c>
      <c r="Z10" s="140">
        <f>M31</f>
        <v>0.99469872516652402</v>
      </c>
      <c r="AA10" s="140">
        <f t="shared" si="0"/>
        <v>82.206506212109431</v>
      </c>
      <c r="AB10" s="14">
        <f>$W$7-Z10</f>
        <v>0.18161807858204781</v>
      </c>
      <c r="AC10" s="14">
        <f>$X$7-AA10</f>
        <v>15.009758560499805</v>
      </c>
      <c r="AE10" s="14">
        <f t="shared" si="1"/>
        <v>16.659725133625177</v>
      </c>
    </row>
    <row r="11" spans="1:31" x14ac:dyDescent="0.35">
      <c r="C11" s="120" t="s">
        <v>265</v>
      </c>
      <c r="D11" s="120" t="s">
        <v>266</v>
      </c>
      <c r="E11" s="120" t="s">
        <v>266</v>
      </c>
      <c r="F11" s="149"/>
      <c r="G11" s="69" t="s">
        <v>291</v>
      </c>
      <c r="H11" s="126">
        <v>291.11700000000002</v>
      </c>
      <c r="I11" s="151">
        <v>231.87899999999999</v>
      </c>
      <c r="J11" s="151">
        <v>224.327</v>
      </c>
      <c r="K11" s="152"/>
      <c r="L11" s="129">
        <f>AVERAGE(H11:K11)</f>
        <v>249.10766666666666</v>
      </c>
      <c r="M11" s="153">
        <f>L11*0.0049</f>
        <v>1.2206275666666666</v>
      </c>
      <c r="N11" s="131"/>
      <c r="O11" s="154"/>
      <c r="U11" s="140"/>
      <c r="V11" s="140"/>
      <c r="W11" s="140"/>
      <c r="X11" s="140"/>
      <c r="Y11" s="13" t="s">
        <v>48</v>
      </c>
      <c r="Z11" s="140">
        <f>M32</f>
        <v>1.0345874624288005</v>
      </c>
      <c r="AA11" s="140">
        <f t="shared" si="0"/>
        <v>85.503096068495921</v>
      </c>
      <c r="AB11" s="14">
        <f>$W$7-Z11</f>
        <v>0.14172934131977133</v>
      </c>
      <c r="AC11" s="14">
        <f>$X$7-AA11</f>
        <v>11.713168704113315</v>
      </c>
      <c r="AE11" s="14">
        <f t="shared" si="1"/>
        <v>13.000753494319406</v>
      </c>
    </row>
    <row r="12" spans="1:31" x14ac:dyDescent="0.35">
      <c r="C12" s="155">
        <v>0</v>
      </c>
      <c r="D12" s="156">
        <f>AVERAGE(D6:D8)</f>
        <v>112.67833333333333</v>
      </c>
      <c r="E12" s="157">
        <f t="shared" ref="E12:E28" si="2">D12-D$12</f>
        <v>0</v>
      </c>
      <c r="F12" s="143"/>
      <c r="G12" s="69" t="s">
        <v>292</v>
      </c>
      <c r="H12" s="135">
        <v>282.24599999999998</v>
      </c>
      <c r="I12" s="143">
        <v>266.32299999999998</v>
      </c>
      <c r="J12" s="143">
        <v>276.14999999999998</v>
      </c>
      <c r="K12" s="158"/>
      <c r="L12" s="138">
        <f>AVERAGE(H12:K12)</f>
        <v>274.90633333333329</v>
      </c>
      <c r="M12" s="159">
        <f>L12*0.0049</f>
        <v>1.3470410333333331</v>
      </c>
      <c r="N12" s="131"/>
      <c r="O12" s="154"/>
      <c r="T12" s="5" t="s">
        <v>293</v>
      </c>
      <c r="U12" s="140">
        <f>M34</f>
        <v>1.1213895</v>
      </c>
      <c r="V12" s="140">
        <f>(U12*1000)/12.1</f>
        <v>92.676818181818177</v>
      </c>
      <c r="W12" s="140">
        <f>AVERAGE(U12:U14)</f>
        <v>1.1024678777777777</v>
      </c>
      <c r="X12" s="140">
        <f>AVERAGE(V12:V14)</f>
        <v>91.113047750229569</v>
      </c>
      <c r="Y12" s="13" t="s">
        <v>74</v>
      </c>
      <c r="Z12" s="140">
        <f>M38</f>
        <v>0.95174904999999999</v>
      </c>
      <c r="AA12" s="140">
        <f t="shared" si="0"/>
        <v>78.656946280991733</v>
      </c>
      <c r="AB12" s="14">
        <f>$W$12-Z12</f>
        <v>0.15071882777777768</v>
      </c>
      <c r="AC12" s="14">
        <f>$X$12-AA12</f>
        <v>12.456101469237836</v>
      </c>
      <c r="AD12" s="14">
        <f>AVERAGE(AB12:AB16)</f>
        <v>9.953979777777773E-2</v>
      </c>
      <c r="AE12" s="14">
        <f t="shared" si="1"/>
        <v>13.825354077323487</v>
      </c>
    </row>
    <row r="13" spans="1:31" x14ac:dyDescent="0.35">
      <c r="C13" s="160">
        <v>0.75</v>
      </c>
      <c r="D13" s="125">
        <v>250.65</v>
      </c>
      <c r="E13" s="161">
        <f t="shared" si="2"/>
        <v>137.97166666666669</v>
      </c>
      <c r="F13" s="143"/>
      <c r="G13" s="69" t="s">
        <v>294</v>
      </c>
      <c r="H13" s="135">
        <v>227.70400000000001</v>
      </c>
      <c r="I13" s="143">
        <v>217.892</v>
      </c>
      <c r="J13" s="143">
        <v>248.17699999999999</v>
      </c>
      <c r="K13" s="158"/>
      <c r="L13" s="138">
        <f>AVERAGE(H13:K13)</f>
        <v>231.25766666666667</v>
      </c>
      <c r="M13" s="159">
        <f>L13*0.0049</f>
        <v>1.1331625666666667</v>
      </c>
      <c r="N13" s="131"/>
      <c r="O13" s="154"/>
      <c r="T13" s="5" t="s">
        <v>295</v>
      </c>
      <c r="U13" s="140">
        <f>M35</f>
        <v>1.0921969333333332</v>
      </c>
      <c r="V13" s="140">
        <f>(U13*1000)/12.1</f>
        <v>90.264209366391171</v>
      </c>
      <c r="W13" s="140"/>
      <c r="X13" s="140"/>
      <c r="Y13" s="13" t="s">
        <v>76</v>
      </c>
      <c r="Z13" s="140">
        <f>M39</f>
        <v>1.1097911999999999</v>
      </c>
      <c r="AA13" s="140">
        <f t="shared" si="0"/>
        <v>91.718280991735526</v>
      </c>
      <c r="AB13" s="14">
        <f>$W$12-Z13</f>
        <v>-7.3233222222222061E-3</v>
      </c>
      <c r="AC13" s="14">
        <f>$X$12-AA13</f>
        <v>-0.6052332415059567</v>
      </c>
      <c r="AE13" s="14">
        <f t="shared" si="1"/>
        <v>-0.67176426619926088</v>
      </c>
    </row>
    <row r="14" spans="1:31" x14ac:dyDescent="0.35">
      <c r="C14" s="162">
        <v>0.75</v>
      </c>
      <c r="D14" s="134">
        <v>244.286</v>
      </c>
      <c r="E14" s="163">
        <f t="shared" si="2"/>
        <v>131.60766666666666</v>
      </c>
      <c r="F14" s="78"/>
      <c r="G14" s="69" t="s">
        <v>296</v>
      </c>
      <c r="H14" s="144">
        <v>265.09800000000001</v>
      </c>
      <c r="I14" s="164">
        <v>256.55500000000001</v>
      </c>
      <c r="J14" s="164">
        <v>282.00400000000002</v>
      </c>
      <c r="K14" s="165"/>
      <c r="L14" s="147">
        <f>AVERAGE(H14:K14)</f>
        <v>267.88566666666668</v>
      </c>
      <c r="M14" s="166">
        <f>L14*0.0049</f>
        <v>1.3126397666666667</v>
      </c>
      <c r="N14" s="131"/>
      <c r="T14" s="5" t="s">
        <v>297</v>
      </c>
      <c r="U14" s="140">
        <f>M36</f>
        <v>1.0938171999999999</v>
      </c>
      <c r="V14" s="140">
        <f>(U14*1000)/12.1</f>
        <v>90.398115702479345</v>
      </c>
      <c r="W14" s="140"/>
      <c r="X14" s="140"/>
      <c r="Y14" s="13" t="s">
        <v>78</v>
      </c>
      <c r="Z14" s="140">
        <f>M40</f>
        <v>1.0309036499999999</v>
      </c>
      <c r="AA14" s="140">
        <f t="shared" si="0"/>
        <v>85.198648760330585</v>
      </c>
      <c r="AB14" s="14">
        <f>$W$12-Z14</f>
        <v>7.1564227777777711E-2</v>
      </c>
      <c r="AC14" s="14">
        <f>$X$12-AA14</f>
        <v>5.9143989898989844</v>
      </c>
      <c r="AE14" s="14">
        <f t="shared" si="1"/>
        <v>6.5645467317248105</v>
      </c>
    </row>
    <row r="15" spans="1:31" x14ac:dyDescent="0.35">
      <c r="C15" s="162">
        <v>0.75</v>
      </c>
      <c r="D15" s="134">
        <v>224.62100000000001</v>
      </c>
      <c r="E15" s="163">
        <f t="shared" si="2"/>
        <v>111.94266666666668</v>
      </c>
      <c r="K15" s="117"/>
      <c r="M15" s="150"/>
      <c r="N15" s="150"/>
      <c r="U15" s="140"/>
      <c r="V15" s="140"/>
      <c r="W15" s="140"/>
      <c r="X15" s="140"/>
      <c r="Y15" s="13" t="s">
        <v>79</v>
      </c>
      <c r="Z15" s="140">
        <f>M41</f>
        <v>0.98608089999999993</v>
      </c>
      <c r="AA15" s="140">
        <f t="shared" si="0"/>
        <v>81.494289256198343</v>
      </c>
      <c r="AB15" s="14">
        <f>$W$12-Z15</f>
        <v>0.11638697777777773</v>
      </c>
      <c r="AC15" s="14">
        <f>$X$12-AA15</f>
        <v>9.6187584940312263</v>
      </c>
      <c r="AE15" s="14">
        <f t="shared" si="1"/>
        <v>10.676112609765172</v>
      </c>
    </row>
    <row r="16" spans="1:31" x14ac:dyDescent="0.35">
      <c r="C16" s="162">
        <v>0.75</v>
      </c>
      <c r="D16" s="142">
        <v>246.613</v>
      </c>
      <c r="E16" s="163">
        <f t="shared" si="2"/>
        <v>133.93466666666666</v>
      </c>
      <c r="G16" s="69" t="s">
        <v>298</v>
      </c>
      <c r="H16" s="126">
        <v>86.67</v>
      </c>
      <c r="I16" s="151">
        <v>84.08</v>
      </c>
      <c r="J16" s="167"/>
      <c r="K16" s="168"/>
      <c r="L16" s="129">
        <f>AVERAGE(H16:K16)</f>
        <v>85.375</v>
      </c>
      <c r="M16" s="153">
        <f>L16*0.0049</f>
        <v>0.41833749999999997</v>
      </c>
      <c r="N16" s="131"/>
      <c r="U16" s="140"/>
      <c r="V16" s="140"/>
      <c r="W16" s="140"/>
      <c r="X16" s="140"/>
      <c r="Y16" s="13" t="s">
        <v>80</v>
      </c>
      <c r="Z16" s="140">
        <f>M42</f>
        <v>0.93611559999999994</v>
      </c>
      <c r="AA16" s="140">
        <f t="shared" si="0"/>
        <v>77.364925619834708</v>
      </c>
      <c r="AB16" s="14">
        <f>$W$12-Z16</f>
        <v>0.16635227777777772</v>
      </c>
      <c r="AC16" s="14">
        <f>$X$12-AA16</f>
        <v>13.748122130394862</v>
      </c>
      <c r="AE16" s="14">
        <f t="shared" si="1"/>
        <v>15.259401733392112</v>
      </c>
    </row>
    <row r="17" spans="3:31" x14ac:dyDescent="0.35">
      <c r="C17" s="160">
        <v>1.5</v>
      </c>
      <c r="D17" s="125">
        <v>402.91</v>
      </c>
      <c r="E17" s="161">
        <f t="shared" si="2"/>
        <v>290.23166666666668</v>
      </c>
      <c r="G17" s="69" t="s">
        <v>299</v>
      </c>
      <c r="H17" s="135">
        <v>81.33</v>
      </c>
      <c r="I17" s="143">
        <v>83.231999999999999</v>
      </c>
      <c r="K17" s="169"/>
      <c r="L17" s="138">
        <f>AVERAGE(H17:K17)</f>
        <v>82.281000000000006</v>
      </c>
      <c r="M17" s="159">
        <f>L17*0.0049</f>
        <v>0.4031769</v>
      </c>
      <c r="N17" s="131"/>
      <c r="T17" s="5" t="s">
        <v>300</v>
      </c>
      <c r="U17" s="140">
        <f>M44</f>
        <v>1.1118345000000001</v>
      </c>
      <c r="V17" s="140">
        <f>(U17*1000)/12.1</f>
        <v>91.887148760330589</v>
      </c>
      <c r="W17" s="140">
        <f>AVERAGE(U17:U19)</f>
        <v>1.11617835</v>
      </c>
      <c r="X17" s="140">
        <f>AVERAGE(V17:V19)</f>
        <v>92.246144628099174</v>
      </c>
      <c r="Y17" s="13" t="s">
        <v>82</v>
      </c>
      <c r="Z17" s="140">
        <f t="shared" ref="Z17:Z22" si="3">M48</f>
        <v>0.91710605000000001</v>
      </c>
      <c r="AA17" s="140">
        <f t="shared" si="0"/>
        <v>75.793888429752073</v>
      </c>
      <c r="AB17" s="14">
        <f t="shared" ref="AB17:AB22" si="4">$W$17-Z17</f>
        <v>0.19907229999999998</v>
      </c>
      <c r="AC17" s="14">
        <f t="shared" ref="AC17:AC22" si="5">$X$17-AA17</f>
        <v>16.452256198347101</v>
      </c>
      <c r="AD17" s="14">
        <f>AVERAGE(AB17:AB22)</f>
        <v>0.13935885833333336</v>
      </c>
      <c r="AE17" s="14">
        <f t="shared" si="1"/>
        <v>18.260791137157174</v>
      </c>
    </row>
    <row r="18" spans="3:31" x14ac:dyDescent="0.35">
      <c r="C18" s="162">
        <v>1.5</v>
      </c>
      <c r="D18" s="134">
        <v>411.38400000000001</v>
      </c>
      <c r="E18" s="163">
        <f t="shared" si="2"/>
        <v>298.70566666666667</v>
      </c>
      <c r="G18" s="69" t="s">
        <v>301</v>
      </c>
      <c r="H18" s="144">
        <v>81.456000000000003</v>
      </c>
      <c r="I18" s="164">
        <v>77.122</v>
      </c>
      <c r="J18" s="170"/>
      <c r="K18" s="171"/>
      <c r="L18" s="147">
        <f>AVERAGE(H18:K18)</f>
        <v>79.289000000000001</v>
      </c>
      <c r="M18" s="166">
        <f>L18*0.0049</f>
        <v>0.38851609999999998</v>
      </c>
      <c r="N18" s="131"/>
      <c r="T18" s="5" t="s">
        <v>302</v>
      </c>
      <c r="U18" s="140">
        <f>M45</f>
        <v>1.2831678999999998</v>
      </c>
      <c r="V18" s="140">
        <f>(U18*1000)/12.1</f>
        <v>106.04693388429752</v>
      </c>
      <c r="W18" s="140"/>
      <c r="X18" s="140"/>
      <c r="Y18" s="13" t="s">
        <v>84</v>
      </c>
      <c r="Z18" s="140">
        <f t="shared" si="3"/>
        <v>1.0313422000000001</v>
      </c>
      <c r="AA18" s="140">
        <f t="shared" si="0"/>
        <v>85.234892561983472</v>
      </c>
      <c r="AB18" s="14">
        <f t="shared" si="4"/>
        <v>8.4836149999999888E-2</v>
      </c>
      <c r="AC18" s="14">
        <f t="shared" si="5"/>
        <v>7.0112520661157021</v>
      </c>
      <c r="AE18" s="14">
        <f t="shared" si="1"/>
        <v>7.7819727608036722</v>
      </c>
    </row>
    <row r="19" spans="3:31" x14ac:dyDescent="0.35">
      <c r="C19" s="162">
        <v>1.5</v>
      </c>
      <c r="D19" s="134">
        <v>398.59399999999999</v>
      </c>
      <c r="E19" s="163">
        <f t="shared" si="2"/>
        <v>285.91566666666665</v>
      </c>
      <c r="K19" s="117"/>
      <c r="L19" s="172"/>
      <c r="M19" s="150"/>
      <c r="N19" s="150"/>
      <c r="T19" s="5" t="s">
        <v>303</v>
      </c>
      <c r="U19" s="140">
        <f>M46</f>
        <v>0.95353264999999998</v>
      </c>
      <c r="V19" s="140">
        <f>(U19*1000)/12.1</f>
        <v>78.80435123966943</v>
      </c>
      <c r="W19" s="140"/>
      <c r="X19" s="140"/>
      <c r="Y19" s="13" t="s">
        <v>86</v>
      </c>
      <c r="Z19" s="140">
        <f t="shared" si="3"/>
        <v>1.0465518</v>
      </c>
      <c r="AA19" s="140">
        <f t="shared" si="0"/>
        <v>86.491884297520656</v>
      </c>
      <c r="AB19" s="14">
        <f t="shared" si="4"/>
        <v>6.9626549999999954E-2</v>
      </c>
      <c r="AC19" s="14">
        <f t="shared" si="5"/>
        <v>5.7542603305785178</v>
      </c>
      <c r="AE19" s="14">
        <f t="shared" si="1"/>
        <v>6.3868046290258995</v>
      </c>
    </row>
    <row r="20" spans="3:31" x14ac:dyDescent="0.35">
      <c r="C20" s="173">
        <v>1.5</v>
      </c>
      <c r="D20" s="142">
        <v>420.56099999999998</v>
      </c>
      <c r="E20" s="163">
        <f t="shared" si="2"/>
        <v>307.88266666666664</v>
      </c>
      <c r="G20" s="69" t="s">
        <v>304</v>
      </c>
      <c r="H20" s="126">
        <v>139.05199999999999</v>
      </c>
      <c r="I20" s="151">
        <v>139.864</v>
      </c>
      <c r="J20" s="151">
        <v>147.863</v>
      </c>
      <c r="K20" s="152"/>
      <c r="L20" s="129">
        <f>AVERAGE(H20:K20)</f>
        <v>142.25966666666667</v>
      </c>
      <c r="M20" s="153">
        <f>L20*0.0049</f>
        <v>0.69707236666666672</v>
      </c>
      <c r="N20" s="131"/>
      <c r="O20" s="154"/>
      <c r="U20" s="140"/>
      <c r="V20" s="140"/>
      <c r="W20" s="140"/>
      <c r="X20" s="140"/>
      <c r="Y20" s="13" t="s">
        <v>87</v>
      </c>
      <c r="Z20" s="140">
        <f t="shared" si="3"/>
        <v>0.98321684999999992</v>
      </c>
      <c r="AA20" s="140">
        <f t="shared" si="0"/>
        <v>81.257590909090908</v>
      </c>
      <c r="AB20" s="14">
        <f t="shared" si="4"/>
        <v>0.13296150000000007</v>
      </c>
      <c r="AC20" s="14">
        <f t="shared" si="5"/>
        <v>10.988553719008266</v>
      </c>
      <c r="AE20" s="14">
        <f t="shared" si="1"/>
        <v>12.196484296324122</v>
      </c>
    </row>
    <row r="21" spans="3:31" x14ac:dyDescent="0.35">
      <c r="C21" s="162">
        <v>2.25</v>
      </c>
      <c r="D21" s="125">
        <v>565.75400000000002</v>
      </c>
      <c r="E21" s="161">
        <f t="shared" si="2"/>
        <v>453.07566666666668</v>
      </c>
      <c r="G21" s="69" t="s">
        <v>305</v>
      </c>
      <c r="H21" s="135">
        <v>146.27600000000001</v>
      </c>
      <c r="I21" s="143">
        <v>109.09</v>
      </c>
      <c r="K21" s="169"/>
      <c r="L21" s="138">
        <f>AVERAGE(H21:K21)</f>
        <v>127.68300000000001</v>
      </c>
      <c r="M21" s="159">
        <f>L21*0.0049</f>
        <v>0.6256467</v>
      </c>
      <c r="N21" s="131"/>
      <c r="U21" s="140"/>
      <c r="V21" s="140"/>
      <c r="W21" s="140"/>
      <c r="X21" s="140"/>
      <c r="Y21" s="13" t="s">
        <v>88</v>
      </c>
      <c r="Z21" s="140">
        <f t="shared" si="3"/>
        <v>0.99046149999999988</v>
      </c>
      <c r="AA21" s="140">
        <f t="shared" si="0"/>
        <v>81.856322314049578</v>
      </c>
      <c r="AB21" s="14">
        <f t="shared" si="4"/>
        <v>0.1257168500000001</v>
      </c>
      <c r="AC21" s="14">
        <f t="shared" si="5"/>
        <v>10.389822314049596</v>
      </c>
      <c r="AE21" s="14">
        <f t="shared" si="1"/>
        <v>11.531936589225726</v>
      </c>
    </row>
    <row r="22" spans="3:31" x14ac:dyDescent="0.35">
      <c r="C22" s="162">
        <v>2.25</v>
      </c>
      <c r="D22" s="134">
        <v>577.50099999999998</v>
      </c>
      <c r="E22" s="163">
        <f t="shared" si="2"/>
        <v>464.82266666666663</v>
      </c>
      <c r="G22" s="69" t="s">
        <v>306</v>
      </c>
      <c r="H22" s="144">
        <v>112.32899999999999</v>
      </c>
      <c r="I22" s="164">
        <v>110.44499999999999</v>
      </c>
      <c r="J22" s="164">
        <v>105.55500000000001</v>
      </c>
      <c r="K22" s="165"/>
      <c r="L22" s="147">
        <f>AVERAGE(H22:K22)</f>
        <v>109.443</v>
      </c>
      <c r="M22" s="166">
        <f>L22*0.0049</f>
        <v>0.53627069999999999</v>
      </c>
      <c r="N22" s="131"/>
      <c r="U22" s="140"/>
      <c r="V22" s="140"/>
      <c r="W22" s="140"/>
      <c r="X22" s="140"/>
      <c r="Y22" s="13" t="s">
        <v>90</v>
      </c>
      <c r="Z22" s="140">
        <f t="shared" si="3"/>
        <v>0.89223854999999985</v>
      </c>
      <c r="AA22" s="140">
        <f t="shared" si="0"/>
        <v>73.73872314049585</v>
      </c>
      <c r="AB22" s="14">
        <f t="shared" si="4"/>
        <v>0.22393980000000013</v>
      </c>
      <c r="AC22" s="14">
        <f t="shared" si="5"/>
        <v>18.507421487603324</v>
      </c>
      <c r="AD22" s="14"/>
      <c r="AE22" s="14">
        <f t="shared" si="1"/>
        <v>20.541873053643101</v>
      </c>
    </row>
    <row r="23" spans="3:31" x14ac:dyDescent="0.35">
      <c r="C23" s="162">
        <v>2.25</v>
      </c>
      <c r="D23" s="134">
        <v>574.20899999999995</v>
      </c>
      <c r="E23" s="163">
        <f t="shared" si="2"/>
        <v>461.5306666666666</v>
      </c>
      <c r="K23" s="117"/>
      <c r="M23" s="150"/>
      <c r="N23" s="150"/>
      <c r="T23" s="5" t="s">
        <v>307</v>
      </c>
      <c r="U23" s="140">
        <f>M55</f>
        <v>1.0754348499999999</v>
      </c>
      <c r="V23" s="140">
        <f>(U23*1000)/12.1</f>
        <v>88.878913223140486</v>
      </c>
      <c r="W23" s="140">
        <f>AVERAGE(U23:U25)</f>
        <v>1.0486097999999999</v>
      </c>
      <c r="X23" s="140">
        <f>AVERAGE(V23:V25)</f>
        <v>86.661966942148752</v>
      </c>
      <c r="Y23" s="174" t="s">
        <v>92</v>
      </c>
      <c r="Z23" s="175">
        <f>M59</f>
        <v>1.12988855</v>
      </c>
      <c r="AA23" s="175">
        <f t="shared" si="0"/>
        <v>93.379219008264457</v>
      </c>
      <c r="AB23" s="176">
        <f>$W$23-Z23</f>
        <v>-8.1278750000000066E-2</v>
      </c>
      <c r="AC23" s="176">
        <f>$X$23-AA23</f>
        <v>-6.7172520661157051</v>
      </c>
      <c r="AD23" s="14"/>
      <c r="AE23" s="14">
        <f t="shared" si="1"/>
        <v>-7.4556544413221459</v>
      </c>
    </row>
    <row r="24" spans="3:31" x14ac:dyDescent="0.35">
      <c r="C24" s="173">
        <v>2.25</v>
      </c>
      <c r="D24" s="142">
        <v>566.94100000000003</v>
      </c>
      <c r="E24" s="177">
        <f t="shared" si="2"/>
        <v>454.26266666666669</v>
      </c>
      <c r="G24" s="178" t="s">
        <v>308</v>
      </c>
      <c r="H24" s="126">
        <v>241.31</v>
      </c>
      <c r="I24" s="151">
        <v>229.47</v>
      </c>
      <c r="J24" s="167"/>
      <c r="K24" s="168"/>
      <c r="L24" s="129">
        <f>AVERAGE(H24:K24)</f>
        <v>235.39</v>
      </c>
      <c r="M24" s="153">
        <f>L24*0.0049</f>
        <v>1.153411</v>
      </c>
      <c r="N24" s="131"/>
      <c r="T24" s="5" t="s">
        <v>309</v>
      </c>
      <c r="U24" s="140">
        <f>M56</f>
        <v>1.0281204500000001</v>
      </c>
      <c r="V24" s="140">
        <f>(U24*1000)/12.1</f>
        <v>84.968632231404968</v>
      </c>
      <c r="W24" s="140"/>
      <c r="X24" s="140"/>
      <c r="Y24" s="13" t="s">
        <v>94</v>
      </c>
      <c r="Z24" s="140">
        <f>M60</f>
        <v>0.93392039999999998</v>
      </c>
      <c r="AA24" s="140">
        <f t="shared" si="0"/>
        <v>77.183504132231405</v>
      </c>
      <c r="AB24" s="14">
        <f>$W$23-Z24</f>
        <v>0.11468939999999994</v>
      </c>
      <c r="AC24" s="14">
        <f>$X$23-AA24</f>
        <v>9.478462809917346</v>
      </c>
      <c r="AD24" s="14">
        <f>AVERAGE(AB24:AB26)</f>
        <v>7.7490233333333339E-2</v>
      </c>
      <c r="AE24" s="14">
        <f t="shared" si="1"/>
        <v>10.520394746259889</v>
      </c>
    </row>
    <row r="25" spans="3:31" x14ac:dyDescent="0.35">
      <c r="C25" s="162">
        <v>3</v>
      </c>
      <c r="D25" s="125">
        <v>725.75800000000004</v>
      </c>
      <c r="E25" s="163">
        <f t="shared" si="2"/>
        <v>613.07966666666675</v>
      </c>
      <c r="G25" s="178" t="s">
        <v>310</v>
      </c>
      <c r="H25" s="135">
        <v>246.61500000000001</v>
      </c>
      <c r="I25" s="136">
        <v>273.90169211729591</v>
      </c>
      <c r="J25" s="136">
        <v>255.4904603621676</v>
      </c>
      <c r="K25" s="137">
        <v>270.42669343540632</v>
      </c>
      <c r="L25" s="138">
        <f>AVERAGE(H25:K25)</f>
        <v>261.60846147871746</v>
      </c>
      <c r="M25" s="159">
        <f>L25*0.0049</f>
        <v>1.2818814612457154</v>
      </c>
      <c r="N25" s="131"/>
      <c r="T25" s="5" t="s">
        <v>311</v>
      </c>
      <c r="U25" s="140">
        <f>M57</f>
        <v>1.0422740999999998</v>
      </c>
      <c r="V25" s="140">
        <f>(U25*1000)/12.1</f>
        <v>86.138355371900815</v>
      </c>
      <c r="W25" s="140"/>
      <c r="X25" s="140"/>
      <c r="Y25" s="13" t="s">
        <v>95</v>
      </c>
      <c r="Z25" s="140">
        <f>M61</f>
        <v>1.0071043499999999</v>
      </c>
      <c r="AA25" s="140">
        <f t="shared" si="0"/>
        <v>83.231764462809906</v>
      </c>
      <c r="AB25" s="14">
        <f>$W$23-Z25</f>
        <v>4.1505450000000055E-2</v>
      </c>
      <c r="AC25" s="14">
        <f>$X$23-AA25</f>
        <v>3.4302024793388455</v>
      </c>
      <c r="AE25" s="14">
        <f t="shared" si="1"/>
        <v>3.8072717977524801</v>
      </c>
    </row>
    <row r="26" spans="3:31" x14ac:dyDescent="0.35">
      <c r="C26" s="162">
        <v>3</v>
      </c>
      <c r="D26" s="134">
        <v>742.16300000000001</v>
      </c>
      <c r="E26" s="163">
        <f t="shared" si="2"/>
        <v>629.48466666666673</v>
      </c>
      <c r="G26" s="178" t="s">
        <v>312</v>
      </c>
      <c r="H26" s="144">
        <v>225.72499999999999</v>
      </c>
      <c r="I26" s="164">
        <v>220.666</v>
      </c>
      <c r="J26" s="170"/>
      <c r="K26" s="171"/>
      <c r="L26" s="147">
        <f>AVERAGE(H26:K26)</f>
        <v>223.19549999999998</v>
      </c>
      <c r="M26" s="166">
        <f>L26*0.0049</f>
        <v>1.0936579499999999</v>
      </c>
      <c r="N26" s="131"/>
      <c r="U26" s="140"/>
      <c r="V26" s="140"/>
      <c r="W26" s="140"/>
      <c r="X26" s="140"/>
      <c r="Y26" s="13" t="s">
        <v>96</v>
      </c>
      <c r="Z26" s="140">
        <f>M62</f>
        <v>0.97233394999999989</v>
      </c>
      <c r="AA26" s="140">
        <f t="shared" si="0"/>
        <v>80.358177685950409</v>
      </c>
      <c r="AB26" s="14">
        <f>$W$23-Z26</f>
        <v>7.6275850000000034E-2</v>
      </c>
      <c r="AC26" s="14">
        <f>$X$23-AA26</f>
        <v>6.3037892561983426</v>
      </c>
      <c r="AE26" s="14">
        <f t="shared" si="1"/>
        <v>6.9967412124094093</v>
      </c>
    </row>
    <row r="27" spans="3:31" x14ac:dyDescent="0.35">
      <c r="C27" s="162">
        <v>3</v>
      </c>
      <c r="D27" s="134">
        <v>720.37300000000005</v>
      </c>
      <c r="E27" s="163">
        <f t="shared" si="2"/>
        <v>607.69466666666676</v>
      </c>
      <c r="K27" s="117"/>
      <c r="M27" s="150"/>
      <c r="N27" s="150"/>
      <c r="U27" s="140"/>
      <c r="V27" s="140"/>
      <c r="W27" s="140"/>
      <c r="X27" s="140"/>
      <c r="Y27" s="174" t="s">
        <v>97</v>
      </c>
      <c r="Z27" s="175">
        <f>M63</f>
        <v>0.84516425000000006</v>
      </c>
      <c r="AA27" s="175">
        <f t="shared" si="0"/>
        <v>69.848285123966946</v>
      </c>
      <c r="AB27" s="176">
        <f>$W$23-Z27</f>
        <v>0.20344554999999986</v>
      </c>
      <c r="AC27" s="176">
        <f>$X$23-AA27</f>
        <v>16.813681818181806</v>
      </c>
      <c r="AE27" s="14">
        <f t="shared" si="1"/>
        <v>18.661946922470204</v>
      </c>
    </row>
    <row r="28" spans="3:31" x14ac:dyDescent="0.35">
      <c r="C28" s="173">
        <v>3</v>
      </c>
      <c r="D28" s="142">
        <v>746.43600000000004</v>
      </c>
      <c r="E28" s="177">
        <f t="shared" si="2"/>
        <v>633.75766666666675</v>
      </c>
      <c r="G28" s="178" t="s">
        <v>313</v>
      </c>
      <c r="H28" s="179">
        <v>228.00979511025199</v>
      </c>
      <c r="I28" s="127">
        <v>216.86475429266028</v>
      </c>
      <c r="J28" s="127">
        <v>200.66374692439152</v>
      </c>
      <c r="K28" s="180"/>
      <c r="L28" s="129">
        <f>AVERAGE(H28:K28)</f>
        <v>215.17943210910127</v>
      </c>
      <c r="M28" s="130">
        <f>L28*0.0049</f>
        <v>1.0543792173345963</v>
      </c>
      <c r="N28" s="131"/>
      <c r="T28" s="5" t="s">
        <v>314</v>
      </c>
      <c r="U28" s="140">
        <f>M65</f>
        <v>1.1423125000000001</v>
      </c>
      <c r="V28" s="140">
        <f>(U28*1000)/12.1</f>
        <v>94.405991735537199</v>
      </c>
      <c r="W28" s="140">
        <f>AVERAGE(U28:U30)</f>
        <v>1.0589425388888889</v>
      </c>
      <c r="X28" s="140">
        <f>AVERAGE(V28:V30)</f>
        <v>87.515912304866859</v>
      </c>
      <c r="Y28" s="13" t="s">
        <v>99</v>
      </c>
      <c r="Z28" s="140">
        <f>M69</f>
        <v>0.88406779999999996</v>
      </c>
      <c r="AA28" s="140">
        <f t="shared" si="0"/>
        <v>73.063454545454547</v>
      </c>
      <c r="AB28" s="14">
        <f>$W$28-Z28</f>
        <v>0.17487473888888894</v>
      </c>
      <c r="AC28" s="14">
        <f>$X$28-AA28</f>
        <v>14.452457759412312</v>
      </c>
      <c r="AD28" s="14">
        <f>AVERAGE(AB28:AB32)</f>
        <v>0.15351367888888895</v>
      </c>
      <c r="AE28" s="14">
        <f t="shared" si="1"/>
        <v>16.041162341595992</v>
      </c>
    </row>
    <row r="29" spans="3:31" x14ac:dyDescent="0.35">
      <c r="G29" s="178" t="s">
        <v>315</v>
      </c>
      <c r="H29" s="135">
        <v>213.012</v>
      </c>
      <c r="I29" s="136">
        <v>235.61565934236964</v>
      </c>
      <c r="J29" s="136">
        <v>204.14813749461047</v>
      </c>
      <c r="K29" s="137">
        <v>216.33254728732587</v>
      </c>
      <c r="L29" s="138">
        <f>AVERAGE(H29:K29)</f>
        <v>217.27708603107649</v>
      </c>
      <c r="M29" s="139">
        <f>L29*0.0049</f>
        <v>1.0646577215522748</v>
      </c>
      <c r="N29" s="131"/>
      <c r="T29" s="5" t="s">
        <v>316</v>
      </c>
      <c r="U29" s="140">
        <f>M66</f>
        <v>0.97947815000000005</v>
      </c>
      <c r="V29" s="140">
        <f>(U29*1000)/12.1</f>
        <v>80.948607438016538</v>
      </c>
      <c r="W29" s="140"/>
      <c r="X29" s="140"/>
      <c r="Y29" s="13" t="s">
        <v>101</v>
      </c>
      <c r="Z29" s="140">
        <f>M70</f>
        <v>0.89845583333333334</v>
      </c>
      <c r="AA29" s="140">
        <f t="shared" si="0"/>
        <v>74.252548209366395</v>
      </c>
      <c r="AB29" s="14">
        <f>$W$28-Z29</f>
        <v>0.16048670555555555</v>
      </c>
      <c r="AC29" s="14">
        <f>$X$28-AA29</f>
        <v>13.263364095500464</v>
      </c>
      <c r="AE29" s="14">
        <f t="shared" si="1"/>
        <v>14.721356062297186</v>
      </c>
    </row>
    <row r="30" spans="3:31" x14ac:dyDescent="0.35">
      <c r="G30" s="178" t="s">
        <v>317</v>
      </c>
      <c r="H30" s="135">
        <v>221.13399999999999</v>
      </c>
      <c r="I30" s="136">
        <v>240.81093890326667</v>
      </c>
      <c r="J30" s="136">
        <v>223.59873822486244</v>
      </c>
      <c r="K30" s="137">
        <v>222.77851331075883</v>
      </c>
      <c r="L30" s="138">
        <f>AVERAGE(H30:K30)</f>
        <v>227.080547609722</v>
      </c>
      <c r="M30" s="139">
        <f>L30*0.0049</f>
        <v>1.1126946832876379</v>
      </c>
      <c r="N30" s="131"/>
      <c r="T30" s="5" t="s">
        <v>318</v>
      </c>
      <c r="U30" s="140">
        <f>M67</f>
        <v>1.0550369666666666</v>
      </c>
      <c r="V30" s="140">
        <f>(U30*1000)/12.1</f>
        <v>87.193137741046826</v>
      </c>
      <c r="W30" s="140"/>
      <c r="X30" s="140"/>
      <c r="Y30" s="13" t="s">
        <v>103</v>
      </c>
      <c r="Z30" s="140">
        <f>M71</f>
        <v>0.905667</v>
      </c>
      <c r="AA30" s="140">
        <f t="shared" si="0"/>
        <v>74.848512396694218</v>
      </c>
      <c r="AB30" s="14">
        <f>$W$28-Z30</f>
        <v>0.1532755388888889</v>
      </c>
      <c r="AC30" s="14">
        <f>$X$28-AA30</f>
        <v>12.667399908172641</v>
      </c>
      <c r="AE30" s="14">
        <f t="shared" si="1"/>
        <v>14.05987976270538</v>
      </c>
    </row>
    <row r="31" spans="3:31" x14ac:dyDescent="0.35">
      <c r="G31" s="178" t="s">
        <v>319</v>
      </c>
      <c r="H31" s="181">
        <v>209.79685812254175</v>
      </c>
      <c r="I31" s="136">
        <v>191.17743950944444</v>
      </c>
      <c r="J31" s="136">
        <v>208.02492185772246</v>
      </c>
      <c r="K31" s="182"/>
      <c r="L31" s="138">
        <f>AVERAGE(H31:K31)</f>
        <v>202.99973982990286</v>
      </c>
      <c r="M31" s="139">
        <f>L31*0.0049</f>
        <v>0.99469872516652402</v>
      </c>
      <c r="N31" s="131"/>
      <c r="U31" s="140"/>
      <c r="V31" s="140"/>
      <c r="W31" s="140"/>
      <c r="X31" s="140"/>
      <c r="Y31" s="13" t="s">
        <v>104</v>
      </c>
      <c r="Z31" s="140">
        <f>M72</f>
        <v>0.90757636666666652</v>
      </c>
      <c r="AA31" s="140">
        <f t="shared" si="0"/>
        <v>75.006311294765837</v>
      </c>
      <c r="AB31" s="14">
        <f>$W$28-Z31</f>
        <v>0.15136617222222237</v>
      </c>
      <c r="AC31" s="14">
        <f>$X$28-AA31</f>
        <v>12.509601010101022</v>
      </c>
      <c r="AE31" s="14">
        <f t="shared" si="1"/>
        <v>13.884734622451067</v>
      </c>
    </row>
    <row r="32" spans="3:31" x14ac:dyDescent="0.35">
      <c r="G32" s="178" t="s">
        <v>320</v>
      </c>
      <c r="H32" s="144">
        <v>256.952</v>
      </c>
      <c r="I32" s="145">
        <v>196.31010648147856</v>
      </c>
      <c r="J32" s="145">
        <v>212.92122630679918</v>
      </c>
      <c r="K32" s="146">
        <v>178.37786103115127</v>
      </c>
      <c r="L32" s="147">
        <f>AVERAGE(H32:K32)</f>
        <v>211.14029845485726</v>
      </c>
      <c r="M32" s="148">
        <f>L32*0.0049</f>
        <v>1.0345874624288005</v>
      </c>
      <c r="N32" s="131"/>
      <c r="U32" s="140"/>
      <c r="V32" s="140"/>
      <c r="W32" s="140"/>
      <c r="X32" s="140"/>
      <c r="Y32" s="13" t="s">
        <v>105</v>
      </c>
      <c r="Z32" s="140">
        <f>M73</f>
        <v>0.93137729999999996</v>
      </c>
      <c r="AA32" s="140">
        <f t="shared" si="0"/>
        <v>76.973330578512403</v>
      </c>
      <c r="AB32" s="14">
        <f>$W$28-Z32</f>
        <v>0.12756523888888893</v>
      </c>
      <c r="AC32" s="14">
        <f>$X$28-AA32</f>
        <v>10.542581726354456</v>
      </c>
      <c r="AE32" s="14">
        <f t="shared" si="1"/>
        <v>11.701488271907047</v>
      </c>
    </row>
    <row r="33" spans="7:33" x14ac:dyDescent="0.35">
      <c r="K33" s="117"/>
      <c r="T33" s="5" t="s">
        <v>321</v>
      </c>
      <c r="U33" s="140">
        <f>M75</f>
        <v>1.0493987</v>
      </c>
      <c r="V33" s="140">
        <f>(U33*1000)/12.1</f>
        <v>86.727165289256192</v>
      </c>
      <c r="W33" s="140">
        <f>AVERAGE(U33:U35)</f>
        <v>1.0384597222222223</v>
      </c>
      <c r="X33" s="140">
        <f>AVERAGE(V33:V35)</f>
        <v>85.823117539026626</v>
      </c>
      <c r="Y33" s="13" t="s">
        <v>107</v>
      </c>
      <c r="Z33" s="140">
        <f>M79</f>
        <v>0.88095303333333319</v>
      </c>
      <c r="AA33" s="140">
        <f t="shared" si="0"/>
        <v>72.806035812672164</v>
      </c>
      <c r="AB33" s="14">
        <f>$W$33-Z33</f>
        <v>0.15750668888888908</v>
      </c>
      <c r="AC33" s="14">
        <f>$X$33-AA33</f>
        <v>13.017081726354462</v>
      </c>
      <c r="AD33" s="14">
        <f>AVERAGE(AB33:AB37)</f>
        <v>0.1373235888888891</v>
      </c>
      <c r="AE33" s="14">
        <f t="shared" si="1"/>
        <v>14.44800079420993</v>
      </c>
    </row>
    <row r="34" spans="7:33" x14ac:dyDescent="0.35">
      <c r="G34" s="178" t="s">
        <v>322</v>
      </c>
      <c r="H34" s="126">
        <v>235.27099999999999</v>
      </c>
      <c r="I34" s="151">
        <v>209.18600000000001</v>
      </c>
      <c r="J34" s="151">
        <v>242.108</v>
      </c>
      <c r="K34" s="152"/>
      <c r="L34" s="129">
        <f>AVERAGE(H34:K34)</f>
        <v>228.85500000000002</v>
      </c>
      <c r="M34" s="153">
        <f>L34*0.0049</f>
        <v>1.1213895</v>
      </c>
      <c r="N34" s="131"/>
      <c r="O34" s="154"/>
      <c r="T34" s="5" t="s">
        <v>323</v>
      </c>
      <c r="U34" s="140">
        <f>M76</f>
        <v>1.0395350000000001</v>
      </c>
      <c r="V34" s="140">
        <f>(U34*1000)/12.1</f>
        <v>85.911983471074393</v>
      </c>
      <c r="W34" s="140"/>
      <c r="X34" s="140"/>
      <c r="Y34" s="13" t="s">
        <v>109</v>
      </c>
      <c r="Z34" s="140">
        <f>M80</f>
        <v>0.87915963333333325</v>
      </c>
      <c r="AA34" s="140">
        <f t="shared" si="0"/>
        <v>72.657820936639112</v>
      </c>
      <c r="AB34" s="14">
        <f>$W$33-Z34</f>
        <v>0.15930008888888902</v>
      </c>
      <c r="AC34" s="14">
        <f>$X$33-AA34</f>
        <v>13.165296602387514</v>
      </c>
      <c r="AE34" s="14">
        <f t="shared" si="1"/>
        <v>14.612508376758463</v>
      </c>
    </row>
    <row r="35" spans="7:33" x14ac:dyDescent="0.35">
      <c r="G35" s="178" t="s">
        <v>324</v>
      </c>
      <c r="H35" s="135">
        <v>215.07900000000001</v>
      </c>
      <c r="I35" s="143">
        <v>214.45500000000001</v>
      </c>
      <c r="J35" s="143">
        <v>239.15799999999999</v>
      </c>
      <c r="K35" s="158"/>
      <c r="L35" s="138">
        <f>AVERAGE(H35:K35)</f>
        <v>222.89733333333334</v>
      </c>
      <c r="M35" s="159">
        <f>L35*0.0049</f>
        <v>1.0921969333333332</v>
      </c>
      <c r="N35" s="131"/>
      <c r="O35" s="154"/>
      <c r="T35" s="5" t="s">
        <v>325</v>
      </c>
      <c r="U35" s="140">
        <f>M77</f>
        <v>1.0264454666666667</v>
      </c>
      <c r="V35" s="140">
        <f>(U35*1000)/12.1</f>
        <v>84.830203856749321</v>
      </c>
      <c r="W35" s="140"/>
      <c r="X35" s="140"/>
      <c r="Y35" s="13" t="s">
        <v>111</v>
      </c>
      <c r="Z35" s="140">
        <f>M81</f>
        <v>0.90579603333333314</v>
      </c>
      <c r="AA35" s="140">
        <f t="shared" si="0"/>
        <v>74.859176308539929</v>
      </c>
      <c r="AB35" s="14">
        <f>$W$33-Z35</f>
        <v>0.13266368888888913</v>
      </c>
      <c r="AC35" s="14">
        <f>$X$33-AA35</f>
        <v>10.963941230486697</v>
      </c>
      <c r="AE35" s="14">
        <f t="shared" si="1"/>
        <v>12.169166249070324</v>
      </c>
    </row>
    <row r="36" spans="7:33" x14ac:dyDescent="0.35">
      <c r="G36" s="178" t="s">
        <v>326</v>
      </c>
      <c r="H36" s="144">
        <v>219.47499999999999</v>
      </c>
      <c r="I36" s="164">
        <v>226.98099999999999</v>
      </c>
      <c r="J36" s="170"/>
      <c r="K36" s="171"/>
      <c r="L36" s="147">
        <f>AVERAGE(H36:K36)</f>
        <v>223.22800000000001</v>
      </c>
      <c r="M36" s="166">
        <f>L36*0.0049</f>
        <v>1.0938171999999999</v>
      </c>
      <c r="N36" s="131"/>
      <c r="X36" s="140"/>
      <c r="Y36" s="13" t="s">
        <v>112</v>
      </c>
      <c r="Z36" s="140">
        <f>M82</f>
        <v>0.92158056666666655</v>
      </c>
      <c r="AA36" s="140">
        <f t="shared" si="0"/>
        <v>76.16368319559227</v>
      </c>
      <c r="AB36" s="14">
        <f>$W$33-Z36</f>
        <v>0.11687915555555572</v>
      </c>
      <c r="AC36" s="14">
        <f>$X$33-AA36</f>
        <v>9.6594343434343557</v>
      </c>
      <c r="AE36" s="14">
        <f t="shared" si="1"/>
        <v>10.721259803032904</v>
      </c>
    </row>
    <row r="37" spans="7:33" x14ac:dyDescent="0.35">
      <c r="K37" s="117"/>
      <c r="M37" s="150"/>
      <c r="N37" s="150"/>
      <c r="P37" s="74"/>
      <c r="Q37" s="74"/>
      <c r="R37" s="74"/>
      <c r="S37" s="74"/>
      <c r="X37" s="140"/>
      <c r="Y37" s="12" t="s">
        <v>113</v>
      </c>
      <c r="Z37" s="183">
        <f>M83</f>
        <v>0.91819139999999977</v>
      </c>
      <c r="AA37" s="140">
        <f t="shared" si="0"/>
        <v>75.883586776859488</v>
      </c>
      <c r="AB37" s="14">
        <f>$W$33-Z37</f>
        <v>0.1202683222222225</v>
      </c>
      <c r="AC37" s="14">
        <f>$X$33-AA37</f>
        <v>9.9395307621671378</v>
      </c>
      <c r="AE37" s="14">
        <f t="shared" si="1"/>
        <v>11.032146172603232</v>
      </c>
      <c r="AF37" s="184"/>
      <c r="AG37" s="185"/>
    </row>
    <row r="38" spans="7:33" ht="15" thickBot="1" x14ac:dyDescent="0.4">
      <c r="G38" s="178" t="s">
        <v>327</v>
      </c>
      <c r="H38" s="126">
        <v>200.459</v>
      </c>
      <c r="I38" s="151">
        <v>188.01</v>
      </c>
      <c r="J38" s="167"/>
      <c r="K38" s="168"/>
      <c r="L38" s="129">
        <f>AVERAGE(H38:K38)</f>
        <v>194.2345</v>
      </c>
      <c r="M38" s="153">
        <f>L38*0.0049</f>
        <v>0.95174904999999999</v>
      </c>
      <c r="N38" s="131"/>
      <c r="O38" s="112" t="s">
        <v>115</v>
      </c>
      <c r="P38" s="186">
        <f>AVERAGE(P7:P37)</f>
        <v>1.1314461854415157</v>
      </c>
      <c r="Q38" s="186">
        <f>AVERAGE(Q7:Q37)</f>
        <v>1.2533677333333333</v>
      </c>
      <c r="R38" s="186">
        <f>AVERAGE(R7:R37)</f>
        <v>0.40334350000000002</v>
      </c>
      <c r="S38" s="186">
        <f>AVERAGE(S7:S37)</f>
        <v>0.61966325555555557</v>
      </c>
      <c r="U38" s="187">
        <f>AVERAGE(U7:U35)</f>
        <v>1.0901625154395769</v>
      </c>
      <c r="V38" s="187">
        <f>AVERAGE(V7:V35)</f>
        <v>90.09607565616335</v>
      </c>
      <c r="W38" s="187">
        <f>AVERAGE(W7:W37)</f>
        <v>1.0901625154395769</v>
      </c>
      <c r="X38" s="187">
        <f>AVERAGE(X7:X33)</f>
        <v>90.096075656163364</v>
      </c>
      <c r="Y38" s="187"/>
      <c r="Z38" s="188">
        <f>AVERAGE(Z28:Z37,Z24:Z26,Z7:Z22)</f>
        <v>0.96837099401505156</v>
      </c>
      <c r="AA38" s="188">
        <f>AVERAGE(AA28:AA37,AA24:AA26,AA7:AA22)</f>
        <v>80.030660662400976</v>
      </c>
      <c r="AB38" s="188">
        <f>AVERAGE(AB28:AB37,AB24:AB26,AB7:AB22)</f>
        <v>0.12555432368106223</v>
      </c>
      <c r="AC38" s="188">
        <f>AVERAGE(AC28:AC37,AC24:AC26,AC7:AC22)</f>
        <v>10.376390386864646</v>
      </c>
      <c r="AD38" s="188">
        <f>AVERAGE(AD7:AD37)</f>
        <v>0.12188989983613792</v>
      </c>
      <c r="AE38" s="189">
        <f>(AC38/V38)*100</f>
        <v>11.517028140564534</v>
      </c>
      <c r="AF38" t="s">
        <v>115</v>
      </c>
    </row>
    <row r="39" spans="7:33" ht="15" thickTop="1" x14ac:dyDescent="0.35">
      <c r="G39" s="178" t="s">
        <v>328</v>
      </c>
      <c r="H39" s="135">
        <v>217.28899999999999</v>
      </c>
      <c r="I39" s="143">
        <v>235.68700000000001</v>
      </c>
      <c r="K39" s="169"/>
      <c r="L39" s="138">
        <f>AVERAGE(H39:K39)</f>
        <v>226.488</v>
      </c>
      <c r="M39" s="159">
        <f>L39*0.0049</f>
        <v>1.1097911999999999</v>
      </c>
      <c r="N39" s="131"/>
      <c r="O39" s="190" t="s">
        <v>329</v>
      </c>
      <c r="P39" s="43">
        <f>SQRT(P40)/P41</f>
        <v>5.5838864145274371E-2</v>
      </c>
      <c r="Q39" s="43">
        <f>SQRT(Q40)/Q41</f>
        <v>7.7572230419849064E-2</v>
      </c>
      <c r="U39" s="43">
        <f>SQRT(U40)/U41</f>
        <v>1.7618693459063813E-2</v>
      </c>
      <c r="V39" s="43">
        <f>SQRT(V40)/V41</f>
        <v>0.16016994053694375</v>
      </c>
      <c r="Z39" s="43">
        <f>SQRT(Z40)/Z41</f>
        <v>9.0905893926268334E-3</v>
      </c>
      <c r="AA39" s="43">
        <f>SQRT(AA40)/AA41</f>
        <v>8.2641721751153016E-2</v>
      </c>
      <c r="AB39" s="43">
        <f>SQRT(AB40)/AB41</f>
        <v>7.6362811962376754E-3</v>
      </c>
      <c r="AC39" s="43">
        <f>SQRT(AC40)/AC41</f>
        <v>6.9420738147615249E-2</v>
      </c>
      <c r="AE39" s="43">
        <f>SQRT(AE40)/AE41</f>
        <v>7.3136856480974996E-2</v>
      </c>
      <c r="AF39" t="s">
        <v>117</v>
      </c>
    </row>
    <row r="40" spans="7:33" x14ac:dyDescent="0.35">
      <c r="G40" s="178" t="s">
        <v>330</v>
      </c>
      <c r="H40" s="135">
        <v>214.755</v>
      </c>
      <c r="I40" s="143">
        <v>206.02199999999999</v>
      </c>
      <c r="K40" s="169"/>
      <c r="L40" s="138">
        <f>AVERAGE(H40:K40)</f>
        <v>210.38849999999999</v>
      </c>
      <c r="M40" s="159">
        <f>L40*0.0049</f>
        <v>1.0309036499999999</v>
      </c>
      <c r="N40" s="131"/>
      <c r="O40" s="190" t="s">
        <v>331</v>
      </c>
      <c r="P40" s="43">
        <f>STDEV(P7:P10)</f>
        <v>4.9887659984550525E-2</v>
      </c>
      <c r="Q40" s="43">
        <f>STDEV(Q7:Q10)</f>
        <v>9.6279214916962494E-2</v>
      </c>
      <c r="U40" s="43">
        <f>STDEV(U28:U37,U24:U26,U7:U22)</f>
        <v>8.9710905810088365E-2</v>
      </c>
      <c r="V40" s="43">
        <f>STDEV(V28:V37,V24:V26,V7:V22)</f>
        <v>7.4141244471147401</v>
      </c>
      <c r="Z40" s="43">
        <f>STDEV(Z28:Z37,Z24:Z26,Z7:Z22)</f>
        <v>6.949924383999051E-2</v>
      </c>
      <c r="AA40" s="43">
        <f>STDEV(AA28:AA37,AA24:AA26,AA7:AA22)</f>
        <v>5.7437391603297936</v>
      </c>
      <c r="AB40" s="43">
        <f>STDEV(AB28:AB37,AB24:AB26,AB7:AB22)</f>
        <v>4.9041056817239019E-2</v>
      </c>
      <c r="AC40" s="43">
        <f>STDEV(AC28:AC37,AC24:AC26,AC7:AC22)</f>
        <v>4.0529799022511606</v>
      </c>
      <c r="AE40" s="43">
        <f>STDEV(AE28:AE37,AE24:AE26,AE7:AE22)</f>
        <v>4.498508811547655</v>
      </c>
      <c r="AF40" t="s">
        <v>116</v>
      </c>
    </row>
    <row r="41" spans="7:33" x14ac:dyDescent="0.35">
      <c r="G41" s="178" t="s">
        <v>332</v>
      </c>
      <c r="H41" s="135">
        <v>202.87100000000001</v>
      </c>
      <c r="I41" s="143">
        <v>199.61099999999999</v>
      </c>
      <c r="K41" s="169"/>
      <c r="L41" s="138">
        <f>AVERAGE(H41:K41)</f>
        <v>201.24099999999999</v>
      </c>
      <c r="M41" s="159">
        <f>L41*0.0049</f>
        <v>0.98608089999999993</v>
      </c>
      <c r="N41" s="131"/>
      <c r="O41" s="190" t="s">
        <v>118</v>
      </c>
      <c r="P41">
        <f>COUNT(P7:P10)</f>
        <v>4</v>
      </c>
      <c r="Q41">
        <f>COUNT(Q7:Q10)</f>
        <v>4</v>
      </c>
      <c r="U41" s="22">
        <f>COUNT(U28:U37,U24:U26,U7:U22)</f>
        <v>17</v>
      </c>
      <c r="V41" s="22">
        <f>COUNT(V28:V37,V24:V26,V7:V22)</f>
        <v>17</v>
      </c>
      <c r="W41" s="65"/>
      <c r="X41" s="65"/>
      <c r="Y41" s="65"/>
      <c r="Z41">
        <f>COUNT(Z7:Z22,Z24:Z26,Z28:Z37)</f>
        <v>29</v>
      </c>
      <c r="AA41">
        <f>COUNT(AA7:AA22,AA24:AA26,AA28:AA37)</f>
        <v>29</v>
      </c>
      <c r="AB41">
        <f>COUNT(AB7:AB22,AB24:AB26,AB28:AB37)</f>
        <v>29</v>
      </c>
      <c r="AC41">
        <f>COUNT(AC7:AC22,AC24:AC26,AC28:AC37)</f>
        <v>29</v>
      </c>
      <c r="AE41">
        <f>AC41</f>
        <v>29</v>
      </c>
      <c r="AF41" t="s">
        <v>118</v>
      </c>
    </row>
    <row r="42" spans="7:33" x14ac:dyDescent="0.35">
      <c r="G42" s="178" t="s">
        <v>333</v>
      </c>
      <c r="H42" s="144">
        <v>190.79300000000001</v>
      </c>
      <c r="I42" s="164">
        <v>191.29499999999999</v>
      </c>
      <c r="J42" s="170"/>
      <c r="K42" s="171"/>
      <c r="L42" s="147">
        <f>AVERAGE(H42:K42)</f>
        <v>191.04399999999998</v>
      </c>
      <c r="M42" s="166">
        <f>L42*0.0049</f>
        <v>0.93611559999999994</v>
      </c>
      <c r="N42" s="131"/>
      <c r="O42" s="190" t="s">
        <v>334</v>
      </c>
      <c r="P42" s="19">
        <f t="shared" ref="P42:U43" si="6">(P38*1000)/12.01</f>
        <v>94.208674891050421</v>
      </c>
      <c r="Q42" s="19">
        <f t="shared" si="6"/>
        <v>104.3603441576464</v>
      </c>
      <c r="R42" s="19">
        <f t="shared" si="6"/>
        <v>33.583971690258117</v>
      </c>
      <c r="S42" s="19">
        <f t="shared" si="6"/>
        <v>51.595608289388473</v>
      </c>
      <c r="U42" s="19">
        <f t="shared" si="6"/>
        <v>90.771233591971438</v>
      </c>
      <c r="V42" s="19"/>
      <c r="W42" s="65"/>
      <c r="X42" s="65"/>
      <c r="Y42" s="65"/>
      <c r="Z42" s="19">
        <f>(Z38*1000)/12.01</f>
        <v>80.630390842219114</v>
      </c>
      <c r="AA42" s="19"/>
      <c r="AB42" s="191">
        <f>(AB38*1000)/12.01</f>
        <v>10.454148516324915</v>
      </c>
      <c r="AC42" s="24"/>
      <c r="AD42" t="s">
        <v>335</v>
      </c>
    </row>
    <row r="43" spans="7:33" x14ac:dyDescent="0.35">
      <c r="K43" s="117"/>
      <c r="P43" s="19">
        <f t="shared" si="6"/>
        <v>4.6493642085990317</v>
      </c>
      <c r="Q43" s="19">
        <f t="shared" si="6"/>
        <v>6.4589700599374744</v>
      </c>
      <c r="R43" s="19">
        <f t="shared" si="6"/>
        <v>0</v>
      </c>
      <c r="S43" s="19">
        <f t="shared" si="6"/>
        <v>0</v>
      </c>
      <c r="U43" s="24"/>
      <c r="V43" s="24"/>
      <c r="W43" s="65"/>
      <c r="X43" s="65"/>
      <c r="Y43" s="65"/>
      <c r="Z43" s="65"/>
      <c r="AA43" s="24"/>
      <c r="AB43" s="24"/>
      <c r="AC43" s="24"/>
    </row>
    <row r="44" spans="7:33" x14ac:dyDescent="0.35">
      <c r="G44" s="178" t="s">
        <v>336</v>
      </c>
      <c r="H44" s="126">
        <v>233.78200000000001</v>
      </c>
      <c r="I44" s="151">
        <v>220.02799999999999</v>
      </c>
      <c r="J44" s="167"/>
      <c r="K44" s="168"/>
      <c r="L44" s="129">
        <f>AVERAGE(H44:K44)</f>
        <v>226.905</v>
      </c>
      <c r="M44" s="153">
        <f>L44*0.0049</f>
        <v>1.1118345000000001</v>
      </c>
      <c r="N44" s="131"/>
      <c r="V44" s="192"/>
      <c r="AA44" s="192"/>
      <c r="AB44" s="192"/>
      <c r="AC44" s="19"/>
      <c r="AD44" t="s">
        <v>117</v>
      </c>
    </row>
    <row r="45" spans="7:33" x14ac:dyDescent="0.35">
      <c r="G45" s="178" t="s">
        <v>337</v>
      </c>
      <c r="H45" s="135">
        <v>291.55200000000002</v>
      </c>
      <c r="I45" s="143">
        <v>232.19</v>
      </c>
      <c r="K45" s="169"/>
      <c r="L45" s="138">
        <f>AVERAGE(H45:K45)</f>
        <v>261.87099999999998</v>
      </c>
      <c r="M45" s="159">
        <f>L45*0.0049</f>
        <v>1.2831678999999998</v>
      </c>
      <c r="N45" s="131"/>
      <c r="O45" s="190" t="s">
        <v>338</v>
      </c>
      <c r="V45" s="140">
        <f>MIN(V7:V35)</f>
        <v>78.80435123966943</v>
      </c>
      <c r="AA45" s="140">
        <f>MIN(AA28:AA37,AA24:AA26,AA7:AA22)</f>
        <v>72.657820936639112</v>
      </c>
      <c r="AB45" s="140">
        <f>MIN(AB28:AB37,AB24:AB26,AB7:AB22)</f>
        <v>-7.3233222222222061E-3</v>
      </c>
      <c r="AC45" s="140">
        <f>MIN(AC28:AC37,AC24:AC26,AC7:AC22)</f>
        <v>-0.6052332415059567</v>
      </c>
    </row>
    <row r="46" spans="7:33" x14ac:dyDescent="0.35">
      <c r="G46" s="178" t="s">
        <v>339</v>
      </c>
      <c r="H46" s="144">
        <v>198.04499999999999</v>
      </c>
      <c r="I46" s="164">
        <v>191.15199999999999</v>
      </c>
      <c r="J46" s="170"/>
      <c r="K46" s="171"/>
      <c r="L46" s="147">
        <f>AVERAGE(H46:K46)</f>
        <v>194.5985</v>
      </c>
      <c r="M46" s="166">
        <f>L46*0.0049</f>
        <v>0.95353264999999998</v>
      </c>
      <c r="N46" s="131"/>
      <c r="O46" s="190" t="s">
        <v>120</v>
      </c>
      <c r="V46" s="140">
        <f>MAX(V7:V35)</f>
        <v>106.04693388429752</v>
      </c>
      <c r="AA46" s="140">
        <f>MAX(AA28:AA37,AA24:AA26,AA7:AA22)</f>
        <v>91.95823828823454</v>
      </c>
      <c r="AB46" s="140">
        <f>MAX(AB28:AB37,AB24:AB26,AB7:AB22)</f>
        <v>0.22393980000000013</v>
      </c>
      <c r="AC46" s="140">
        <f>MAX(AC28:AC37,AC24:AC26,AC7:AC22)</f>
        <v>18.507421487603324</v>
      </c>
    </row>
    <row r="47" spans="7:33" x14ac:dyDescent="0.35">
      <c r="K47" s="117"/>
      <c r="M47" s="150"/>
      <c r="N47" s="150"/>
      <c r="O47" s="190" t="s">
        <v>340</v>
      </c>
      <c r="P47" s="14">
        <f>-('[1]Bacteria removal from In-Ex'!I61)</f>
        <v>224571.15384615384</v>
      </c>
    </row>
    <row r="48" spans="7:33" x14ac:dyDescent="0.35">
      <c r="G48" s="178" t="s">
        <v>341</v>
      </c>
      <c r="H48" s="126">
        <v>191.74100000000001</v>
      </c>
      <c r="I48" s="151">
        <v>182.58799999999999</v>
      </c>
      <c r="J48" s="167"/>
      <c r="K48" s="193"/>
      <c r="L48" s="129">
        <f t="shared" ref="L48:L53" si="7">AVERAGE(H48:K48)</f>
        <v>187.1645</v>
      </c>
      <c r="M48" s="130">
        <f t="shared" ref="M48:M53" si="8">L48*0.0049</f>
        <v>0.91710605000000001</v>
      </c>
      <c r="N48" s="131"/>
      <c r="O48" s="190" t="s">
        <v>342</v>
      </c>
      <c r="P48">
        <f>((P47*30.2)/1000000)/12.01</f>
        <v>0.56470015371805549</v>
      </c>
      <c r="U48" s="132"/>
      <c r="V48" s="79"/>
      <c r="W48" s="79"/>
      <c r="X48" s="79"/>
    </row>
    <row r="49" spans="1:27" x14ac:dyDescent="0.35">
      <c r="G49" s="178" t="s">
        <v>343</v>
      </c>
      <c r="H49" s="135">
        <v>197.67400000000001</v>
      </c>
      <c r="I49" s="143">
        <v>223.28200000000001</v>
      </c>
      <c r="K49" s="117"/>
      <c r="L49" s="138">
        <f t="shared" si="7"/>
        <v>210.47800000000001</v>
      </c>
      <c r="M49" s="139">
        <f t="shared" si="8"/>
        <v>1.0313422000000001</v>
      </c>
      <c r="N49" s="131"/>
      <c r="O49" s="190" t="s">
        <v>344</v>
      </c>
      <c r="P49" s="19">
        <f>P42-P48</f>
        <v>93.643974737332371</v>
      </c>
      <c r="Q49" s="19">
        <f>Q42-P48</f>
        <v>103.79564400392835</v>
      </c>
      <c r="T49" s="194"/>
      <c r="Y49"/>
      <c r="Z49"/>
      <c r="AA49"/>
    </row>
    <row r="50" spans="1:27" x14ac:dyDescent="0.35">
      <c r="A50" s="78"/>
      <c r="B50" s="78"/>
      <c r="C50" s="78"/>
      <c r="D50" s="78"/>
      <c r="E50" s="78"/>
      <c r="G50" s="178" t="s">
        <v>345</v>
      </c>
      <c r="H50" s="135">
        <v>225.87</v>
      </c>
      <c r="I50" s="143">
        <v>201.29400000000001</v>
      </c>
      <c r="K50" s="117"/>
      <c r="L50" s="138">
        <f t="shared" si="7"/>
        <v>213.58199999999999</v>
      </c>
      <c r="M50" s="139">
        <f t="shared" si="8"/>
        <v>1.0465518</v>
      </c>
      <c r="N50" s="131"/>
      <c r="T50"/>
      <c r="U50"/>
      <c r="V50"/>
      <c r="W50"/>
      <c r="X50"/>
      <c r="Y50"/>
      <c r="Z50"/>
      <c r="AA50"/>
    </row>
    <row r="51" spans="1:27" x14ac:dyDescent="0.35">
      <c r="A51" s="78"/>
      <c r="B51" s="195"/>
      <c r="C51" s="196"/>
      <c r="D51" s="195"/>
      <c r="E51" s="195"/>
      <c r="G51" s="178" t="s">
        <v>346</v>
      </c>
      <c r="H51" s="135">
        <v>205.53899999999999</v>
      </c>
      <c r="I51" s="143">
        <v>195.774</v>
      </c>
      <c r="K51" s="117"/>
      <c r="L51" s="138">
        <f t="shared" si="7"/>
        <v>200.65649999999999</v>
      </c>
      <c r="M51" s="139">
        <f t="shared" si="8"/>
        <v>0.98321684999999992</v>
      </c>
      <c r="N51" s="131"/>
      <c r="T51"/>
      <c r="U51"/>
      <c r="V51"/>
      <c r="W51"/>
      <c r="X51"/>
      <c r="Y51"/>
      <c r="Z51"/>
      <c r="AA51"/>
    </row>
    <row r="52" spans="1:27" x14ac:dyDescent="0.35">
      <c r="A52" s="78"/>
      <c r="B52" s="195"/>
      <c r="C52" s="117"/>
      <c r="D52" s="195"/>
      <c r="E52" s="117"/>
      <c r="G52" s="178" t="s">
        <v>347</v>
      </c>
      <c r="H52" s="135">
        <v>207.738</v>
      </c>
      <c r="I52" s="143">
        <v>196.53200000000001</v>
      </c>
      <c r="K52" s="117"/>
      <c r="L52" s="138">
        <f t="shared" si="7"/>
        <v>202.13499999999999</v>
      </c>
      <c r="M52" s="139">
        <f t="shared" si="8"/>
        <v>0.99046149999999988</v>
      </c>
      <c r="N52" s="131"/>
      <c r="T52"/>
      <c r="U52"/>
      <c r="V52"/>
      <c r="W52"/>
      <c r="X52"/>
      <c r="Y52"/>
      <c r="Z52"/>
      <c r="AA52"/>
    </row>
    <row r="53" spans="1:27" x14ac:dyDescent="0.35">
      <c r="A53" s="78"/>
      <c r="B53" s="117"/>
      <c r="C53" s="197"/>
      <c r="D53" s="197"/>
      <c r="E53" s="197"/>
      <c r="G53" s="178" t="s">
        <v>348</v>
      </c>
      <c r="H53" s="144">
        <v>185.52099999999999</v>
      </c>
      <c r="I53" s="164">
        <v>178.65799999999999</v>
      </c>
      <c r="J53" s="170"/>
      <c r="K53" s="198"/>
      <c r="L53" s="147">
        <f t="shared" si="7"/>
        <v>182.08949999999999</v>
      </c>
      <c r="M53" s="148">
        <f t="shared" si="8"/>
        <v>0.89223854999999985</v>
      </c>
      <c r="N53" s="131"/>
      <c r="T53"/>
      <c r="U53"/>
      <c r="V53"/>
      <c r="W53"/>
      <c r="X53"/>
      <c r="Y53"/>
      <c r="Z53"/>
      <c r="AA53"/>
    </row>
    <row r="54" spans="1:27" x14ac:dyDescent="0.35">
      <c r="A54" s="78"/>
      <c r="B54" s="117"/>
      <c r="C54" s="197"/>
      <c r="D54" s="197"/>
      <c r="E54" s="197"/>
      <c r="G54" s="7"/>
      <c r="H54" s="199"/>
      <c r="K54" s="117"/>
      <c r="T54"/>
      <c r="U54"/>
      <c r="V54"/>
      <c r="W54"/>
      <c r="X54"/>
      <c r="Y54"/>
      <c r="Z54"/>
      <c r="AA54"/>
    </row>
    <row r="55" spans="1:27" x14ac:dyDescent="0.35">
      <c r="A55" s="78"/>
      <c r="B55" s="117"/>
      <c r="C55" s="197"/>
      <c r="D55" s="197"/>
      <c r="E55" s="197"/>
      <c r="G55" s="178" t="s">
        <v>349</v>
      </c>
      <c r="H55" s="126">
        <v>226.27099999999999</v>
      </c>
      <c r="I55" s="151">
        <v>212.68199999999999</v>
      </c>
      <c r="J55" s="167"/>
      <c r="K55" s="168"/>
      <c r="L55" s="129">
        <f>AVERAGE(H55:K55)</f>
        <v>219.47649999999999</v>
      </c>
      <c r="M55" s="153">
        <f>L55*0.0049</f>
        <v>1.0754348499999999</v>
      </c>
      <c r="N55" s="131"/>
      <c r="T55"/>
      <c r="U55"/>
      <c r="V55"/>
      <c r="W55"/>
      <c r="X55"/>
      <c r="Y55"/>
      <c r="Z55"/>
      <c r="AA55"/>
    </row>
    <row r="56" spans="1:27" x14ac:dyDescent="0.35">
      <c r="A56" s="78"/>
      <c r="B56" s="117"/>
      <c r="C56" s="197"/>
      <c r="D56" s="197"/>
      <c r="E56" s="197"/>
      <c r="G56" s="178" t="s">
        <v>350</v>
      </c>
      <c r="H56" s="135">
        <v>215.87200000000001</v>
      </c>
      <c r="I56" s="143">
        <v>203.76900000000001</v>
      </c>
      <c r="K56" s="169"/>
      <c r="L56" s="138">
        <f>AVERAGE(H56:K56)</f>
        <v>209.82050000000001</v>
      </c>
      <c r="M56" s="159">
        <f>L56*0.0049</f>
        <v>1.0281204500000001</v>
      </c>
      <c r="N56" s="131"/>
      <c r="T56"/>
      <c r="U56"/>
      <c r="V56"/>
      <c r="W56"/>
      <c r="X56"/>
      <c r="Y56"/>
      <c r="Z56"/>
      <c r="AA56"/>
    </row>
    <row r="57" spans="1:27" x14ac:dyDescent="0.35">
      <c r="A57" s="78"/>
      <c r="B57" s="117"/>
      <c r="C57" s="197"/>
      <c r="D57" s="197"/>
      <c r="E57" s="197"/>
      <c r="G57" s="178" t="s">
        <v>351</v>
      </c>
      <c r="H57" s="144">
        <v>214.797</v>
      </c>
      <c r="I57" s="164">
        <v>214.61600000000001</v>
      </c>
      <c r="J57" s="164">
        <v>208.714</v>
      </c>
      <c r="K57" s="165"/>
      <c r="L57" s="147">
        <f>AVERAGE(H57:K57)</f>
        <v>212.70899999999997</v>
      </c>
      <c r="M57" s="166">
        <f>L57*0.0049</f>
        <v>1.0422740999999998</v>
      </c>
      <c r="N57" s="131"/>
      <c r="T57"/>
      <c r="U57"/>
      <c r="V57"/>
      <c r="W57"/>
      <c r="X57"/>
      <c r="Y57"/>
      <c r="Z57"/>
      <c r="AA57"/>
    </row>
    <row r="58" spans="1:27" x14ac:dyDescent="0.35">
      <c r="A58" s="78"/>
      <c r="B58" s="117"/>
      <c r="C58" s="197"/>
      <c r="D58" s="197"/>
      <c r="E58" s="197"/>
      <c r="G58" s="7"/>
      <c r="H58" s="199"/>
      <c r="K58" s="117"/>
      <c r="M58" s="150"/>
      <c r="N58" s="150"/>
      <c r="T58"/>
      <c r="U58"/>
      <c r="V58"/>
      <c r="W58"/>
      <c r="X58"/>
      <c r="Y58"/>
      <c r="Z58"/>
      <c r="AA58"/>
    </row>
    <row r="59" spans="1:27" x14ac:dyDescent="0.35">
      <c r="A59" s="78"/>
      <c r="B59" s="117"/>
      <c r="C59" s="197"/>
      <c r="D59" s="197"/>
      <c r="E59" s="197"/>
      <c r="G59" s="200" t="s">
        <v>352</v>
      </c>
      <c r="H59" s="126">
        <v>231.51300000000001</v>
      </c>
      <c r="I59" s="151">
        <v>229.666</v>
      </c>
      <c r="J59" s="167"/>
      <c r="K59" s="168"/>
      <c r="L59" s="129">
        <f>AVERAGE(H59:K59)</f>
        <v>230.58949999999999</v>
      </c>
      <c r="M59" s="153">
        <f>L59*0.0049</f>
        <v>1.12988855</v>
      </c>
      <c r="N59" s="131"/>
      <c r="T59"/>
      <c r="U59"/>
      <c r="V59"/>
      <c r="W59"/>
      <c r="X59"/>
      <c r="Y59"/>
      <c r="Z59"/>
      <c r="AA59"/>
    </row>
    <row r="60" spans="1:27" x14ac:dyDescent="0.35">
      <c r="A60" s="78"/>
      <c r="B60" s="117"/>
      <c r="C60" s="197"/>
      <c r="D60" s="197"/>
      <c r="E60" s="197"/>
      <c r="G60" s="200" t="s">
        <v>353</v>
      </c>
      <c r="H60" s="135">
        <v>196.202</v>
      </c>
      <c r="I60" s="143">
        <v>184.99</v>
      </c>
      <c r="K60" s="169"/>
      <c r="L60" s="138">
        <f>AVERAGE(H60:K60)</f>
        <v>190.596</v>
      </c>
      <c r="M60" s="159">
        <f>L60*0.0049</f>
        <v>0.93392039999999998</v>
      </c>
      <c r="N60" s="131"/>
      <c r="T60"/>
      <c r="U60"/>
      <c r="V60"/>
      <c r="W60"/>
      <c r="X60"/>
      <c r="Y60"/>
      <c r="Z60"/>
      <c r="AA60"/>
    </row>
    <row r="61" spans="1:27" x14ac:dyDescent="0.35">
      <c r="A61" s="78"/>
      <c r="B61" s="117"/>
      <c r="C61" s="197"/>
      <c r="D61" s="197"/>
      <c r="E61" s="197"/>
      <c r="G61" s="200" t="s">
        <v>354</v>
      </c>
      <c r="H61" s="135">
        <v>227.488</v>
      </c>
      <c r="I61" s="143">
        <v>183.57499999999999</v>
      </c>
      <c r="K61" s="169"/>
      <c r="L61" s="138">
        <f>AVERAGE(H61:K61)</f>
        <v>205.53149999999999</v>
      </c>
      <c r="M61" s="159">
        <f>L61*0.0049</f>
        <v>1.0071043499999999</v>
      </c>
      <c r="N61" s="131"/>
      <c r="T61"/>
      <c r="U61"/>
      <c r="V61"/>
      <c r="W61"/>
      <c r="X61"/>
      <c r="Y61"/>
      <c r="Z61"/>
      <c r="AA61"/>
    </row>
    <row r="62" spans="1:27" x14ac:dyDescent="0.35">
      <c r="A62" s="78"/>
      <c r="B62" s="201"/>
      <c r="C62" s="195"/>
      <c r="D62" s="202"/>
      <c r="E62" s="203"/>
      <c r="G62" s="178" t="s">
        <v>355</v>
      </c>
      <c r="H62" s="135">
        <v>201.40100000000001</v>
      </c>
      <c r="I62" s="143">
        <v>195.47</v>
      </c>
      <c r="K62" s="169"/>
      <c r="L62" s="138">
        <f>AVERAGE(H62:K62)</f>
        <v>198.43549999999999</v>
      </c>
      <c r="M62" s="159">
        <f>L62*0.0049</f>
        <v>0.97233394999999989</v>
      </c>
      <c r="N62" s="131"/>
      <c r="T62"/>
      <c r="U62"/>
      <c r="V62"/>
      <c r="W62"/>
      <c r="X62"/>
      <c r="Y62"/>
      <c r="Z62"/>
      <c r="AA62"/>
    </row>
    <row r="63" spans="1:27" x14ac:dyDescent="0.35">
      <c r="A63" s="78"/>
      <c r="B63" s="195"/>
      <c r="C63" s="195"/>
      <c r="D63" s="202"/>
      <c r="E63" s="203"/>
      <c r="G63" s="178" t="s">
        <v>356</v>
      </c>
      <c r="H63" s="204">
        <v>170.43</v>
      </c>
      <c r="I63" s="205">
        <v>174.535</v>
      </c>
      <c r="J63" s="170"/>
      <c r="K63" s="171"/>
      <c r="L63" s="147">
        <f>AVERAGE(H63:K63)</f>
        <v>172.48250000000002</v>
      </c>
      <c r="M63" s="166">
        <f>L63*0.0049</f>
        <v>0.84516425000000006</v>
      </c>
      <c r="N63" s="131"/>
      <c r="T63"/>
      <c r="U63"/>
      <c r="V63"/>
      <c r="W63"/>
      <c r="X63"/>
      <c r="Y63"/>
      <c r="Z63"/>
      <c r="AA63"/>
    </row>
    <row r="64" spans="1:27" x14ac:dyDescent="0.35">
      <c r="A64" s="78"/>
      <c r="B64" s="195"/>
      <c r="C64" s="195"/>
      <c r="D64" s="195"/>
      <c r="E64" s="195"/>
      <c r="K64" s="117"/>
      <c r="T64"/>
      <c r="U64"/>
      <c r="V64"/>
      <c r="W64"/>
      <c r="X64"/>
      <c r="Y64"/>
      <c r="Z64"/>
      <c r="AA64"/>
    </row>
    <row r="65" spans="1:27" x14ac:dyDescent="0.35">
      <c r="A65" s="78"/>
      <c r="B65" s="195"/>
      <c r="C65" s="206"/>
      <c r="D65" s="195"/>
      <c r="E65" s="195"/>
      <c r="G65" s="178" t="s">
        <v>357</v>
      </c>
      <c r="H65" s="126">
        <v>237.26300000000001</v>
      </c>
      <c r="I65" s="151">
        <v>218.786</v>
      </c>
      <c r="J65" s="151">
        <v>243.32599999999999</v>
      </c>
      <c r="K65" s="152"/>
      <c r="L65" s="129">
        <f>AVERAGE(H65:K65)</f>
        <v>233.125</v>
      </c>
      <c r="M65" s="153">
        <f>L65*0.0049</f>
        <v>1.1423125000000001</v>
      </c>
      <c r="N65" s="131"/>
      <c r="O65" s="154"/>
      <c r="T65"/>
      <c r="U65"/>
      <c r="V65"/>
      <c r="W65"/>
      <c r="X65"/>
      <c r="Y65"/>
      <c r="Z65"/>
      <c r="AA65"/>
    </row>
    <row r="66" spans="1:27" x14ac:dyDescent="0.35">
      <c r="A66" s="78"/>
      <c r="B66" s="195"/>
      <c r="C66" s="196"/>
      <c r="D66" s="195"/>
      <c r="E66" s="195"/>
      <c r="G66" s="178" t="s">
        <v>358</v>
      </c>
      <c r="H66" s="135">
        <v>206.542</v>
      </c>
      <c r="I66" s="143">
        <v>193.245</v>
      </c>
      <c r="K66" s="169"/>
      <c r="L66" s="138">
        <f>AVERAGE(H66:K66)</f>
        <v>199.89350000000002</v>
      </c>
      <c r="M66" s="159">
        <f>L66*0.0049</f>
        <v>0.97947815000000005</v>
      </c>
      <c r="N66" s="131"/>
      <c r="T66"/>
      <c r="U66"/>
      <c r="V66"/>
      <c r="W66"/>
      <c r="X66"/>
      <c r="Y66"/>
      <c r="Z66"/>
      <c r="AA66"/>
    </row>
    <row r="67" spans="1:27" x14ac:dyDescent="0.35">
      <c r="A67" s="78"/>
      <c r="B67" s="117"/>
      <c r="C67" s="197"/>
      <c r="D67" s="195"/>
      <c r="E67" s="195"/>
      <c r="G67" s="178" t="s">
        <v>359</v>
      </c>
      <c r="H67" s="144">
        <v>221.45500000000001</v>
      </c>
      <c r="I67" s="164">
        <v>213.01599999999999</v>
      </c>
      <c r="J67" s="164">
        <v>211.47</v>
      </c>
      <c r="K67" s="165"/>
      <c r="L67" s="147">
        <f>AVERAGE(H67:K67)</f>
        <v>215.31366666666668</v>
      </c>
      <c r="M67" s="166">
        <f>L67*0.0049</f>
        <v>1.0550369666666666</v>
      </c>
      <c r="N67" s="131"/>
      <c r="T67"/>
      <c r="U67"/>
      <c r="V67"/>
      <c r="W67"/>
      <c r="X67"/>
      <c r="Y67"/>
      <c r="Z67"/>
      <c r="AA67"/>
    </row>
    <row r="68" spans="1:27" x14ac:dyDescent="0.35">
      <c r="A68" s="78"/>
      <c r="B68" s="117"/>
      <c r="C68" s="197"/>
      <c r="D68" s="195"/>
      <c r="E68" s="195"/>
      <c r="K68" s="117"/>
      <c r="M68" s="150"/>
      <c r="N68" s="150"/>
      <c r="T68"/>
      <c r="U68"/>
      <c r="V68"/>
      <c r="W68"/>
      <c r="X68"/>
      <c r="Y68"/>
      <c r="Z68"/>
      <c r="AA68"/>
    </row>
    <row r="69" spans="1:27" x14ac:dyDescent="0.35">
      <c r="A69" s="78"/>
      <c r="B69" s="117"/>
      <c r="C69" s="197"/>
      <c r="D69" s="195"/>
      <c r="E69" s="195"/>
      <c r="G69" s="178" t="s">
        <v>360</v>
      </c>
      <c r="H69" s="207">
        <v>184.733</v>
      </c>
      <c r="I69" s="208">
        <v>176.11099999999999</v>
      </c>
      <c r="J69" s="167"/>
      <c r="K69" s="168"/>
      <c r="L69" s="129">
        <f>AVERAGE(H69:K69)</f>
        <v>180.422</v>
      </c>
      <c r="M69" s="153">
        <f>L69*0.0049</f>
        <v>0.88406779999999996</v>
      </c>
      <c r="N69" s="131"/>
      <c r="T69"/>
      <c r="U69"/>
      <c r="V69"/>
      <c r="W69"/>
      <c r="X69"/>
      <c r="Y69"/>
      <c r="Z69"/>
      <c r="AA69"/>
    </row>
    <row r="70" spans="1:27" x14ac:dyDescent="0.35">
      <c r="A70" s="78"/>
      <c r="B70" s="117"/>
      <c r="C70" s="197"/>
      <c r="D70" s="195"/>
      <c r="E70" s="195"/>
      <c r="G70" s="178" t="s">
        <v>361</v>
      </c>
      <c r="H70" s="209">
        <v>189.755</v>
      </c>
      <c r="I70" s="210">
        <v>183.57499999999999</v>
      </c>
      <c r="J70" s="210">
        <v>176.745</v>
      </c>
      <c r="K70" s="158"/>
      <c r="L70" s="138">
        <f>AVERAGE(H70:K70)</f>
        <v>183.35833333333335</v>
      </c>
      <c r="M70" s="159">
        <f>L70*0.0049</f>
        <v>0.89845583333333334</v>
      </c>
      <c r="N70" s="131"/>
      <c r="O70" s="154"/>
      <c r="T70"/>
      <c r="U70"/>
      <c r="V70"/>
      <c r="W70"/>
      <c r="X70"/>
      <c r="Y70"/>
      <c r="Z70"/>
      <c r="AA70"/>
    </row>
    <row r="71" spans="1:27" x14ac:dyDescent="0.35">
      <c r="A71" s="78"/>
      <c r="B71" s="117"/>
      <c r="C71" s="197"/>
      <c r="D71" s="195"/>
      <c r="E71" s="195"/>
      <c r="G71" s="178" t="s">
        <v>362</v>
      </c>
      <c r="H71" s="209">
        <v>183.928</v>
      </c>
      <c r="I71" s="210">
        <v>186.65199999999999</v>
      </c>
      <c r="J71" s="210">
        <v>183.91</v>
      </c>
      <c r="K71" s="158"/>
      <c r="L71" s="138">
        <f>AVERAGE(H71:K71)</f>
        <v>184.83</v>
      </c>
      <c r="M71" s="159">
        <f>L71*0.0049</f>
        <v>0.905667</v>
      </c>
      <c r="N71" s="131"/>
      <c r="O71" s="154"/>
      <c r="T71"/>
      <c r="U71"/>
      <c r="V71"/>
      <c r="W71"/>
      <c r="X71"/>
      <c r="Y71"/>
      <c r="Z71"/>
      <c r="AA71"/>
    </row>
    <row r="72" spans="1:27" x14ac:dyDescent="0.35">
      <c r="A72" s="78"/>
      <c r="B72" s="117"/>
      <c r="C72" s="197"/>
      <c r="D72" s="195"/>
      <c r="E72" s="195"/>
      <c r="G72" s="178" t="s">
        <v>363</v>
      </c>
      <c r="H72" s="209">
        <v>181.94300000000001</v>
      </c>
      <c r="I72" s="210">
        <v>181.01599999999999</v>
      </c>
      <c r="J72" s="210">
        <v>192.7</v>
      </c>
      <c r="K72" s="158"/>
      <c r="L72" s="138">
        <f>AVERAGE(H72:K72)</f>
        <v>185.21966666666665</v>
      </c>
      <c r="M72" s="159">
        <f>L72*0.0049</f>
        <v>0.90757636666666652</v>
      </c>
      <c r="N72" s="131"/>
      <c r="O72" s="154"/>
      <c r="T72"/>
      <c r="U72"/>
      <c r="V72"/>
      <c r="W72"/>
      <c r="X72"/>
      <c r="Y72"/>
      <c r="Z72"/>
      <c r="AA72"/>
    </row>
    <row r="73" spans="1:27" x14ac:dyDescent="0.35">
      <c r="A73" s="78"/>
      <c r="B73" s="117"/>
      <c r="C73" s="197"/>
      <c r="D73" s="195"/>
      <c r="E73" s="195"/>
      <c r="G73" s="178" t="s">
        <v>364</v>
      </c>
      <c r="H73" s="204">
        <v>202.04</v>
      </c>
      <c r="I73" s="205">
        <v>178.114</v>
      </c>
      <c r="J73" s="170"/>
      <c r="K73" s="171"/>
      <c r="L73" s="147">
        <f>AVERAGE(H73:K73)</f>
        <v>190.077</v>
      </c>
      <c r="M73" s="166">
        <f>L73*0.0049</f>
        <v>0.93137729999999996</v>
      </c>
      <c r="N73" s="131"/>
      <c r="T73"/>
      <c r="U73"/>
      <c r="V73"/>
      <c r="W73"/>
      <c r="X73"/>
      <c r="Y73"/>
      <c r="Z73"/>
      <c r="AA73"/>
    </row>
    <row r="74" spans="1:27" x14ac:dyDescent="0.35">
      <c r="A74" s="78"/>
      <c r="B74" s="117"/>
      <c r="C74" s="197"/>
      <c r="D74" s="195"/>
      <c r="E74" s="195"/>
      <c r="K74" s="117"/>
      <c r="T74"/>
      <c r="U74"/>
      <c r="V74"/>
      <c r="W74"/>
      <c r="X74"/>
      <c r="Y74"/>
      <c r="Z74"/>
      <c r="AA74"/>
    </row>
    <row r="75" spans="1:27" x14ac:dyDescent="0.35">
      <c r="A75" s="78"/>
      <c r="B75" s="117"/>
      <c r="C75" s="197"/>
      <c r="D75" s="206"/>
      <c r="E75" s="195"/>
      <c r="G75" s="178" t="s">
        <v>365</v>
      </c>
      <c r="H75" s="126">
        <v>221.989</v>
      </c>
      <c r="I75" s="151">
        <v>206.33699999999999</v>
      </c>
      <c r="J75" s="167"/>
      <c r="K75" s="168"/>
      <c r="L75" s="129">
        <f>AVERAGE(H75:K75)</f>
        <v>214.16300000000001</v>
      </c>
      <c r="M75" s="153">
        <f>L75*0.0049</f>
        <v>1.0493987</v>
      </c>
      <c r="N75" s="131"/>
      <c r="T75"/>
      <c r="U75"/>
      <c r="V75"/>
      <c r="W75"/>
      <c r="X75"/>
      <c r="Y75"/>
      <c r="Z75"/>
      <c r="AA75"/>
    </row>
    <row r="76" spans="1:27" x14ac:dyDescent="0.35">
      <c r="A76" s="78"/>
      <c r="B76" s="202"/>
      <c r="C76" s="203"/>
      <c r="D76" s="203"/>
      <c r="E76" s="195"/>
      <c r="G76" s="178" t="s">
        <v>366</v>
      </c>
      <c r="H76" s="135">
        <v>214.57900000000001</v>
      </c>
      <c r="I76" s="143">
        <v>217.33500000000001</v>
      </c>
      <c r="J76" s="143">
        <v>204.536</v>
      </c>
      <c r="K76" s="158"/>
      <c r="L76" s="138">
        <f>AVERAGE(H76:K76)</f>
        <v>212.15</v>
      </c>
      <c r="M76" s="159">
        <f>L76*0.0049</f>
        <v>1.0395350000000001</v>
      </c>
      <c r="N76" s="131"/>
      <c r="O76" s="154"/>
      <c r="T76"/>
      <c r="U76"/>
      <c r="V76"/>
      <c r="W76"/>
      <c r="X76"/>
      <c r="Y76"/>
      <c r="Z76"/>
      <c r="AA76"/>
    </row>
    <row r="77" spans="1:27" x14ac:dyDescent="0.35">
      <c r="A77" s="78"/>
      <c r="B77" s="202"/>
      <c r="C77" s="203"/>
      <c r="D77" s="195"/>
      <c r="E77" s="195"/>
      <c r="G77" s="178" t="s">
        <v>367</v>
      </c>
      <c r="H77" s="144">
        <v>221.006</v>
      </c>
      <c r="I77" s="164">
        <v>201.946</v>
      </c>
      <c r="J77" s="164">
        <v>205.48400000000001</v>
      </c>
      <c r="K77" s="165"/>
      <c r="L77" s="147">
        <f>AVERAGE(H77:K77)</f>
        <v>209.47866666666667</v>
      </c>
      <c r="M77" s="166">
        <f>L77*0.0049</f>
        <v>1.0264454666666667</v>
      </c>
      <c r="N77" s="131"/>
      <c r="T77"/>
      <c r="U77"/>
      <c r="V77"/>
      <c r="W77"/>
      <c r="X77"/>
      <c r="Y77"/>
      <c r="Z77"/>
      <c r="AA77"/>
    </row>
    <row r="78" spans="1:27" x14ac:dyDescent="0.35">
      <c r="A78" s="78"/>
      <c r="B78" s="78"/>
      <c r="C78" s="78"/>
      <c r="D78" s="78"/>
      <c r="E78" s="78"/>
      <c r="K78" s="117"/>
      <c r="M78" s="150"/>
      <c r="N78" s="150"/>
      <c r="T78"/>
      <c r="U78"/>
      <c r="V78"/>
      <c r="W78"/>
      <c r="X78"/>
      <c r="Y78"/>
      <c r="Z78"/>
      <c r="AA78"/>
    </row>
    <row r="79" spans="1:27" x14ac:dyDescent="0.35">
      <c r="A79" s="211"/>
      <c r="B79" s="206"/>
      <c r="C79" s="195"/>
      <c r="D79" s="195"/>
      <c r="E79" s="211"/>
      <c r="G79" s="178" t="s">
        <v>368</v>
      </c>
      <c r="H79" s="207">
        <v>184.065</v>
      </c>
      <c r="I79" s="208">
        <v>171.85599999999999</v>
      </c>
      <c r="J79" s="208">
        <v>183.43799999999999</v>
      </c>
      <c r="K79" s="152"/>
      <c r="L79" s="129">
        <f>AVERAGE(H79:K79)</f>
        <v>179.78633333333332</v>
      </c>
      <c r="M79" s="153">
        <f>L79*0.0049</f>
        <v>0.88095303333333319</v>
      </c>
      <c r="N79" s="131"/>
      <c r="O79" s="154"/>
      <c r="T79"/>
      <c r="U79"/>
      <c r="V79"/>
      <c r="W79"/>
      <c r="X79"/>
      <c r="Y79"/>
      <c r="Z79"/>
      <c r="AA79"/>
    </row>
    <row r="80" spans="1:27" x14ac:dyDescent="0.35">
      <c r="A80" s="212"/>
      <c r="B80" s="117"/>
      <c r="C80" s="117"/>
      <c r="D80" s="117"/>
      <c r="E80" s="211"/>
      <c r="G80" s="178" t="s">
        <v>369</v>
      </c>
      <c r="H80" s="209">
        <v>193.40899999999999</v>
      </c>
      <c r="I80" s="210">
        <v>177.16</v>
      </c>
      <c r="J80" s="210">
        <v>167.69200000000001</v>
      </c>
      <c r="K80" s="158"/>
      <c r="L80" s="138">
        <f>AVERAGE(H80:K80)</f>
        <v>179.42033333333333</v>
      </c>
      <c r="M80" s="159">
        <f>L80*0.0049</f>
        <v>0.87915963333333325</v>
      </c>
      <c r="N80" s="131"/>
      <c r="O80" s="154"/>
      <c r="T80"/>
      <c r="U80"/>
      <c r="V80"/>
      <c r="W80"/>
      <c r="X80"/>
      <c r="Y80"/>
      <c r="Z80"/>
      <c r="AA80"/>
    </row>
    <row r="81" spans="1:27" x14ac:dyDescent="0.35">
      <c r="A81" s="211"/>
      <c r="B81" s="195"/>
      <c r="C81" s="213"/>
      <c r="D81" s="213"/>
      <c r="E81" s="211"/>
      <c r="G81" s="178" t="s">
        <v>370</v>
      </c>
      <c r="H81" s="209">
        <v>188.66399999999999</v>
      </c>
      <c r="I81" s="210">
        <v>179.30199999999999</v>
      </c>
      <c r="J81" s="210">
        <v>186.60300000000001</v>
      </c>
      <c r="K81" s="158"/>
      <c r="L81" s="138">
        <f>AVERAGE(H81:K81)</f>
        <v>184.85633333333331</v>
      </c>
      <c r="M81" s="159">
        <f>L81*0.0049</f>
        <v>0.90579603333333314</v>
      </c>
      <c r="N81" s="131"/>
      <c r="O81" s="154"/>
      <c r="T81"/>
      <c r="U81"/>
      <c r="V81"/>
      <c r="W81"/>
      <c r="X81"/>
      <c r="Y81"/>
      <c r="Z81"/>
      <c r="AA81"/>
    </row>
    <row r="82" spans="1:27" x14ac:dyDescent="0.35">
      <c r="A82" s="211"/>
      <c r="B82" s="213"/>
      <c r="C82" s="213"/>
      <c r="D82" s="213"/>
      <c r="E82" s="211"/>
      <c r="G82" s="178" t="s">
        <v>371</v>
      </c>
      <c r="H82" s="209">
        <v>186.773</v>
      </c>
      <c r="I82" s="210">
        <v>186.40700000000001</v>
      </c>
      <c r="J82" s="210">
        <v>191.053</v>
      </c>
      <c r="K82" s="158"/>
      <c r="L82" s="138">
        <f>AVERAGE(H82:K82)</f>
        <v>188.07766666666666</v>
      </c>
      <c r="M82" s="159">
        <f>L82*0.0049</f>
        <v>0.92158056666666655</v>
      </c>
      <c r="N82" s="131"/>
      <c r="O82" s="154"/>
      <c r="T82"/>
      <c r="U82"/>
      <c r="V82"/>
      <c r="W82"/>
      <c r="X82"/>
      <c r="Y82"/>
      <c r="Z82"/>
      <c r="AA82"/>
    </row>
    <row r="83" spans="1:27" x14ac:dyDescent="0.35">
      <c r="A83" s="211"/>
      <c r="B83" s="213"/>
      <c r="C83" s="213"/>
      <c r="D83" s="213"/>
      <c r="E83" s="211"/>
      <c r="G83" s="178" t="s">
        <v>372</v>
      </c>
      <c r="H83" s="204">
        <v>187.58699999999999</v>
      </c>
      <c r="I83" s="205">
        <v>195.41900000000001</v>
      </c>
      <c r="J83" s="205">
        <v>179.15199999999999</v>
      </c>
      <c r="K83" s="165"/>
      <c r="L83" s="147">
        <f>AVERAGE(H83:K83)</f>
        <v>187.38599999999997</v>
      </c>
      <c r="M83" s="166">
        <f>L83*0.0049</f>
        <v>0.91819139999999977</v>
      </c>
      <c r="N83" s="131"/>
      <c r="O83" s="154"/>
      <c r="T83"/>
      <c r="U83"/>
      <c r="V83"/>
      <c r="W83"/>
      <c r="X83"/>
      <c r="Y83"/>
      <c r="Z83"/>
      <c r="AA83"/>
    </row>
    <row r="84" spans="1:27" x14ac:dyDescent="0.35">
      <c r="A84" s="195"/>
      <c r="B84" s="195"/>
      <c r="C84" s="195"/>
      <c r="D84" s="202"/>
      <c r="E84" s="214"/>
      <c r="T84"/>
      <c r="U84"/>
      <c r="V84"/>
      <c r="W84"/>
      <c r="X84"/>
      <c r="Y84"/>
      <c r="Z84"/>
      <c r="AA84"/>
    </row>
    <row r="85" spans="1:27" x14ac:dyDescent="0.35">
      <c r="A85" s="78"/>
      <c r="B85" s="78"/>
      <c r="C85" s="78"/>
      <c r="D85" s="78"/>
      <c r="E85" s="78"/>
      <c r="T85"/>
      <c r="U85"/>
      <c r="V85"/>
      <c r="W85"/>
      <c r="X85"/>
      <c r="Y85"/>
      <c r="Z85"/>
      <c r="AA85"/>
    </row>
    <row r="86" spans="1:27" x14ac:dyDescent="0.35">
      <c r="A86" s="211"/>
      <c r="B86" s="206"/>
      <c r="C86" s="195"/>
      <c r="D86" s="195"/>
      <c r="E86" s="211"/>
      <c r="T86"/>
      <c r="U86"/>
      <c r="V86"/>
      <c r="W86"/>
      <c r="X86"/>
      <c r="Y86"/>
      <c r="Z86"/>
      <c r="AA86"/>
    </row>
    <row r="87" spans="1:27" x14ac:dyDescent="0.35">
      <c r="A87" s="212"/>
      <c r="B87" s="117"/>
      <c r="C87" s="117"/>
      <c r="D87" s="117"/>
      <c r="E87" s="211"/>
      <c r="T87"/>
      <c r="U87"/>
      <c r="V87"/>
      <c r="W87"/>
      <c r="X87"/>
      <c r="Y87"/>
      <c r="Z87"/>
      <c r="AA87"/>
    </row>
    <row r="88" spans="1:27" x14ac:dyDescent="0.35">
      <c r="A88" s="211"/>
      <c r="B88" s="211"/>
      <c r="C88" s="211"/>
      <c r="D88" s="211"/>
      <c r="E88" s="211"/>
      <c r="T88"/>
      <c r="U88"/>
      <c r="V88"/>
      <c r="W88"/>
      <c r="X88"/>
      <c r="Y88"/>
      <c r="Z88"/>
      <c r="AA88"/>
    </row>
    <row r="89" spans="1:27" x14ac:dyDescent="0.35">
      <c r="A89" s="211"/>
      <c r="B89" s="211"/>
      <c r="C89" s="211"/>
      <c r="D89" s="211"/>
      <c r="E89" s="211"/>
      <c r="T89"/>
      <c r="U89"/>
      <c r="V89"/>
      <c r="W89"/>
      <c r="X89"/>
      <c r="Y89"/>
      <c r="Z89"/>
      <c r="AA89"/>
    </row>
    <row r="90" spans="1:27" x14ac:dyDescent="0.35">
      <c r="A90" s="211"/>
      <c r="B90" s="213"/>
      <c r="C90" s="213"/>
      <c r="D90" s="213"/>
      <c r="E90" s="211"/>
      <c r="T90"/>
      <c r="U90"/>
      <c r="V90"/>
      <c r="W90"/>
      <c r="X90"/>
      <c r="Y90"/>
      <c r="Z90"/>
      <c r="AA90"/>
    </row>
    <row r="91" spans="1:27" x14ac:dyDescent="0.35">
      <c r="A91" s="195"/>
      <c r="B91" s="195"/>
      <c r="C91" s="195"/>
      <c r="D91" s="202"/>
      <c r="E91" s="214"/>
      <c r="T91"/>
      <c r="U91"/>
      <c r="V91"/>
      <c r="W91"/>
      <c r="X91"/>
      <c r="Y91"/>
      <c r="Z91"/>
      <c r="AA91"/>
    </row>
    <row r="92" spans="1:27" x14ac:dyDescent="0.35">
      <c r="A92" s="78"/>
      <c r="B92" s="78"/>
      <c r="C92" s="78"/>
      <c r="D92" s="78"/>
      <c r="E92" s="78"/>
      <c r="T92"/>
      <c r="U92"/>
      <c r="V92"/>
      <c r="W92"/>
      <c r="X92"/>
      <c r="Y92"/>
      <c r="Z92"/>
      <c r="AA92"/>
    </row>
    <row r="93" spans="1:27" x14ac:dyDescent="0.35">
      <c r="A93" s="78"/>
      <c r="B93" s="78"/>
      <c r="C93" s="78"/>
      <c r="D93" s="78"/>
      <c r="E93" s="78"/>
      <c r="T93"/>
      <c r="U93"/>
      <c r="V93"/>
      <c r="W93"/>
      <c r="X93"/>
      <c r="Y93"/>
      <c r="Z93"/>
      <c r="AA93"/>
    </row>
    <row r="150" spans="7:27" x14ac:dyDescent="0.35">
      <c r="G150" s="7"/>
      <c r="H150" s="199"/>
      <c r="I150"/>
      <c r="J150"/>
      <c r="K150"/>
      <c r="L150"/>
      <c r="M150"/>
      <c r="N150"/>
      <c r="O150"/>
      <c r="T150"/>
      <c r="U150"/>
      <c r="V150"/>
      <c r="W150"/>
      <c r="X150"/>
      <c r="Y150"/>
      <c r="Z150"/>
      <c r="AA150"/>
    </row>
  </sheetData>
  <mergeCells count="2">
    <mergeCell ref="P4:Z4"/>
    <mergeCell ref="U5:W5"/>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
  <sheetViews>
    <sheetView topLeftCell="M3" workbookViewId="0">
      <selection activeCell="A8" sqref="A8"/>
    </sheetView>
  </sheetViews>
  <sheetFormatPr defaultColWidth="8.81640625" defaultRowHeight="14.5" x14ac:dyDescent="0.35"/>
  <cols>
    <col min="1" max="2" width="17.453125" bestFit="1" customWidth="1"/>
    <col min="3" max="3" width="17.453125" customWidth="1"/>
    <col min="6" max="6" width="10.453125" bestFit="1" customWidth="1"/>
    <col min="7" max="7" width="13.1796875" customWidth="1"/>
    <col min="8" max="8" width="10.26953125" bestFit="1" customWidth="1"/>
    <col min="9" max="10" width="10.26953125" customWidth="1"/>
    <col min="11" max="11" width="13.81640625" customWidth="1"/>
    <col min="12" max="12" width="15.7265625" bestFit="1" customWidth="1"/>
    <col min="13" max="13" width="17.7265625" bestFit="1" customWidth="1"/>
    <col min="14" max="14" width="17.7265625" customWidth="1"/>
    <col min="15" max="15" width="15.453125" customWidth="1"/>
    <col min="16" max="16" width="13.54296875" customWidth="1"/>
    <col min="259" max="260" width="17.453125" bestFit="1" customWidth="1"/>
    <col min="261" max="261" width="17.453125" customWidth="1"/>
    <col min="264" max="264" width="10.453125" bestFit="1" customWidth="1"/>
    <col min="265" max="265" width="13.1796875" customWidth="1"/>
    <col min="266" max="266" width="10.26953125" bestFit="1" customWidth="1"/>
    <col min="267" max="267" width="12.26953125" bestFit="1" customWidth="1"/>
    <col min="268" max="268" width="15.7265625" bestFit="1" customWidth="1"/>
    <col min="269" max="269" width="17.7265625" bestFit="1" customWidth="1"/>
    <col min="270" max="270" width="17.7265625" customWidth="1"/>
    <col min="271" max="271" width="15.453125" customWidth="1"/>
    <col min="272" max="272" width="15.54296875" customWidth="1"/>
    <col min="515" max="516" width="17.453125" bestFit="1" customWidth="1"/>
    <col min="517" max="517" width="17.453125" customWidth="1"/>
    <col min="520" max="520" width="10.453125" bestFit="1" customWidth="1"/>
    <col min="521" max="521" width="13.1796875" customWidth="1"/>
    <col min="522" max="522" width="10.26953125" bestFit="1" customWidth="1"/>
    <col min="523" max="523" width="12.26953125" bestFit="1" customWidth="1"/>
    <col min="524" max="524" width="15.7265625" bestFit="1" customWidth="1"/>
    <col min="525" max="525" width="17.7265625" bestFit="1" customWidth="1"/>
    <col min="526" max="526" width="17.7265625" customWidth="1"/>
    <col min="527" max="527" width="15.453125" customWidth="1"/>
    <col min="528" max="528" width="15.54296875" customWidth="1"/>
    <col min="771" max="772" width="17.453125" bestFit="1" customWidth="1"/>
    <col min="773" max="773" width="17.453125" customWidth="1"/>
    <col min="776" max="776" width="10.453125" bestFit="1" customWidth="1"/>
    <col min="777" max="777" width="13.1796875" customWidth="1"/>
    <col min="778" max="778" width="10.26953125" bestFit="1" customWidth="1"/>
    <col min="779" max="779" width="12.26953125" bestFit="1" customWidth="1"/>
    <col min="780" max="780" width="15.7265625" bestFit="1" customWidth="1"/>
    <col min="781" max="781" width="17.7265625" bestFit="1" customWidth="1"/>
    <col min="782" max="782" width="17.7265625" customWidth="1"/>
    <col min="783" max="783" width="15.453125" customWidth="1"/>
    <col min="784" max="784" width="15.54296875" customWidth="1"/>
    <col min="1027" max="1028" width="17.453125" bestFit="1" customWidth="1"/>
    <col min="1029" max="1029" width="17.453125" customWidth="1"/>
    <col min="1032" max="1032" width="10.453125" bestFit="1" customWidth="1"/>
    <col min="1033" max="1033" width="13.1796875" customWidth="1"/>
    <col min="1034" max="1034" width="10.26953125" bestFit="1" customWidth="1"/>
    <col min="1035" max="1035" width="12.26953125" bestFit="1" customWidth="1"/>
    <col min="1036" max="1036" width="15.7265625" bestFit="1" customWidth="1"/>
    <col min="1037" max="1037" width="17.7265625" bestFit="1" customWidth="1"/>
    <col min="1038" max="1038" width="17.7265625" customWidth="1"/>
    <col min="1039" max="1039" width="15.453125" customWidth="1"/>
    <col min="1040" max="1040" width="15.54296875" customWidth="1"/>
    <col min="1283" max="1284" width="17.453125" bestFit="1" customWidth="1"/>
    <col min="1285" max="1285" width="17.453125" customWidth="1"/>
    <col min="1288" max="1288" width="10.453125" bestFit="1" customWidth="1"/>
    <col min="1289" max="1289" width="13.1796875" customWidth="1"/>
    <col min="1290" max="1290" width="10.26953125" bestFit="1" customWidth="1"/>
    <col min="1291" max="1291" width="12.26953125" bestFit="1" customWidth="1"/>
    <col min="1292" max="1292" width="15.7265625" bestFit="1" customWidth="1"/>
    <col min="1293" max="1293" width="17.7265625" bestFit="1" customWidth="1"/>
    <col min="1294" max="1294" width="17.7265625" customWidth="1"/>
    <col min="1295" max="1295" width="15.453125" customWidth="1"/>
    <col min="1296" max="1296" width="15.54296875" customWidth="1"/>
    <col min="1539" max="1540" width="17.453125" bestFit="1" customWidth="1"/>
    <col min="1541" max="1541" width="17.453125" customWidth="1"/>
    <col min="1544" max="1544" width="10.453125" bestFit="1" customWidth="1"/>
    <col min="1545" max="1545" width="13.1796875" customWidth="1"/>
    <col min="1546" max="1546" width="10.26953125" bestFit="1" customWidth="1"/>
    <col min="1547" max="1547" width="12.26953125" bestFit="1" customWidth="1"/>
    <col min="1548" max="1548" width="15.7265625" bestFit="1" customWidth="1"/>
    <col min="1549" max="1549" width="17.7265625" bestFit="1" customWidth="1"/>
    <col min="1550" max="1550" width="17.7265625" customWidth="1"/>
    <col min="1551" max="1551" width="15.453125" customWidth="1"/>
    <col min="1552" max="1552" width="15.54296875" customWidth="1"/>
    <col min="1795" max="1796" width="17.453125" bestFit="1" customWidth="1"/>
    <col min="1797" max="1797" width="17.453125" customWidth="1"/>
    <col min="1800" max="1800" width="10.453125" bestFit="1" customWidth="1"/>
    <col min="1801" max="1801" width="13.1796875" customWidth="1"/>
    <col min="1802" max="1802" width="10.26953125" bestFit="1" customWidth="1"/>
    <col min="1803" max="1803" width="12.26953125" bestFit="1" customWidth="1"/>
    <col min="1804" max="1804" width="15.7265625" bestFit="1" customWidth="1"/>
    <col min="1805" max="1805" width="17.7265625" bestFit="1" customWidth="1"/>
    <col min="1806" max="1806" width="17.7265625" customWidth="1"/>
    <col min="1807" max="1807" width="15.453125" customWidth="1"/>
    <col min="1808" max="1808" width="15.54296875" customWidth="1"/>
    <col min="2051" max="2052" width="17.453125" bestFit="1" customWidth="1"/>
    <col min="2053" max="2053" width="17.453125" customWidth="1"/>
    <col min="2056" max="2056" width="10.453125" bestFit="1" customWidth="1"/>
    <col min="2057" max="2057" width="13.1796875" customWidth="1"/>
    <col min="2058" max="2058" width="10.26953125" bestFit="1" customWidth="1"/>
    <col min="2059" max="2059" width="12.26953125" bestFit="1" customWidth="1"/>
    <col min="2060" max="2060" width="15.7265625" bestFit="1" customWidth="1"/>
    <col min="2061" max="2061" width="17.7265625" bestFit="1" customWidth="1"/>
    <col min="2062" max="2062" width="17.7265625" customWidth="1"/>
    <col min="2063" max="2063" width="15.453125" customWidth="1"/>
    <col min="2064" max="2064" width="15.54296875" customWidth="1"/>
    <col min="2307" max="2308" width="17.453125" bestFit="1" customWidth="1"/>
    <col min="2309" max="2309" width="17.453125" customWidth="1"/>
    <col min="2312" max="2312" width="10.453125" bestFit="1" customWidth="1"/>
    <col min="2313" max="2313" width="13.1796875" customWidth="1"/>
    <col min="2314" max="2314" width="10.26953125" bestFit="1" customWidth="1"/>
    <col min="2315" max="2315" width="12.26953125" bestFit="1" customWidth="1"/>
    <col min="2316" max="2316" width="15.7265625" bestFit="1" customWidth="1"/>
    <col min="2317" max="2317" width="17.7265625" bestFit="1" customWidth="1"/>
    <col min="2318" max="2318" width="17.7265625" customWidth="1"/>
    <col min="2319" max="2319" width="15.453125" customWidth="1"/>
    <col min="2320" max="2320" width="15.54296875" customWidth="1"/>
    <col min="2563" max="2564" width="17.453125" bestFit="1" customWidth="1"/>
    <col min="2565" max="2565" width="17.453125" customWidth="1"/>
    <col min="2568" max="2568" width="10.453125" bestFit="1" customWidth="1"/>
    <col min="2569" max="2569" width="13.1796875" customWidth="1"/>
    <col min="2570" max="2570" width="10.26953125" bestFit="1" customWidth="1"/>
    <col min="2571" max="2571" width="12.26953125" bestFit="1" customWidth="1"/>
    <col min="2572" max="2572" width="15.7265625" bestFit="1" customWidth="1"/>
    <col min="2573" max="2573" width="17.7265625" bestFit="1" customWidth="1"/>
    <col min="2574" max="2574" width="17.7265625" customWidth="1"/>
    <col min="2575" max="2575" width="15.453125" customWidth="1"/>
    <col min="2576" max="2576" width="15.54296875" customWidth="1"/>
    <col min="2819" max="2820" width="17.453125" bestFit="1" customWidth="1"/>
    <col min="2821" max="2821" width="17.453125" customWidth="1"/>
    <col min="2824" max="2824" width="10.453125" bestFit="1" customWidth="1"/>
    <col min="2825" max="2825" width="13.1796875" customWidth="1"/>
    <col min="2826" max="2826" width="10.26953125" bestFit="1" customWidth="1"/>
    <col min="2827" max="2827" width="12.26953125" bestFit="1" customWidth="1"/>
    <col min="2828" max="2828" width="15.7265625" bestFit="1" customWidth="1"/>
    <col min="2829" max="2829" width="17.7265625" bestFit="1" customWidth="1"/>
    <col min="2830" max="2830" width="17.7265625" customWidth="1"/>
    <col min="2831" max="2831" width="15.453125" customWidth="1"/>
    <col min="2832" max="2832" width="15.54296875" customWidth="1"/>
    <col min="3075" max="3076" width="17.453125" bestFit="1" customWidth="1"/>
    <col min="3077" max="3077" width="17.453125" customWidth="1"/>
    <col min="3080" max="3080" width="10.453125" bestFit="1" customWidth="1"/>
    <col min="3081" max="3081" width="13.1796875" customWidth="1"/>
    <col min="3082" max="3082" width="10.26953125" bestFit="1" customWidth="1"/>
    <col min="3083" max="3083" width="12.26953125" bestFit="1" customWidth="1"/>
    <col min="3084" max="3084" width="15.7265625" bestFit="1" customWidth="1"/>
    <col min="3085" max="3085" width="17.7265625" bestFit="1" customWidth="1"/>
    <col min="3086" max="3086" width="17.7265625" customWidth="1"/>
    <col min="3087" max="3087" width="15.453125" customWidth="1"/>
    <col min="3088" max="3088" width="15.54296875" customWidth="1"/>
    <col min="3331" max="3332" width="17.453125" bestFit="1" customWidth="1"/>
    <col min="3333" max="3333" width="17.453125" customWidth="1"/>
    <col min="3336" max="3336" width="10.453125" bestFit="1" customWidth="1"/>
    <col min="3337" max="3337" width="13.1796875" customWidth="1"/>
    <col min="3338" max="3338" width="10.26953125" bestFit="1" customWidth="1"/>
    <col min="3339" max="3339" width="12.26953125" bestFit="1" customWidth="1"/>
    <col min="3340" max="3340" width="15.7265625" bestFit="1" customWidth="1"/>
    <col min="3341" max="3341" width="17.7265625" bestFit="1" customWidth="1"/>
    <col min="3342" max="3342" width="17.7265625" customWidth="1"/>
    <col min="3343" max="3343" width="15.453125" customWidth="1"/>
    <col min="3344" max="3344" width="15.54296875" customWidth="1"/>
    <col min="3587" max="3588" width="17.453125" bestFit="1" customWidth="1"/>
    <col min="3589" max="3589" width="17.453125" customWidth="1"/>
    <col min="3592" max="3592" width="10.453125" bestFit="1" customWidth="1"/>
    <col min="3593" max="3593" width="13.1796875" customWidth="1"/>
    <col min="3594" max="3594" width="10.26953125" bestFit="1" customWidth="1"/>
    <col min="3595" max="3595" width="12.26953125" bestFit="1" customWidth="1"/>
    <col min="3596" max="3596" width="15.7265625" bestFit="1" customWidth="1"/>
    <col min="3597" max="3597" width="17.7265625" bestFit="1" customWidth="1"/>
    <col min="3598" max="3598" width="17.7265625" customWidth="1"/>
    <col min="3599" max="3599" width="15.453125" customWidth="1"/>
    <col min="3600" max="3600" width="15.54296875" customWidth="1"/>
    <col min="3843" max="3844" width="17.453125" bestFit="1" customWidth="1"/>
    <col min="3845" max="3845" width="17.453125" customWidth="1"/>
    <col min="3848" max="3848" width="10.453125" bestFit="1" customWidth="1"/>
    <col min="3849" max="3849" width="13.1796875" customWidth="1"/>
    <col min="3850" max="3850" width="10.26953125" bestFit="1" customWidth="1"/>
    <col min="3851" max="3851" width="12.26953125" bestFit="1" customWidth="1"/>
    <col min="3852" max="3852" width="15.7265625" bestFit="1" customWidth="1"/>
    <col min="3853" max="3853" width="17.7265625" bestFit="1" customWidth="1"/>
    <col min="3854" max="3854" width="17.7265625" customWidth="1"/>
    <col min="3855" max="3855" width="15.453125" customWidth="1"/>
    <col min="3856" max="3856" width="15.54296875" customWidth="1"/>
    <col min="4099" max="4100" width="17.453125" bestFit="1" customWidth="1"/>
    <col min="4101" max="4101" width="17.453125" customWidth="1"/>
    <col min="4104" max="4104" width="10.453125" bestFit="1" customWidth="1"/>
    <col min="4105" max="4105" width="13.1796875" customWidth="1"/>
    <col min="4106" max="4106" width="10.26953125" bestFit="1" customWidth="1"/>
    <col min="4107" max="4107" width="12.26953125" bestFit="1" customWidth="1"/>
    <col min="4108" max="4108" width="15.7265625" bestFit="1" customWidth="1"/>
    <col min="4109" max="4109" width="17.7265625" bestFit="1" customWidth="1"/>
    <col min="4110" max="4110" width="17.7265625" customWidth="1"/>
    <col min="4111" max="4111" width="15.453125" customWidth="1"/>
    <col min="4112" max="4112" width="15.54296875" customWidth="1"/>
    <col min="4355" max="4356" width="17.453125" bestFit="1" customWidth="1"/>
    <col min="4357" max="4357" width="17.453125" customWidth="1"/>
    <col min="4360" max="4360" width="10.453125" bestFit="1" customWidth="1"/>
    <col min="4361" max="4361" width="13.1796875" customWidth="1"/>
    <col min="4362" max="4362" width="10.26953125" bestFit="1" customWidth="1"/>
    <col min="4363" max="4363" width="12.26953125" bestFit="1" customWidth="1"/>
    <col min="4364" max="4364" width="15.7265625" bestFit="1" customWidth="1"/>
    <col min="4365" max="4365" width="17.7265625" bestFit="1" customWidth="1"/>
    <col min="4366" max="4366" width="17.7265625" customWidth="1"/>
    <col min="4367" max="4367" width="15.453125" customWidth="1"/>
    <col min="4368" max="4368" width="15.54296875" customWidth="1"/>
    <col min="4611" max="4612" width="17.453125" bestFit="1" customWidth="1"/>
    <col min="4613" max="4613" width="17.453125" customWidth="1"/>
    <col min="4616" max="4616" width="10.453125" bestFit="1" customWidth="1"/>
    <col min="4617" max="4617" width="13.1796875" customWidth="1"/>
    <col min="4618" max="4618" width="10.26953125" bestFit="1" customWidth="1"/>
    <col min="4619" max="4619" width="12.26953125" bestFit="1" customWidth="1"/>
    <col min="4620" max="4620" width="15.7265625" bestFit="1" customWidth="1"/>
    <col min="4621" max="4621" width="17.7265625" bestFit="1" customWidth="1"/>
    <col min="4622" max="4622" width="17.7265625" customWidth="1"/>
    <col min="4623" max="4623" width="15.453125" customWidth="1"/>
    <col min="4624" max="4624" width="15.54296875" customWidth="1"/>
    <col min="4867" max="4868" width="17.453125" bestFit="1" customWidth="1"/>
    <col min="4869" max="4869" width="17.453125" customWidth="1"/>
    <col min="4872" max="4872" width="10.453125" bestFit="1" customWidth="1"/>
    <col min="4873" max="4873" width="13.1796875" customWidth="1"/>
    <col min="4874" max="4874" width="10.26953125" bestFit="1" customWidth="1"/>
    <col min="4875" max="4875" width="12.26953125" bestFit="1" customWidth="1"/>
    <col min="4876" max="4876" width="15.7265625" bestFit="1" customWidth="1"/>
    <col min="4877" max="4877" width="17.7265625" bestFit="1" customWidth="1"/>
    <col min="4878" max="4878" width="17.7265625" customWidth="1"/>
    <col min="4879" max="4879" width="15.453125" customWidth="1"/>
    <col min="4880" max="4880" width="15.54296875" customWidth="1"/>
    <col min="5123" max="5124" width="17.453125" bestFit="1" customWidth="1"/>
    <col min="5125" max="5125" width="17.453125" customWidth="1"/>
    <col min="5128" max="5128" width="10.453125" bestFit="1" customWidth="1"/>
    <col min="5129" max="5129" width="13.1796875" customWidth="1"/>
    <col min="5130" max="5130" width="10.26953125" bestFit="1" customWidth="1"/>
    <col min="5131" max="5131" width="12.26953125" bestFit="1" customWidth="1"/>
    <col min="5132" max="5132" width="15.7265625" bestFit="1" customWidth="1"/>
    <col min="5133" max="5133" width="17.7265625" bestFit="1" customWidth="1"/>
    <col min="5134" max="5134" width="17.7265625" customWidth="1"/>
    <col min="5135" max="5135" width="15.453125" customWidth="1"/>
    <col min="5136" max="5136" width="15.54296875" customWidth="1"/>
    <col min="5379" max="5380" width="17.453125" bestFit="1" customWidth="1"/>
    <col min="5381" max="5381" width="17.453125" customWidth="1"/>
    <col min="5384" max="5384" width="10.453125" bestFit="1" customWidth="1"/>
    <col min="5385" max="5385" width="13.1796875" customWidth="1"/>
    <col min="5386" max="5386" width="10.26953125" bestFit="1" customWidth="1"/>
    <col min="5387" max="5387" width="12.26953125" bestFit="1" customWidth="1"/>
    <col min="5388" max="5388" width="15.7265625" bestFit="1" customWidth="1"/>
    <col min="5389" max="5389" width="17.7265625" bestFit="1" customWidth="1"/>
    <col min="5390" max="5390" width="17.7265625" customWidth="1"/>
    <col min="5391" max="5391" width="15.453125" customWidth="1"/>
    <col min="5392" max="5392" width="15.54296875" customWidth="1"/>
    <col min="5635" max="5636" width="17.453125" bestFit="1" customWidth="1"/>
    <col min="5637" max="5637" width="17.453125" customWidth="1"/>
    <col min="5640" max="5640" width="10.453125" bestFit="1" customWidth="1"/>
    <col min="5641" max="5641" width="13.1796875" customWidth="1"/>
    <col min="5642" max="5642" width="10.26953125" bestFit="1" customWidth="1"/>
    <col min="5643" max="5643" width="12.26953125" bestFit="1" customWidth="1"/>
    <col min="5644" max="5644" width="15.7265625" bestFit="1" customWidth="1"/>
    <col min="5645" max="5645" width="17.7265625" bestFit="1" customWidth="1"/>
    <col min="5646" max="5646" width="17.7265625" customWidth="1"/>
    <col min="5647" max="5647" width="15.453125" customWidth="1"/>
    <col min="5648" max="5648" width="15.54296875" customWidth="1"/>
    <col min="5891" max="5892" width="17.453125" bestFit="1" customWidth="1"/>
    <col min="5893" max="5893" width="17.453125" customWidth="1"/>
    <col min="5896" max="5896" width="10.453125" bestFit="1" customWidth="1"/>
    <col min="5897" max="5897" width="13.1796875" customWidth="1"/>
    <col min="5898" max="5898" width="10.26953125" bestFit="1" customWidth="1"/>
    <col min="5899" max="5899" width="12.26953125" bestFit="1" customWidth="1"/>
    <col min="5900" max="5900" width="15.7265625" bestFit="1" customWidth="1"/>
    <col min="5901" max="5901" width="17.7265625" bestFit="1" customWidth="1"/>
    <col min="5902" max="5902" width="17.7265625" customWidth="1"/>
    <col min="5903" max="5903" width="15.453125" customWidth="1"/>
    <col min="5904" max="5904" width="15.54296875" customWidth="1"/>
    <col min="6147" max="6148" width="17.453125" bestFit="1" customWidth="1"/>
    <col min="6149" max="6149" width="17.453125" customWidth="1"/>
    <col min="6152" max="6152" width="10.453125" bestFit="1" customWidth="1"/>
    <col min="6153" max="6153" width="13.1796875" customWidth="1"/>
    <col min="6154" max="6154" width="10.26953125" bestFit="1" customWidth="1"/>
    <col min="6155" max="6155" width="12.26953125" bestFit="1" customWidth="1"/>
    <col min="6156" max="6156" width="15.7265625" bestFit="1" customWidth="1"/>
    <col min="6157" max="6157" width="17.7265625" bestFit="1" customWidth="1"/>
    <col min="6158" max="6158" width="17.7265625" customWidth="1"/>
    <col min="6159" max="6159" width="15.453125" customWidth="1"/>
    <col min="6160" max="6160" width="15.54296875" customWidth="1"/>
    <col min="6403" max="6404" width="17.453125" bestFit="1" customWidth="1"/>
    <col min="6405" max="6405" width="17.453125" customWidth="1"/>
    <col min="6408" max="6408" width="10.453125" bestFit="1" customWidth="1"/>
    <col min="6409" max="6409" width="13.1796875" customWidth="1"/>
    <col min="6410" max="6410" width="10.26953125" bestFit="1" customWidth="1"/>
    <col min="6411" max="6411" width="12.26953125" bestFit="1" customWidth="1"/>
    <col min="6412" max="6412" width="15.7265625" bestFit="1" customWidth="1"/>
    <col min="6413" max="6413" width="17.7265625" bestFit="1" customWidth="1"/>
    <col min="6414" max="6414" width="17.7265625" customWidth="1"/>
    <col min="6415" max="6415" width="15.453125" customWidth="1"/>
    <col min="6416" max="6416" width="15.54296875" customWidth="1"/>
    <col min="6659" max="6660" width="17.453125" bestFit="1" customWidth="1"/>
    <col min="6661" max="6661" width="17.453125" customWidth="1"/>
    <col min="6664" max="6664" width="10.453125" bestFit="1" customWidth="1"/>
    <col min="6665" max="6665" width="13.1796875" customWidth="1"/>
    <col min="6666" max="6666" width="10.26953125" bestFit="1" customWidth="1"/>
    <col min="6667" max="6667" width="12.26953125" bestFit="1" customWidth="1"/>
    <col min="6668" max="6668" width="15.7265625" bestFit="1" customWidth="1"/>
    <col min="6669" max="6669" width="17.7265625" bestFit="1" customWidth="1"/>
    <col min="6670" max="6670" width="17.7265625" customWidth="1"/>
    <col min="6671" max="6671" width="15.453125" customWidth="1"/>
    <col min="6672" max="6672" width="15.54296875" customWidth="1"/>
    <col min="6915" max="6916" width="17.453125" bestFit="1" customWidth="1"/>
    <col min="6917" max="6917" width="17.453125" customWidth="1"/>
    <col min="6920" max="6920" width="10.453125" bestFit="1" customWidth="1"/>
    <col min="6921" max="6921" width="13.1796875" customWidth="1"/>
    <col min="6922" max="6922" width="10.26953125" bestFit="1" customWidth="1"/>
    <col min="6923" max="6923" width="12.26953125" bestFit="1" customWidth="1"/>
    <col min="6924" max="6924" width="15.7265625" bestFit="1" customWidth="1"/>
    <col min="6925" max="6925" width="17.7265625" bestFit="1" customWidth="1"/>
    <col min="6926" max="6926" width="17.7265625" customWidth="1"/>
    <col min="6927" max="6927" width="15.453125" customWidth="1"/>
    <col min="6928" max="6928" width="15.54296875" customWidth="1"/>
    <col min="7171" max="7172" width="17.453125" bestFit="1" customWidth="1"/>
    <col min="7173" max="7173" width="17.453125" customWidth="1"/>
    <col min="7176" max="7176" width="10.453125" bestFit="1" customWidth="1"/>
    <col min="7177" max="7177" width="13.1796875" customWidth="1"/>
    <col min="7178" max="7178" width="10.26953125" bestFit="1" customWidth="1"/>
    <col min="7179" max="7179" width="12.26953125" bestFit="1" customWidth="1"/>
    <col min="7180" max="7180" width="15.7265625" bestFit="1" customWidth="1"/>
    <col min="7181" max="7181" width="17.7265625" bestFit="1" customWidth="1"/>
    <col min="7182" max="7182" width="17.7265625" customWidth="1"/>
    <col min="7183" max="7183" width="15.453125" customWidth="1"/>
    <col min="7184" max="7184" width="15.54296875" customWidth="1"/>
    <col min="7427" max="7428" width="17.453125" bestFit="1" customWidth="1"/>
    <col min="7429" max="7429" width="17.453125" customWidth="1"/>
    <col min="7432" max="7432" width="10.453125" bestFit="1" customWidth="1"/>
    <col min="7433" max="7433" width="13.1796875" customWidth="1"/>
    <col min="7434" max="7434" width="10.26953125" bestFit="1" customWidth="1"/>
    <col min="7435" max="7435" width="12.26953125" bestFit="1" customWidth="1"/>
    <col min="7436" max="7436" width="15.7265625" bestFit="1" customWidth="1"/>
    <col min="7437" max="7437" width="17.7265625" bestFit="1" customWidth="1"/>
    <col min="7438" max="7438" width="17.7265625" customWidth="1"/>
    <col min="7439" max="7439" width="15.453125" customWidth="1"/>
    <col min="7440" max="7440" width="15.54296875" customWidth="1"/>
    <col min="7683" max="7684" width="17.453125" bestFit="1" customWidth="1"/>
    <col min="7685" max="7685" width="17.453125" customWidth="1"/>
    <col min="7688" max="7688" width="10.453125" bestFit="1" customWidth="1"/>
    <col min="7689" max="7689" width="13.1796875" customWidth="1"/>
    <col min="7690" max="7690" width="10.26953125" bestFit="1" customWidth="1"/>
    <col min="7691" max="7691" width="12.26953125" bestFit="1" customWidth="1"/>
    <col min="7692" max="7692" width="15.7265625" bestFit="1" customWidth="1"/>
    <col min="7693" max="7693" width="17.7265625" bestFit="1" customWidth="1"/>
    <col min="7694" max="7694" width="17.7265625" customWidth="1"/>
    <col min="7695" max="7695" width="15.453125" customWidth="1"/>
    <col min="7696" max="7696" width="15.54296875" customWidth="1"/>
    <col min="7939" max="7940" width="17.453125" bestFit="1" customWidth="1"/>
    <col min="7941" max="7941" width="17.453125" customWidth="1"/>
    <col min="7944" max="7944" width="10.453125" bestFit="1" customWidth="1"/>
    <col min="7945" max="7945" width="13.1796875" customWidth="1"/>
    <col min="7946" max="7946" width="10.26953125" bestFit="1" customWidth="1"/>
    <col min="7947" max="7947" width="12.26953125" bestFit="1" customWidth="1"/>
    <col min="7948" max="7948" width="15.7265625" bestFit="1" customWidth="1"/>
    <col min="7949" max="7949" width="17.7265625" bestFit="1" customWidth="1"/>
    <col min="7950" max="7950" width="17.7265625" customWidth="1"/>
    <col min="7951" max="7951" width="15.453125" customWidth="1"/>
    <col min="7952" max="7952" width="15.54296875" customWidth="1"/>
    <col min="8195" max="8196" width="17.453125" bestFit="1" customWidth="1"/>
    <col min="8197" max="8197" width="17.453125" customWidth="1"/>
    <col min="8200" max="8200" width="10.453125" bestFit="1" customWidth="1"/>
    <col min="8201" max="8201" width="13.1796875" customWidth="1"/>
    <col min="8202" max="8202" width="10.26953125" bestFit="1" customWidth="1"/>
    <col min="8203" max="8203" width="12.26953125" bestFit="1" customWidth="1"/>
    <col min="8204" max="8204" width="15.7265625" bestFit="1" customWidth="1"/>
    <col min="8205" max="8205" width="17.7265625" bestFit="1" customWidth="1"/>
    <col min="8206" max="8206" width="17.7265625" customWidth="1"/>
    <col min="8207" max="8207" width="15.453125" customWidth="1"/>
    <col min="8208" max="8208" width="15.54296875" customWidth="1"/>
    <col min="8451" max="8452" width="17.453125" bestFit="1" customWidth="1"/>
    <col min="8453" max="8453" width="17.453125" customWidth="1"/>
    <col min="8456" max="8456" width="10.453125" bestFit="1" customWidth="1"/>
    <col min="8457" max="8457" width="13.1796875" customWidth="1"/>
    <col min="8458" max="8458" width="10.26953125" bestFit="1" customWidth="1"/>
    <col min="8459" max="8459" width="12.26953125" bestFit="1" customWidth="1"/>
    <col min="8460" max="8460" width="15.7265625" bestFit="1" customWidth="1"/>
    <col min="8461" max="8461" width="17.7265625" bestFit="1" customWidth="1"/>
    <col min="8462" max="8462" width="17.7265625" customWidth="1"/>
    <col min="8463" max="8463" width="15.453125" customWidth="1"/>
    <col min="8464" max="8464" width="15.54296875" customWidth="1"/>
    <col min="8707" max="8708" width="17.453125" bestFit="1" customWidth="1"/>
    <col min="8709" max="8709" width="17.453125" customWidth="1"/>
    <col min="8712" max="8712" width="10.453125" bestFit="1" customWidth="1"/>
    <col min="8713" max="8713" width="13.1796875" customWidth="1"/>
    <col min="8714" max="8714" width="10.26953125" bestFit="1" customWidth="1"/>
    <col min="8715" max="8715" width="12.26953125" bestFit="1" customWidth="1"/>
    <col min="8716" max="8716" width="15.7265625" bestFit="1" customWidth="1"/>
    <col min="8717" max="8717" width="17.7265625" bestFit="1" customWidth="1"/>
    <col min="8718" max="8718" width="17.7265625" customWidth="1"/>
    <col min="8719" max="8719" width="15.453125" customWidth="1"/>
    <col min="8720" max="8720" width="15.54296875" customWidth="1"/>
    <col min="8963" max="8964" width="17.453125" bestFit="1" customWidth="1"/>
    <col min="8965" max="8965" width="17.453125" customWidth="1"/>
    <col min="8968" max="8968" width="10.453125" bestFit="1" customWidth="1"/>
    <col min="8969" max="8969" width="13.1796875" customWidth="1"/>
    <col min="8970" max="8970" width="10.26953125" bestFit="1" customWidth="1"/>
    <col min="8971" max="8971" width="12.26953125" bestFit="1" customWidth="1"/>
    <col min="8972" max="8972" width="15.7265625" bestFit="1" customWidth="1"/>
    <col min="8973" max="8973" width="17.7265625" bestFit="1" customWidth="1"/>
    <col min="8974" max="8974" width="17.7265625" customWidth="1"/>
    <col min="8975" max="8975" width="15.453125" customWidth="1"/>
    <col min="8976" max="8976" width="15.54296875" customWidth="1"/>
    <col min="9219" max="9220" width="17.453125" bestFit="1" customWidth="1"/>
    <col min="9221" max="9221" width="17.453125" customWidth="1"/>
    <col min="9224" max="9224" width="10.453125" bestFit="1" customWidth="1"/>
    <col min="9225" max="9225" width="13.1796875" customWidth="1"/>
    <col min="9226" max="9226" width="10.26953125" bestFit="1" customWidth="1"/>
    <col min="9227" max="9227" width="12.26953125" bestFit="1" customWidth="1"/>
    <col min="9228" max="9228" width="15.7265625" bestFit="1" customWidth="1"/>
    <col min="9229" max="9229" width="17.7265625" bestFit="1" customWidth="1"/>
    <col min="9230" max="9230" width="17.7265625" customWidth="1"/>
    <col min="9231" max="9231" width="15.453125" customWidth="1"/>
    <col min="9232" max="9232" width="15.54296875" customWidth="1"/>
    <col min="9475" max="9476" width="17.453125" bestFit="1" customWidth="1"/>
    <col min="9477" max="9477" width="17.453125" customWidth="1"/>
    <col min="9480" max="9480" width="10.453125" bestFit="1" customWidth="1"/>
    <col min="9481" max="9481" width="13.1796875" customWidth="1"/>
    <col min="9482" max="9482" width="10.26953125" bestFit="1" customWidth="1"/>
    <col min="9483" max="9483" width="12.26953125" bestFit="1" customWidth="1"/>
    <col min="9484" max="9484" width="15.7265625" bestFit="1" customWidth="1"/>
    <col min="9485" max="9485" width="17.7265625" bestFit="1" customWidth="1"/>
    <col min="9486" max="9486" width="17.7265625" customWidth="1"/>
    <col min="9487" max="9487" width="15.453125" customWidth="1"/>
    <col min="9488" max="9488" width="15.54296875" customWidth="1"/>
    <col min="9731" max="9732" width="17.453125" bestFit="1" customWidth="1"/>
    <col min="9733" max="9733" width="17.453125" customWidth="1"/>
    <col min="9736" max="9736" width="10.453125" bestFit="1" customWidth="1"/>
    <col min="9737" max="9737" width="13.1796875" customWidth="1"/>
    <col min="9738" max="9738" width="10.26953125" bestFit="1" customWidth="1"/>
    <col min="9739" max="9739" width="12.26953125" bestFit="1" customWidth="1"/>
    <col min="9740" max="9740" width="15.7265625" bestFit="1" customWidth="1"/>
    <col min="9741" max="9741" width="17.7265625" bestFit="1" customWidth="1"/>
    <col min="9742" max="9742" width="17.7265625" customWidth="1"/>
    <col min="9743" max="9743" width="15.453125" customWidth="1"/>
    <col min="9744" max="9744" width="15.54296875" customWidth="1"/>
    <col min="9987" max="9988" width="17.453125" bestFit="1" customWidth="1"/>
    <col min="9989" max="9989" width="17.453125" customWidth="1"/>
    <col min="9992" max="9992" width="10.453125" bestFit="1" customWidth="1"/>
    <col min="9993" max="9993" width="13.1796875" customWidth="1"/>
    <col min="9994" max="9994" width="10.26953125" bestFit="1" customWidth="1"/>
    <col min="9995" max="9995" width="12.26953125" bestFit="1" customWidth="1"/>
    <col min="9996" max="9996" width="15.7265625" bestFit="1" customWidth="1"/>
    <col min="9997" max="9997" width="17.7265625" bestFit="1" customWidth="1"/>
    <col min="9998" max="9998" width="17.7265625" customWidth="1"/>
    <col min="9999" max="9999" width="15.453125" customWidth="1"/>
    <col min="10000" max="10000" width="15.54296875" customWidth="1"/>
    <col min="10243" max="10244" width="17.453125" bestFit="1" customWidth="1"/>
    <col min="10245" max="10245" width="17.453125" customWidth="1"/>
    <col min="10248" max="10248" width="10.453125" bestFit="1" customWidth="1"/>
    <col min="10249" max="10249" width="13.1796875" customWidth="1"/>
    <col min="10250" max="10250" width="10.26953125" bestFit="1" customWidth="1"/>
    <col min="10251" max="10251" width="12.26953125" bestFit="1" customWidth="1"/>
    <col min="10252" max="10252" width="15.7265625" bestFit="1" customWidth="1"/>
    <col min="10253" max="10253" width="17.7265625" bestFit="1" customWidth="1"/>
    <col min="10254" max="10254" width="17.7265625" customWidth="1"/>
    <col min="10255" max="10255" width="15.453125" customWidth="1"/>
    <col min="10256" max="10256" width="15.54296875" customWidth="1"/>
    <col min="10499" max="10500" width="17.453125" bestFit="1" customWidth="1"/>
    <col min="10501" max="10501" width="17.453125" customWidth="1"/>
    <col min="10504" max="10504" width="10.453125" bestFit="1" customWidth="1"/>
    <col min="10505" max="10505" width="13.1796875" customWidth="1"/>
    <col min="10506" max="10506" width="10.26953125" bestFit="1" customWidth="1"/>
    <col min="10507" max="10507" width="12.26953125" bestFit="1" customWidth="1"/>
    <col min="10508" max="10508" width="15.7265625" bestFit="1" customWidth="1"/>
    <col min="10509" max="10509" width="17.7265625" bestFit="1" customWidth="1"/>
    <col min="10510" max="10510" width="17.7265625" customWidth="1"/>
    <col min="10511" max="10511" width="15.453125" customWidth="1"/>
    <col min="10512" max="10512" width="15.54296875" customWidth="1"/>
    <col min="10755" max="10756" width="17.453125" bestFit="1" customWidth="1"/>
    <col min="10757" max="10757" width="17.453125" customWidth="1"/>
    <col min="10760" max="10760" width="10.453125" bestFit="1" customWidth="1"/>
    <col min="10761" max="10761" width="13.1796875" customWidth="1"/>
    <col min="10762" max="10762" width="10.26953125" bestFit="1" customWidth="1"/>
    <col min="10763" max="10763" width="12.26953125" bestFit="1" customWidth="1"/>
    <col min="10764" max="10764" width="15.7265625" bestFit="1" customWidth="1"/>
    <col min="10765" max="10765" width="17.7265625" bestFit="1" customWidth="1"/>
    <col min="10766" max="10766" width="17.7265625" customWidth="1"/>
    <col min="10767" max="10767" width="15.453125" customWidth="1"/>
    <col min="10768" max="10768" width="15.54296875" customWidth="1"/>
    <col min="11011" max="11012" width="17.453125" bestFit="1" customWidth="1"/>
    <col min="11013" max="11013" width="17.453125" customWidth="1"/>
    <col min="11016" max="11016" width="10.453125" bestFit="1" customWidth="1"/>
    <col min="11017" max="11017" width="13.1796875" customWidth="1"/>
    <col min="11018" max="11018" width="10.26953125" bestFit="1" customWidth="1"/>
    <col min="11019" max="11019" width="12.26953125" bestFit="1" customWidth="1"/>
    <col min="11020" max="11020" width="15.7265625" bestFit="1" customWidth="1"/>
    <col min="11021" max="11021" width="17.7265625" bestFit="1" customWidth="1"/>
    <col min="11022" max="11022" width="17.7265625" customWidth="1"/>
    <col min="11023" max="11023" width="15.453125" customWidth="1"/>
    <col min="11024" max="11024" width="15.54296875" customWidth="1"/>
    <col min="11267" max="11268" width="17.453125" bestFit="1" customWidth="1"/>
    <col min="11269" max="11269" width="17.453125" customWidth="1"/>
    <col min="11272" max="11272" width="10.453125" bestFit="1" customWidth="1"/>
    <col min="11273" max="11273" width="13.1796875" customWidth="1"/>
    <col min="11274" max="11274" width="10.26953125" bestFit="1" customWidth="1"/>
    <col min="11275" max="11275" width="12.26953125" bestFit="1" customWidth="1"/>
    <col min="11276" max="11276" width="15.7265625" bestFit="1" customWidth="1"/>
    <col min="11277" max="11277" width="17.7265625" bestFit="1" customWidth="1"/>
    <col min="11278" max="11278" width="17.7265625" customWidth="1"/>
    <col min="11279" max="11279" width="15.453125" customWidth="1"/>
    <col min="11280" max="11280" width="15.54296875" customWidth="1"/>
    <col min="11523" max="11524" width="17.453125" bestFit="1" customWidth="1"/>
    <col min="11525" max="11525" width="17.453125" customWidth="1"/>
    <col min="11528" max="11528" width="10.453125" bestFit="1" customWidth="1"/>
    <col min="11529" max="11529" width="13.1796875" customWidth="1"/>
    <col min="11530" max="11530" width="10.26953125" bestFit="1" customWidth="1"/>
    <col min="11531" max="11531" width="12.26953125" bestFit="1" customWidth="1"/>
    <col min="11532" max="11532" width="15.7265625" bestFit="1" customWidth="1"/>
    <col min="11533" max="11533" width="17.7265625" bestFit="1" customWidth="1"/>
    <col min="11534" max="11534" width="17.7265625" customWidth="1"/>
    <col min="11535" max="11535" width="15.453125" customWidth="1"/>
    <col min="11536" max="11536" width="15.54296875" customWidth="1"/>
    <col min="11779" max="11780" width="17.453125" bestFit="1" customWidth="1"/>
    <col min="11781" max="11781" width="17.453125" customWidth="1"/>
    <col min="11784" max="11784" width="10.453125" bestFit="1" customWidth="1"/>
    <col min="11785" max="11785" width="13.1796875" customWidth="1"/>
    <col min="11786" max="11786" width="10.26953125" bestFit="1" customWidth="1"/>
    <col min="11787" max="11787" width="12.26953125" bestFit="1" customWidth="1"/>
    <col min="11788" max="11788" width="15.7265625" bestFit="1" customWidth="1"/>
    <col min="11789" max="11789" width="17.7265625" bestFit="1" customWidth="1"/>
    <col min="11790" max="11790" width="17.7265625" customWidth="1"/>
    <col min="11791" max="11791" width="15.453125" customWidth="1"/>
    <col min="11792" max="11792" width="15.54296875" customWidth="1"/>
    <col min="12035" max="12036" width="17.453125" bestFit="1" customWidth="1"/>
    <col min="12037" max="12037" width="17.453125" customWidth="1"/>
    <col min="12040" max="12040" width="10.453125" bestFit="1" customWidth="1"/>
    <col min="12041" max="12041" width="13.1796875" customWidth="1"/>
    <col min="12042" max="12042" width="10.26953125" bestFit="1" customWidth="1"/>
    <col min="12043" max="12043" width="12.26953125" bestFit="1" customWidth="1"/>
    <col min="12044" max="12044" width="15.7265625" bestFit="1" customWidth="1"/>
    <col min="12045" max="12045" width="17.7265625" bestFit="1" customWidth="1"/>
    <col min="12046" max="12046" width="17.7265625" customWidth="1"/>
    <col min="12047" max="12047" width="15.453125" customWidth="1"/>
    <col min="12048" max="12048" width="15.54296875" customWidth="1"/>
    <col min="12291" max="12292" width="17.453125" bestFit="1" customWidth="1"/>
    <col min="12293" max="12293" width="17.453125" customWidth="1"/>
    <col min="12296" max="12296" width="10.453125" bestFit="1" customWidth="1"/>
    <col min="12297" max="12297" width="13.1796875" customWidth="1"/>
    <col min="12298" max="12298" width="10.26953125" bestFit="1" customWidth="1"/>
    <col min="12299" max="12299" width="12.26953125" bestFit="1" customWidth="1"/>
    <col min="12300" max="12300" width="15.7265625" bestFit="1" customWidth="1"/>
    <col min="12301" max="12301" width="17.7265625" bestFit="1" customWidth="1"/>
    <col min="12302" max="12302" width="17.7265625" customWidth="1"/>
    <col min="12303" max="12303" width="15.453125" customWidth="1"/>
    <col min="12304" max="12304" width="15.54296875" customWidth="1"/>
    <col min="12547" max="12548" width="17.453125" bestFit="1" customWidth="1"/>
    <col min="12549" max="12549" width="17.453125" customWidth="1"/>
    <col min="12552" max="12552" width="10.453125" bestFit="1" customWidth="1"/>
    <col min="12553" max="12553" width="13.1796875" customWidth="1"/>
    <col min="12554" max="12554" width="10.26953125" bestFit="1" customWidth="1"/>
    <col min="12555" max="12555" width="12.26953125" bestFit="1" customWidth="1"/>
    <col min="12556" max="12556" width="15.7265625" bestFit="1" customWidth="1"/>
    <col min="12557" max="12557" width="17.7265625" bestFit="1" customWidth="1"/>
    <col min="12558" max="12558" width="17.7265625" customWidth="1"/>
    <col min="12559" max="12559" width="15.453125" customWidth="1"/>
    <col min="12560" max="12560" width="15.54296875" customWidth="1"/>
    <col min="12803" max="12804" width="17.453125" bestFit="1" customWidth="1"/>
    <col min="12805" max="12805" width="17.453125" customWidth="1"/>
    <col min="12808" max="12808" width="10.453125" bestFit="1" customWidth="1"/>
    <col min="12809" max="12809" width="13.1796875" customWidth="1"/>
    <col min="12810" max="12810" width="10.26953125" bestFit="1" customWidth="1"/>
    <col min="12811" max="12811" width="12.26953125" bestFit="1" customWidth="1"/>
    <col min="12812" max="12812" width="15.7265625" bestFit="1" customWidth="1"/>
    <col min="12813" max="12813" width="17.7265625" bestFit="1" customWidth="1"/>
    <col min="12814" max="12814" width="17.7265625" customWidth="1"/>
    <col min="12815" max="12815" width="15.453125" customWidth="1"/>
    <col min="12816" max="12816" width="15.54296875" customWidth="1"/>
    <col min="13059" max="13060" width="17.453125" bestFit="1" customWidth="1"/>
    <col min="13061" max="13061" width="17.453125" customWidth="1"/>
    <col min="13064" max="13064" width="10.453125" bestFit="1" customWidth="1"/>
    <col min="13065" max="13065" width="13.1796875" customWidth="1"/>
    <col min="13066" max="13066" width="10.26953125" bestFit="1" customWidth="1"/>
    <col min="13067" max="13067" width="12.26953125" bestFit="1" customWidth="1"/>
    <col min="13068" max="13068" width="15.7265625" bestFit="1" customWidth="1"/>
    <col min="13069" max="13069" width="17.7265625" bestFit="1" customWidth="1"/>
    <col min="13070" max="13070" width="17.7265625" customWidth="1"/>
    <col min="13071" max="13071" width="15.453125" customWidth="1"/>
    <col min="13072" max="13072" width="15.54296875" customWidth="1"/>
    <col min="13315" max="13316" width="17.453125" bestFit="1" customWidth="1"/>
    <col min="13317" max="13317" width="17.453125" customWidth="1"/>
    <col min="13320" max="13320" width="10.453125" bestFit="1" customWidth="1"/>
    <col min="13321" max="13321" width="13.1796875" customWidth="1"/>
    <col min="13322" max="13322" width="10.26953125" bestFit="1" customWidth="1"/>
    <col min="13323" max="13323" width="12.26953125" bestFit="1" customWidth="1"/>
    <col min="13324" max="13324" width="15.7265625" bestFit="1" customWidth="1"/>
    <col min="13325" max="13325" width="17.7265625" bestFit="1" customWidth="1"/>
    <col min="13326" max="13326" width="17.7265625" customWidth="1"/>
    <col min="13327" max="13327" width="15.453125" customWidth="1"/>
    <col min="13328" max="13328" width="15.54296875" customWidth="1"/>
    <col min="13571" max="13572" width="17.453125" bestFit="1" customWidth="1"/>
    <col min="13573" max="13573" width="17.453125" customWidth="1"/>
    <col min="13576" max="13576" width="10.453125" bestFit="1" customWidth="1"/>
    <col min="13577" max="13577" width="13.1796875" customWidth="1"/>
    <col min="13578" max="13578" width="10.26953125" bestFit="1" customWidth="1"/>
    <col min="13579" max="13579" width="12.26953125" bestFit="1" customWidth="1"/>
    <col min="13580" max="13580" width="15.7265625" bestFit="1" customWidth="1"/>
    <col min="13581" max="13581" width="17.7265625" bestFit="1" customWidth="1"/>
    <col min="13582" max="13582" width="17.7265625" customWidth="1"/>
    <col min="13583" max="13583" width="15.453125" customWidth="1"/>
    <col min="13584" max="13584" width="15.54296875" customWidth="1"/>
    <col min="13827" max="13828" width="17.453125" bestFit="1" customWidth="1"/>
    <col min="13829" max="13829" width="17.453125" customWidth="1"/>
    <col min="13832" max="13832" width="10.453125" bestFit="1" customWidth="1"/>
    <col min="13833" max="13833" width="13.1796875" customWidth="1"/>
    <col min="13834" max="13834" width="10.26953125" bestFit="1" customWidth="1"/>
    <col min="13835" max="13835" width="12.26953125" bestFit="1" customWidth="1"/>
    <col min="13836" max="13836" width="15.7265625" bestFit="1" customWidth="1"/>
    <col min="13837" max="13837" width="17.7265625" bestFit="1" customWidth="1"/>
    <col min="13838" max="13838" width="17.7265625" customWidth="1"/>
    <col min="13839" max="13839" width="15.453125" customWidth="1"/>
    <col min="13840" max="13840" width="15.54296875" customWidth="1"/>
    <col min="14083" max="14084" width="17.453125" bestFit="1" customWidth="1"/>
    <col min="14085" max="14085" width="17.453125" customWidth="1"/>
    <col min="14088" max="14088" width="10.453125" bestFit="1" customWidth="1"/>
    <col min="14089" max="14089" width="13.1796875" customWidth="1"/>
    <col min="14090" max="14090" width="10.26953125" bestFit="1" customWidth="1"/>
    <col min="14091" max="14091" width="12.26953125" bestFit="1" customWidth="1"/>
    <col min="14092" max="14092" width="15.7265625" bestFit="1" customWidth="1"/>
    <col min="14093" max="14093" width="17.7265625" bestFit="1" customWidth="1"/>
    <col min="14094" max="14094" width="17.7265625" customWidth="1"/>
    <col min="14095" max="14095" width="15.453125" customWidth="1"/>
    <col min="14096" max="14096" width="15.54296875" customWidth="1"/>
    <col min="14339" max="14340" width="17.453125" bestFit="1" customWidth="1"/>
    <col min="14341" max="14341" width="17.453125" customWidth="1"/>
    <col min="14344" max="14344" width="10.453125" bestFit="1" customWidth="1"/>
    <col min="14345" max="14345" width="13.1796875" customWidth="1"/>
    <col min="14346" max="14346" width="10.26953125" bestFit="1" customWidth="1"/>
    <col min="14347" max="14347" width="12.26953125" bestFit="1" customWidth="1"/>
    <col min="14348" max="14348" width="15.7265625" bestFit="1" customWidth="1"/>
    <col min="14349" max="14349" width="17.7265625" bestFit="1" customWidth="1"/>
    <col min="14350" max="14350" width="17.7265625" customWidth="1"/>
    <col min="14351" max="14351" width="15.453125" customWidth="1"/>
    <col min="14352" max="14352" width="15.54296875" customWidth="1"/>
    <col min="14595" max="14596" width="17.453125" bestFit="1" customWidth="1"/>
    <col min="14597" max="14597" width="17.453125" customWidth="1"/>
    <col min="14600" max="14600" width="10.453125" bestFit="1" customWidth="1"/>
    <col min="14601" max="14601" width="13.1796875" customWidth="1"/>
    <col min="14602" max="14602" width="10.26953125" bestFit="1" customWidth="1"/>
    <col min="14603" max="14603" width="12.26953125" bestFit="1" customWidth="1"/>
    <col min="14604" max="14604" width="15.7265625" bestFit="1" customWidth="1"/>
    <col min="14605" max="14605" width="17.7265625" bestFit="1" customWidth="1"/>
    <col min="14606" max="14606" width="17.7265625" customWidth="1"/>
    <col min="14607" max="14607" width="15.453125" customWidth="1"/>
    <col min="14608" max="14608" width="15.54296875" customWidth="1"/>
    <col min="14851" max="14852" width="17.453125" bestFit="1" customWidth="1"/>
    <col min="14853" max="14853" width="17.453125" customWidth="1"/>
    <col min="14856" max="14856" width="10.453125" bestFit="1" customWidth="1"/>
    <col min="14857" max="14857" width="13.1796875" customWidth="1"/>
    <col min="14858" max="14858" width="10.26953125" bestFit="1" customWidth="1"/>
    <col min="14859" max="14859" width="12.26953125" bestFit="1" customWidth="1"/>
    <col min="14860" max="14860" width="15.7265625" bestFit="1" customWidth="1"/>
    <col min="14861" max="14861" width="17.7265625" bestFit="1" customWidth="1"/>
    <col min="14862" max="14862" width="17.7265625" customWidth="1"/>
    <col min="14863" max="14863" width="15.453125" customWidth="1"/>
    <col min="14864" max="14864" width="15.54296875" customWidth="1"/>
    <col min="15107" max="15108" width="17.453125" bestFit="1" customWidth="1"/>
    <col min="15109" max="15109" width="17.453125" customWidth="1"/>
    <col min="15112" max="15112" width="10.453125" bestFit="1" customWidth="1"/>
    <col min="15113" max="15113" width="13.1796875" customWidth="1"/>
    <col min="15114" max="15114" width="10.26953125" bestFit="1" customWidth="1"/>
    <col min="15115" max="15115" width="12.26953125" bestFit="1" customWidth="1"/>
    <col min="15116" max="15116" width="15.7265625" bestFit="1" customWidth="1"/>
    <col min="15117" max="15117" width="17.7265625" bestFit="1" customWidth="1"/>
    <col min="15118" max="15118" width="17.7265625" customWidth="1"/>
    <col min="15119" max="15119" width="15.453125" customWidth="1"/>
    <col min="15120" max="15120" width="15.54296875" customWidth="1"/>
    <col min="15363" max="15364" width="17.453125" bestFit="1" customWidth="1"/>
    <col min="15365" max="15365" width="17.453125" customWidth="1"/>
    <col min="15368" max="15368" width="10.453125" bestFit="1" customWidth="1"/>
    <col min="15369" max="15369" width="13.1796875" customWidth="1"/>
    <col min="15370" max="15370" width="10.26953125" bestFit="1" customWidth="1"/>
    <col min="15371" max="15371" width="12.26953125" bestFit="1" customWidth="1"/>
    <col min="15372" max="15372" width="15.7265625" bestFit="1" customWidth="1"/>
    <col min="15373" max="15373" width="17.7265625" bestFit="1" customWidth="1"/>
    <col min="15374" max="15374" width="17.7265625" customWidth="1"/>
    <col min="15375" max="15375" width="15.453125" customWidth="1"/>
    <col min="15376" max="15376" width="15.54296875" customWidth="1"/>
    <col min="15619" max="15620" width="17.453125" bestFit="1" customWidth="1"/>
    <col min="15621" max="15621" width="17.453125" customWidth="1"/>
    <col min="15624" max="15624" width="10.453125" bestFit="1" customWidth="1"/>
    <col min="15625" max="15625" width="13.1796875" customWidth="1"/>
    <col min="15626" max="15626" width="10.26953125" bestFit="1" customWidth="1"/>
    <col min="15627" max="15627" width="12.26953125" bestFit="1" customWidth="1"/>
    <col min="15628" max="15628" width="15.7265625" bestFit="1" customWidth="1"/>
    <col min="15629" max="15629" width="17.7265625" bestFit="1" customWidth="1"/>
    <col min="15630" max="15630" width="17.7265625" customWidth="1"/>
    <col min="15631" max="15631" width="15.453125" customWidth="1"/>
    <col min="15632" max="15632" width="15.54296875" customWidth="1"/>
    <col min="15875" max="15876" width="17.453125" bestFit="1" customWidth="1"/>
    <col min="15877" max="15877" width="17.453125" customWidth="1"/>
    <col min="15880" max="15880" width="10.453125" bestFit="1" customWidth="1"/>
    <col min="15881" max="15881" width="13.1796875" customWidth="1"/>
    <col min="15882" max="15882" width="10.26953125" bestFit="1" customWidth="1"/>
    <col min="15883" max="15883" width="12.26953125" bestFit="1" customWidth="1"/>
    <col min="15884" max="15884" width="15.7265625" bestFit="1" customWidth="1"/>
    <col min="15885" max="15885" width="17.7265625" bestFit="1" customWidth="1"/>
    <col min="15886" max="15886" width="17.7265625" customWidth="1"/>
    <col min="15887" max="15887" width="15.453125" customWidth="1"/>
    <col min="15888" max="15888" width="15.54296875" customWidth="1"/>
    <col min="16131" max="16132" width="17.453125" bestFit="1" customWidth="1"/>
    <col min="16133" max="16133" width="17.453125" customWidth="1"/>
    <col min="16136" max="16136" width="10.453125" bestFit="1" customWidth="1"/>
    <col min="16137" max="16137" width="13.1796875" customWidth="1"/>
    <col min="16138" max="16138" width="10.26953125" bestFit="1" customWidth="1"/>
    <col min="16139" max="16139" width="12.26953125" bestFit="1" customWidth="1"/>
    <col min="16140" max="16140" width="15.7265625" bestFit="1" customWidth="1"/>
    <col min="16141" max="16141" width="17.7265625" bestFit="1" customWidth="1"/>
    <col min="16142" max="16142" width="17.7265625" customWidth="1"/>
    <col min="16143" max="16143" width="15.453125" customWidth="1"/>
    <col min="16144" max="16144" width="15.54296875" customWidth="1"/>
  </cols>
  <sheetData>
    <row r="1" spans="1:16" ht="17.5" x14ac:dyDescent="0.35">
      <c r="A1" s="58" t="s">
        <v>373</v>
      </c>
    </row>
    <row r="2" spans="1:16" x14ac:dyDescent="0.35">
      <c r="A2" t="s">
        <v>400</v>
      </c>
    </row>
    <row r="3" spans="1:16" x14ac:dyDescent="0.35">
      <c r="A3" t="s">
        <v>374</v>
      </c>
    </row>
    <row r="4" spans="1:16" ht="29" x14ac:dyDescent="0.35">
      <c r="A4" s="215" t="s">
        <v>375</v>
      </c>
      <c r="B4" s="216" t="s">
        <v>376</v>
      </c>
      <c r="C4" s="216" t="s">
        <v>377</v>
      </c>
      <c r="D4" s="216" t="s">
        <v>378</v>
      </c>
      <c r="E4" s="216" t="s">
        <v>379</v>
      </c>
      <c r="F4" s="216" t="s">
        <v>380</v>
      </c>
      <c r="G4" s="217" t="s">
        <v>381</v>
      </c>
      <c r="H4" s="217" t="s">
        <v>382</v>
      </c>
      <c r="I4" s="217" t="s">
        <v>383</v>
      </c>
      <c r="J4" s="217" t="s">
        <v>384</v>
      </c>
      <c r="K4" s="217" t="s">
        <v>385</v>
      </c>
      <c r="L4" s="218" t="s">
        <v>386</v>
      </c>
      <c r="M4" s="216" t="s">
        <v>387</v>
      </c>
      <c r="N4" s="216" t="s">
        <v>4</v>
      </c>
      <c r="O4" s="217" t="s">
        <v>388</v>
      </c>
      <c r="P4" s="219" t="s">
        <v>389</v>
      </c>
    </row>
    <row r="5" spans="1:16" x14ac:dyDescent="0.35">
      <c r="A5">
        <v>1</v>
      </c>
      <c r="B5">
        <f>D5^3</f>
        <v>16581.375</v>
      </c>
      <c r="C5">
        <f>D5*E5*F5</f>
        <v>11475</v>
      </c>
      <c r="D5">
        <v>25.5</v>
      </c>
      <c r="E5">
        <v>22.5</v>
      </c>
      <c r="F5">
        <v>20</v>
      </c>
      <c r="G5" s="14">
        <f>SUM(D5:F5)/3</f>
        <v>22.666666666666668</v>
      </c>
      <c r="H5" s="14">
        <v>6.18</v>
      </c>
      <c r="I5">
        <v>0.17227763285765435</v>
      </c>
      <c r="J5" s="19">
        <f>H5*I5</f>
        <v>1.0646757710603039</v>
      </c>
      <c r="K5" s="19">
        <f>J5*0.6856</f>
        <v>0.72994170863894436</v>
      </c>
      <c r="L5" s="20">
        <f>J5*0.3144</f>
        <v>0.33473406242135956</v>
      </c>
      <c r="M5">
        <v>5.7</v>
      </c>
      <c r="N5">
        <f>M5*1000</f>
        <v>5700</v>
      </c>
      <c r="O5" s="14">
        <f t="shared" ref="O5:O23" si="0">M5/H5</f>
        <v>0.92233009708737868</v>
      </c>
      <c r="P5" s="14"/>
    </row>
    <row r="6" spans="1:16" x14ac:dyDescent="0.35">
      <c r="A6">
        <v>8</v>
      </c>
      <c r="B6">
        <f t="shared" ref="B6:B16" si="1">D6^3</f>
        <v>44738.875</v>
      </c>
      <c r="C6">
        <f t="shared" ref="C6:C16" si="2">D6*E6*F6</f>
        <v>23430</v>
      </c>
      <c r="D6">
        <v>35.5</v>
      </c>
      <c r="E6">
        <v>27.5</v>
      </c>
      <c r="F6">
        <v>24</v>
      </c>
      <c r="G6" s="14">
        <f t="shared" ref="G6:G29" si="3">SUM(D6:F6)/3</f>
        <v>29</v>
      </c>
      <c r="H6" s="14">
        <v>9.2200000000000006</v>
      </c>
      <c r="I6">
        <v>0.15473127864359928</v>
      </c>
      <c r="J6" s="19">
        <f>H6*I6</f>
        <v>1.4266223890939855</v>
      </c>
      <c r="K6" s="19">
        <f t="shared" ref="K6:K30" si="4">J6*0.6856</f>
        <v>0.97809230996283647</v>
      </c>
      <c r="L6" s="20">
        <f t="shared" ref="L6:L30" si="5">J6*0.3144</f>
        <v>0.44853007913114906</v>
      </c>
      <c r="M6">
        <v>10.45</v>
      </c>
      <c r="N6">
        <f t="shared" ref="N6:N30" si="6">M6*1000</f>
        <v>10450</v>
      </c>
      <c r="O6" s="14">
        <f t="shared" si="0"/>
        <v>1.133405639913232</v>
      </c>
      <c r="P6" s="14"/>
    </row>
    <row r="7" spans="1:16" x14ac:dyDescent="0.35">
      <c r="A7">
        <v>9</v>
      </c>
      <c r="B7">
        <f t="shared" si="1"/>
        <v>1000</v>
      </c>
      <c r="C7">
        <f t="shared" si="2"/>
        <v>892.5</v>
      </c>
      <c r="D7">
        <v>10</v>
      </c>
      <c r="E7">
        <v>8.5</v>
      </c>
      <c r="F7">
        <v>10.5</v>
      </c>
      <c r="G7" s="14">
        <f t="shared" si="3"/>
        <v>9.6666666666666661</v>
      </c>
      <c r="H7" s="14">
        <v>0.52</v>
      </c>
      <c r="I7">
        <v>0.22602832488544078</v>
      </c>
      <c r="J7" s="19">
        <f t="shared" ref="J7:J30" si="7">H7*I7</f>
        <v>0.11753472894042921</v>
      </c>
      <c r="K7" s="19">
        <f t="shared" si="4"/>
        <v>8.058181016155827E-2</v>
      </c>
      <c r="L7" s="20">
        <f t="shared" si="5"/>
        <v>3.6952918778870948E-2</v>
      </c>
      <c r="M7">
        <v>0.45</v>
      </c>
      <c r="N7">
        <f t="shared" si="6"/>
        <v>450</v>
      </c>
      <c r="O7" s="14">
        <f t="shared" si="0"/>
        <v>0.86538461538461542</v>
      </c>
      <c r="P7" s="14"/>
    </row>
    <row r="8" spans="1:16" x14ac:dyDescent="0.35">
      <c r="A8">
        <v>13</v>
      </c>
      <c r="B8">
        <f t="shared" si="1"/>
        <v>10648</v>
      </c>
      <c r="C8">
        <f t="shared" si="2"/>
        <v>8360</v>
      </c>
      <c r="D8">
        <v>22</v>
      </c>
      <c r="E8">
        <v>19</v>
      </c>
      <c r="F8">
        <v>20</v>
      </c>
      <c r="G8" s="14">
        <f t="shared" si="3"/>
        <v>20.333333333333332</v>
      </c>
      <c r="H8" s="14">
        <v>3.96</v>
      </c>
      <c r="I8">
        <v>0.19819979167894974</v>
      </c>
      <c r="J8" s="19">
        <f t="shared" si="7"/>
        <v>0.78487117504864101</v>
      </c>
      <c r="K8" s="19">
        <f t="shared" si="4"/>
        <v>0.53810767761334832</v>
      </c>
      <c r="L8" s="20">
        <f t="shared" si="5"/>
        <v>0.24676349743529274</v>
      </c>
      <c r="M8">
        <v>3.8</v>
      </c>
      <c r="N8">
        <f t="shared" si="6"/>
        <v>3800</v>
      </c>
      <c r="O8" s="14">
        <f t="shared" si="0"/>
        <v>0.95959595959595956</v>
      </c>
      <c r="P8" s="14"/>
    </row>
    <row r="9" spans="1:16" x14ac:dyDescent="0.35">
      <c r="A9">
        <v>14</v>
      </c>
      <c r="B9">
        <f t="shared" si="1"/>
        <v>16581.375</v>
      </c>
      <c r="C9">
        <f t="shared" si="2"/>
        <v>12622.5</v>
      </c>
      <c r="D9">
        <v>25.5</v>
      </c>
      <c r="E9">
        <v>22.5</v>
      </c>
      <c r="F9">
        <v>22</v>
      </c>
      <c r="G9" s="14">
        <f t="shared" si="3"/>
        <v>23.333333333333332</v>
      </c>
      <c r="H9" s="14">
        <v>5.9</v>
      </c>
      <c r="I9">
        <v>0.19609737248840803</v>
      </c>
      <c r="J9" s="19">
        <f t="shared" si="7"/>
        <v>1.1569744976816074</v>
      </c>
      <c r="K9" s="19">
        <f t="shared" si="4"/>
        <v>0.79322171561051003</v>
      </c>
      <c r="L9" s="20">
        <f t="shared" si="5"/>
        <v>0.3637527820710974</v>
      </c>
      <c r="M9">
        <v>5</v>
      </c>
      <c r="N9">
        <f t="shared" si="6"/>
        <v>5000</v>
      </c>
      <c r="O9" s="14">
        <f t="shared" si="0"/>
        <v>0.84745762711864403</v>
      </c>
      <c r="P9" s="14"/>
    </row>
    <row r="10" spans="1:16" x14ac:dyDescent="0.35">
      <c r="A10">
        <v>15</v>
      </c>
      <c r="B10">
        <f t="shared" si="1"/>
        <v>18609.625</v>
      </c>
      <c r="C10">
        <f t="shared" si="2"/>
        <v>12799.5</v>
      </c>
      <c r="D10">
        <v>26.5</v>
      </c>
      <c r="E10">
        <v>23</v>
      </c>
      <c r="F10">
        <v>21</v>
      </c>
      <c r="G10" s="14">
        <f t="shared" si="3"/>
        <v>23.5</v>
      </c>
      <c r="H10" s="14">
        <v>4.5999999999999996</v>
      </c>
      <c r="I10">
        <v>0.17966192447491677</v>
      </c>
      <c r="J10" s="19">
        <f t="shared" si="7"/>
        <v>0.82644485258461708</v>
      </c>
      <c r="K10" s="19">
        <f t="shared" si="4"/>
        <v>0.56661059093201349</v>
      </c>
      <c r="L10" s="20">
        <f t="shared" si="5"/>
        <v>0.25983426165260365</v>
      </c>
      <c r="M10">
        <v>4.5999999999999996</v>
      </c>
      <c r="N10">
        <f t="shared" si="6"/>
        <v>4600</v>
      </c>
      <c r="O10" s="14">
        <f t="shared" si="0"/>
        <v>1</v>
      </c>
      <c r="P10" s="14"/>
    </row>
    <row r="11" spans="1:16" x14ac:dyDescent="0.35">
      <c r="A11">
        <v>20</v>
      </c>
      <c r="B11">
        <f t="shared" si="1"/>
        <v>8000</v>
      </c>
      <c r="C11">
        <f t="shared" si="2"/>
        <v>3740</v>
      </c>
      <c r="D11">
        <v>20</v>
      </c>
      <c r="E11">
        <v>11</v>
      </c>
      <c r="F11">
        <v>17</v>
      </c>
      <c r="G11" s="14">
        <f t="shared" si="3"/>
        <v>16</v>
      </c>
      <c r="H11" s="14">
        <v>3.29</v>
      </c>
      <c r="I11">
        <v>0.21038398865715602</v>
      </c>
      <c r="J11" s="19">
        <f t="shared" si="7"/>
        <v>0.69216332268204328</v>
      </c>
      <c r="K11" s="19">
        <f t="shared" si="4"/>
        <v>0.47454717403080887</v>
      </c>
      <c r="L11" s="20">
        <f t="shared" si="5"/>
        <v>0.21761614865123441</v>
      </c>
      <c r="M11">
        <v>2.6</v>
      </c>
      <c r="N11">
        <f t="shared" si="6"/>
        <v>2600</v>
      </c>
      <c r="O11" s="14">
        <f t="shared" si="0"/>
        <v>0.79027355623100304</v>
      </c>
      <c r="P11" s="14"/>
    </row>
    <row r="12" spans="1:16" x14ac:dyDescent="0.35">
      <c r="A12">
        <v>21</v>
      </c>
      <c r="B12">
        <f t="shared" si="1"/>
        <v>5359.375</v>
      </c>
      <c r="C12">
        <f t="shared" si="2"/>
        <v>4252.5</v>
      </c>
      <c r="D12">
        <v>17.5</v>
      </c>
      <c r="E12">
        <v>18</v>
      </c>
      <c r="F12">
        <v>13.5</v>
      </c>
      <c r="G12" s="14">
        <f t="shared" si="3"/>
        <v>16.333333333333332</v>
      </c>
      <c r="H12" s="14">
        <v>2.54</v>
      </c>
      <c r="I12">
        <v>0.18581787762117061</v>
      </c>
      <c r="J12" s="19">
        <f t="shared" si="7"/>
        <v>0.47197740915777336</v>
      </c>
      <c r="K12" s="19">
        <f t="shared" si="4"/>
        <v>0.32358771171856943</v>
      </c>
      <c r="L12" s="20">
        <f t="shared" si="5"/>
        <v>0.14838969743920394</v>
      </c>
      <c r="M12">
        <v>2.4500000000000002</v>
      </c>
      <c r="N12">
        <f t="shared" si="6"/>
        <v>2450</v>
      </c>
      <c r="O12" s="14">
        <f t="shared" si="0"/>
        <v>0.96456692913385833</v>
      </c>
      <c r="P12" s="14"/>
    </row>
    <row r="13" spans="1:16" x14ac:dyDescent="0.35">
      <c r="A13">
        <v>22</v>
      </c>
      <c r="B13">
        <f t="shared" si="1"/>
        <v>8615.125</v>
      </c>
      <c r="C13">
        <f t="shared" si="2"/>
        <v>7749</v>
      </c>
      <c r="D13">
        <v>20.5</v>
      </c>
      <c r="E13">
        <v>21</v>
      </c>
      <c r="F13">
        <v>18</v>
      </c>
      <c r="G13" s="14">
        <f t="shared" si="3"/>
        <v>19.833333333333332</v>
      </c>
      <c r="H13" s="14">
        <v>3.68</v>
      </c>
      <c r="I13">
        <v>0.20946640208073944</v>
      </c>
      <c r="J13" s="19">
        <f t="shared" si="7"/>
        <v>0.77083635965712116</v>
      </c>
      <c r="K13" s="19">
        <f t="shared" si="4"/>
        <v>0.52848540818092227</v>
      </c>
      <c r="L13" s="20">
        <f t="shared" si="5"/>
        <v>0.24235095147619889</v>
      </c>
      <c r="M13">
        <v>3.8</v>
      </c>
      <c r="N13">
        <f t="shared" si="6"/>
        <v>3800</v>
      </c>
      <c r="O13" s="14">
        <f t="shared" si="0"/>
        <v>1.0326086956521738</v>
      </c>
      <c r="P13" s="14"/>
    </row>
    <row r="14" spans="1:16" x14ac:dyDescent="0.35">
      <c r="A14" s="61" t="s">
        <v>390</v>
      </c>
      <c r="B14">
        <f t="shared" si="1"/>
        <v>2744</v>
      </c>
      <c r="C14">
        <f t="shared" si="2"/>
        <v>1309</v>
      </c>
      <c r="D14" s="84">
        <v>14</v>
      </c>
      <c r="E14" s="84">
        <v>11</v>
      </c>
      <c r="F14" s="84">
        <v>8.5</v>
      </c>
      <c r="G14" s="14">
        <f t="shared" si="3"/>
        <v>11.166666666666666</v>
      </c>
      <c r="H14" s="14">
        <v>0.7026</v>
      </c>
      <c r="I14" s="220">
        <v>0.1995848003142302</v>
      </c>
      <c r="J14" s="19">
        <f t="shared" si="7"/>
        <v>0.14022828070077814</v>
      </c>
      <c r="K14" s="19">
        <f t="shared" si="4"/>
        <v>9.6140509248453493E-2</v>
      </c>
      <c r="L14" s="20">
        <f t="shared" si="5"/>
        <v>4.4087771452324648E-2</v>
      </c>
      <c r="M14" s="84">
        <v>0.62</v>
      </c>
      <c r="N14">
        <f t="shared" si="6"/>
        <v>620</v>
      </c>
      <c r="O14" s="14">
        <f t="shared" si="0"/>
        <v>0.88243666382009678</v>
      </c>
      <c r="P14" s="14"/>
    </row>
    <row r="15" spans="1:16" x14ac:dyDescent="0.35">
      <c r="A15" s="61" t="s">
        <v>391</v>
      </c>
      <c r="B15">
        <f t="shared" si="1"/>
        <v>3375</v>
      </c>
      <c r="C15">
        <f t="shared" si="2"/>
        <v>2501.25</v>
      </c>
      <c r="D15">
        <v>15</v>
      </c>
      <c r="E15">
        <v>11.5</v>
      </c>
      <c r="F15">
        <v>14.5</v>
      </c>
      <c r="G15" s="14">
        <f t="shared" si="3"/>
        <v>13.666666666666666</v>
      </c>
      <c r="H15" s="14">
        <v>1.2769999999999999</v>
      </c>
      <c r="I15">
        <v>0.22298447868853075</v>
      </c>
      <c r="J15" s="19">
        <f t="shared" si="7"/>
        <v>0.28475117928525373</v>
      </c>
      <c r="K15" s="19">
        <f t="shared" si="4"/>
        <v>0.19522540851796996</v>
      </c>
      <c r="L15" s="20">
        <f t="shared" si="5"/>
        <v>8.9525770767283783E-2</v>
      </c>
      <c r="M15">
        <v>1.29</v>
      </c>
      <c r="N15">
        <f t="shared" si="6"/>
        <v>1290</v>
      </c>
      <c r="O15" s="14">
        <f t="shared" si="0"/>
        <v>1.01018010963195</v>
      </c>
      <c r="P15" s="14"/>
    </row>
    <row r="16" spans="1:16" x14ac:dyDescent="0.35">
      <c r="A16" s="61" t="s">
        <v>392</v>
      </c>
      <c r="B16">
        <f t="shared" si="1"/>
        <v>729</v>
      </c>
      <c r="C16">
        <f t="shared" si="2"/>
        <v>607.5</v>
      </c>
      <c r="D16">
        <v>9</v>
      </c>
      <c r="E16">
        <v>9</v>
      </c>
      <c r="F16">
        <v>7.5</v>
      </c>
      <c r="G16" s="14">
        <f t="shared" si="3"/>
        <v>8.5</v>
      </c>
      <c r="H16" s="14">
        <v>0.39012999999999998</v>
      </c>
      <c r="I16">
        <v>0.2120608142576389</v>
      </c>
      <c r="J16" s="19">
        <f t="shared" si="7"/>
        <v>8.2731285466332655E-2</v>
      </c>
      <c r="K16" s="19">
        <f t="shared" si="4"/>
        <v>5.6720569315717666E-2</v>
      </c>
      <c r="L16" s="20">
        <f t="shared" si="5"/>
        <v>2.6010716150614989E-2</v>
      </c>
      <c r="M16">
        <v>0.252</v>
      </c>
      <c r="N16">
        <f t="shared" si="6"/>
        <v>252</v>
      </c>
      <c r="O16" s="14">
        <f t="shared" si="0"/>
        <v>0.64593853330940976</v>
      </c>
      <c r="P16" s="14"/>
    </row>
    <row r="17" spans="1:16" x14ac:dyDescent="0.35">
      <c r="A17" s="61" t="s">
        <v>393</v>
      </c>
      <c r="B17">
        <f>D17^3</f>
        <v>9261</v>
      </c>
      <c r="C17">
        <f>D17*E17*F17</f>
        <v>6090</v>
      </c>
      <c r="D17">
        <v>21</v>
      </c>
      <c r="E17">
        <v>14.5</v>
      </c>
      <c r="F17">
        <v>20</v>
      </c>
      <c r="G17" s="14">
        <f t="shared" si="3"/>
        <v>18.5</v>
      </c>
      <c r="H17" s="14">
        <v>3.0295299999999998</v>
      </c>
      <c r="I17">
        <v>0.21554501046092422</v>
      </c>
      <c r="J17" s="19">
        <f t="shared" si="7"/>
        <v>0.65300007554168371</v>
      </c>
      <c r="K17" s="19">
        <f t="shared" si="4"/>
        <v>0.44769685179137836</v>
      </c>
      <c r="L17" s="20">
        <f t="shared" si="5"/>
        <v>0.20530322375030538</v>
      </c>
      <c r="M17">
        <v>2.66</v>
      </c>
      <c r="N17">
        <f t="shared" si="6"/>
        <v>2660</v>
      </c>
      <c r="O17" s="14">
        <f t="shared" si="0"/>
        <v>0.87802398391829761</v>
      </c>
      <c r="P17" s="14"/>
    </row>
    <row r="18" spans="1:16" x14ac:dyDescent="0.35">
      <c r="A18" s="61" t="s">
        <v>394</v>
      </c>
      <c r="B18">
        <f>D18^3</f>
        <v>6859</v>
      </c>
      <c r="C18">
        <f>D18*E18*F18</f>
        <v>5643</v>
      </c>
      <c r="D18">
        <v>19</v>
      </c>
      <c r="E18">
        <v>18</v>
      </c>
      <c r="F18">
        <v>16.5</v>
      </c>
      <c r="G18" s="14">
        <f t="shared" si="3"/>
        <v>17.833333333333332</v>
      </c>
      <c r="H18" s="14">
        <v>2.3506999999999998</v>
      </c>
      <c r="I18">
        <v>0.19611983566527405</v>
      </c>
      <c r="J18" s="19">
        <f t="shared" si="7"/>
        <v>0.46101889769835969</v>
      </c>
      <c r="K18" s="19">
        <f t="shared" si="4"/>
        <v>0.31607455626199538</v>
      </c>
      <c r="L18" s="20">
        <f t="shared" si="5"/>
        <v>0.14494434143636428</v>
      </c>
      <c r="M18">
        <v>2.1800000000000002</v>
      </c>
      <c r="N18">
        <f t="shared" si="6"/>
        <v>2180</v>
      </c>
      <c r="O18" s="14">
        <f t="shared" si="0"/>
        <v>0.92738333262432482</v>
      </c>
      <c r="P18" s="14"/>
    </row>
    <row r="19" spans="1:16" x14ac:dyDescent="0.35">
      <c r="A19" s="61" t="s">
        <v>395</v>
      </c>
      <c r="B19">
        <f>D19^3</f>
        <v>6331.625</v>
      </c>
      <c r="C19">
        <f>D19*E19*F19</f>
        <v>4588</v>
      </c>
      <c r="D19">
        <v>18.5</v>
      </c>
      <c r="E19">
        <v>15.5</v>
      </c>
      <c r="F19">
        <v>16</v>
      </c>
      <c r="G19" s="14">
        <f t="shared" si="3"/>
        <v>16.666666666666668</v>
      </c>
      <c r="H19" s="14">
        <v>2.8353999999999999</v>
      </c>
      <c r="I19">
        <v>0.21384518769398039</v>
      </c>
      <c r="J19" s="19">
        <f t="shared" si="7"/>
        <v>0.60633664518751196</v>
      </c>
      <c r="K19" s="19">
        <f t="shared" si="4"/>
        <v>0.41570440394055819</v>
      </c>
      <c r="L19" s="20">
        <f t="shared" si="5"/>
        <v>0.19063224124695377</v>
      </c>
      <c r="M19">
        <v>2.71</v>
      </c>
      <c r="N19">
        <f t="shared" si="6"/>
        <v>2710</v>
      </c>
      <c r="O19" s="14">
        <f t="shared" si="0"/>
        <v>0.95577343584679408</v>
      </c>
      <c r="P19" s="14"/>
    </row>
    <row r="20" spans="1:16" x14ac:dyDescent="0.35">
      <c r="A20">
        <v>12</v>
      </c>
      <c r="B20">
        <f>D20^3</f>
        <v>3375</v>
      </c>
      <c r="C20">
        <f>D20*E20*F20</f>
        <v>2625</v>
      </c>
      <c r="D20">
        <v>15</v>
      </c>
      <c r="E20">
        <v>14</v>
      </c>
      <c r="F20">
        <v>12.5</v>
      </c>
      <c r="G20" s="14">
        <f t="shared" si="3"/>
        <v>13.833333333333334</v>
      </c>
      <c r="H20" s="14">
        <v>1.5424</v>
      </c>
      <c r="I20">
        <v>0.19063519438558804</v>
      </c>
      <c r="J20" s="19">
        <f t="shared" si="7"/>
        <v>0.294035723820331</v>
      </c>
      <c r="K20" s="19">
        <f t="shared" si="4"/>
        <v>0.20159089225121893</v>
      </c>
      <c r="L20" s="20">
        <f t="shared" si="5"/>
        <v>9.2444831569112068E-2</v>
      </c>
      <c r="M20">
        <v>1.4</v>
      </c>
      <c r="N20">
        <f t="shared" si="6"/>
        <v>1400</v>
      </c>
      <c r="O20" s="14">
        <f t="shared" si="0"/>
        <v>0.90767634854771784</v>
      </c>
      <c r="P20" s="14"/>
    </row>
    <row r="21" spans="1:16" x14ac:dyDescent="0.35">
      <c r="A21">
        <v>5</v>
      </c>
      <c r="B21">
        <f>D21^3</f>
        <v>1000</v>
      </c>
      <c r="C21">
        <f>D21*E21*F21</f>
        <v>640</v>
      </c>
      <c r="D21">
        <v>10</v>
      </c>
      <c r="E21">
        <v>8</v>
      </c>
      <c r="F21">
        <v>8</v>
      </c>
      <c r="G21" s="14">
        <f t="shared" si="3"/>
        <v>8.6666666666666661</v>
      </c>
      <c r="H21" s="14">
        <v>0.4632</v>
      </c>
      <c r="I21">
        <v>0.22193966492403169</v>
      </c>
      <c r="J21" s="19">
        <f t="shared" si="7"/>
        <v>0.10280245279281149</v>
      </c>
      <c r="K21" s="19">
        <f t="shared" si="4"/>
        <v>7.0481361634751549E-2</v>
      </c>
      <c r="L21" s="20">
        <f t="shared" si="5"/>
        <v>3.2321091158059929E-2</v>
      </c>
      <c r="M21">
        <v>0.4</v>
      </c>
      <c r="N21">
        <f t="shared" si="6"/>
        <v>400</v>
      </c>
      <c r="O21" s="14">
        <f t="shared" si="0"/>
        <v>0.86355785837651122</v>
      </c>
      <c r="P21" s="14"/>
    </row>
    <row r="22" spans="1:16" x14ac:dyDescent="0.35">
      <c r="A22">
        <v>1</v>
      </c>
      <c r="B22">
        <f t="shared" ref="B22:B30" si="8">D22^3</f>
        <v>9938.375</v>
      </c>
      <c r="C22">
        <f t="shared" ref="C22:C30" si="9">D22*E22*F22</f>
        <v>6708</v>
      </c>
      <c r="D22">
        <v>21.5</v>
      </c>
      <c r="E22">
        <v>19.5</v>
      </c>
      <c r="F22">
        <v>16</v>
      </c>
      <c r="G22" s="14">
        <f t="shared" si="3"/>
        <v>19</v>
      </c>
      <c r="H22" s="14">
        <v>3.3757999999999999</v>
      </c>
      <c r="I22">
        <v>0.21170522446940312</v>
      </c>
      <c r="J22" s="19">
        <f t="shared" si="7"/>
        <v>0.71467449676381101</v>
      </c>
      <c r="K22" s="19">
        <f t="shared" si="4"/>
        <v>0.48998083498126882</v>
      </c>
      <c r="L22" s="20">
        <f t="shared" si="5"/>
        <v>0.22469366178254219</v>
      </c>
      <c r="M22">
        <v>3.7</v>
      </c>
      <c r="N22">
        <f t="shared" si="6"/>
        <v>3700</v>
      </c>
      <c r="O22" s="14">
        <f t="shared" si="0"/>
        <v>1.0960364950530246</v>
      </c>
      <c r="P22" s="14"/>
    </row>
    <row r="23" spans="1:16" x14ac:dyDescent="0.35">
      <c r="A23">
        <v>2</v>
      </c>
      <c r="B23">
        <f t="shared" si="8"/>
        <v>6859</v>
      </c>
      <c r="C23">
        <f t="shared" si="9"/>
        <v>4845</v>
      </c>
      <c r="D23">
        <v>19</v>
      </c>
      <c r="E23">
        <v>17</v>
      </c>
      <c r="F23">
        <v>15</v>
      </c>
      <c r="G23" s="14">
        <f t="shared" si="3"/>
        <v>17</v>
      </c>
      <c r="H23" s="14">
        <v>2.5466000000000002</v>
      </c>
      <c r="I23">
        <v>0.19952666000608685</v>
      </c>
      <c r="J23" s="19">
        <f t="shared" si="7"/>
        <v>0.50811459237150081</v>
      </c>
      <c r="K23" s="19">
        <f t="shared" si="4"/>
        <v>0.34836336452990097</v>
      </c>
      <c r="L23" s="20">
        <f t="shared" si="5"/>
        <v>0.15975122784159987</v>
      </c>
      <c r="M23">
        <v>2.95</v>
      </c>
      <c r="N23">
        <f t="shared" si="6"/>
        <v>2950</v>
      </c>
      <c r="O23" s="14">
        <f t="shared" si="0"/>
        <v>1.1584072881489045</v>
      </c>
      <c r="P23" s="14"/>
    </row>
    <row r="24" spans="1:16" x14ac:dyDescent="0.35">
      <c r="A24">
        <v>6</v>
      </c>
      <c r="B24">
        <f t="shared" si="8"/>
        <v>3723.875</v>
      </c>
      <c r="C24">
        <f t="shared" si="9"/>
        <v>3371.25</v>
      </c>
      <c r="D24">
        <v>15.5</v>
      </c>
      <c r="E24">
        <v>14.5</v>
      </c>
      <c r="F24">
        <v>15</v>
      </c>
      <c r="G24" s="14">
        <f t="shared" si="3"/>
        <v>15</v>
      </c>
      <c r="H24" s="14">
        <v>1.6093999999999999</v>
      </c>
      <c r="I24">
        <v>0.23559569593464202</v>
      </c>
      <c r="J24" s="19">
        <f t="shared" si="7"/>
        <v>0.37916771303721286</v>
      </c>
      <c r="K24" s="19">
        <f t="shared" si="4"/>
        <v>0.25995738405831315</v>
      </c>
      <c r="L24" s="20">
        <f t="shared" si="5"/>
        <v>0.11921032897889973</v>
      </c>
      <c r="M24">
        <v>1.8</v>
      </c>
      <c r="N24">
        <f t="shared" si="6"/>
        <v>1800</v>
      </c>
      <c r="O24" s="14">
        <f>AVERAGE(O14:O23)</f>
        <v>0.9325414049277031</v>
      </c>
      <c r="P24" s="14"/>
    </row>
    <row r="25" spans="1:16" x14ac:dyDescent="0.35">
      <c r="A25">
        <v>13</v>
      </c>
      <c r="B25">
        <f t="shared" si="8"/>
        <v>3048.625</v>
      </c>
      <c r="C25">
        <f t="shared" si="9"/>
        <v>2175</v>
      </c>
      <c r="D25">
        <v>14.5</v>
      </c>
      <c r="E25">
        <v>12</v>
      </c>
      <c r="F25">
        <v>12.5</v>
      </c>
      <c r="G25" s="14">
        <f t="shared" si="3"/>
        <v>13</v>
      </c>
      <c r="H25" s="14">
        <v>0.95099999999999996</v>
      </c>
      <c r="I25">
        <v>0.23791016136339463</v>
      </c>
      <c r="J25" s="19">
        <f t="shared" si="7"/>
        <v>0.22625256345658828</v>
      </c>
      <c r="K25" s="19">
        <f t="shared" si="4"/>
        <v>0.15511875750583692</v>
      </c>
      <c r="L25" s="20">
        <f t="shared" si="5"/>
        <v>7.1133805950751361E-2</v>
      </c>
      <c r="M25">
        <v>1.1000000000000001</v>
      </c>
      <c r="N25">
        <f t="shared" si="6"/>
        <v>1100</v>
      </c>
      <c r="O25" s="14">
        <f t="shared" ref="O25:O30" si="10">M25/H25</f>
        <v>1.1566771819137751</v>
      </c>
      <c r="P25" s="14"/>
    </row>
    <row r="26" spans="1:16" x14ac:dyDescent="0.35">
      <c r="A26">
        <v>8</v>
      </c>
      <c r="B26">
        <f t="shared" si="8"/>
        <v>12167</v>
      </c>
      <c r="C26">
        <f t="shared" si="9"/>
        <v>6773.5</v>
      </c>
      <c r="D26">
        <v>23</v>
      </c>
      <c r="E26">
        <v>19</v>
      </c>
      <c r="F26">
        <v>15.5</v>
      </c>
      <c r="G26" s="14">
        <f t="shared" si="3"/>
        <v>19.166666666666668</v>
      </c>
      <c r="H26" s="14">
        <v>2.9279000000000002</v>
      </c>
      <c r="I26">
        <v>0.21487637425325112</v>
      </c>
      <c r="J26" s="19">
        <f>H26*I26</f>
        <v>0.629136536176094</v>
      </c>
      <c r="K26" s="19">
        <f t="shared" si="4"/>
        <v>0.43133600920233006</v>
      </c>
      <c r="L26" s="20">
        <f t="shared" si="5"/>
        <v>0.19780052697376396</v>
      </c>
      <c r="M26">
        <v>3.15</v>
      </c>
      <c r="N26">
        <f t="shared" si="6"/>
        <v>3150</v>
      </c>
      <c r="O26" s="14">
        <f t="shared" si="10"/>
        <v>1.0758564158611974</v>
      </c>
      <c r="P26" s="14"/>
    </row>
    <row r="27" spans="1:16" x14ac:dyDescent="0.35">
      <c r="A27">
        <v>9</v>
      </c>
      <c r="B27">
        <f t="shared" si="8"/>
        <v>3375</v>
      </c>
      <c r="C27">
        <f t="shared" si="9"/>
        <v>2242.5</v>
      </c>
      <c r="D27">
        <v>15</v>
      </c>
      <c r="E27">
        <v>13</v>
      </c>
      <c r="F27">
        <v>11.5</v>
      </c>
      <c r="G27" s="14">
        <f t="shared" si="3"/>
        <v>13.166666666666666</v>
      </c>
      <c r="H27" s="14">
        <v>1.4736</v>
      </c>
      <c r="I27">
        <v>0.19775445773860004</v>
      </c>
      <c r="J27" s="19">
        <f t="shared" si="7"/>
        <v>0.29141096892360102</v>
      </c>
      <c r="K27" s="19">
        <f t="shared" si="4"/>
        <v>0.19979136029402086</v>
      </c>
      <c r="L27" s="20">
        <f t="shared" si="5"/>
        <v>9.1619608629580171E-2</v>
      </c>
      <c r="M27">
        <v>1.5</v>
      </c>
      <c r="N27">
        <f t="shared" si="6"/>
        <v>1500</v>
      </c>
      <c r="O27" s="14">
        <f t="shared" si="10"/>
        <v>1.0179153094462541</v>
      </c>
      <c r="P27" s="14"/>
    </row>
    <row r="28" spans="1:16" x14ac:dyDescent="0.35">
      <c r="A28">
        <v>15</v>
      </c>
      <c r="B28">
        <f t="shared" si="8"/>
        <v>614.125</v>
      </c>
      <c r="C28">
        <f t="shared" si="9"/>
        <v>476</v>
      </c>
      <c r="D28">
        <v>8.5</v>
      </c>
      <c r="E28">
        <v>7</v>
      </c>
      <c r="F28">
        <v>8</v>
      </c>
      <c r="G28" s="14">
        <f t="shared" si="3"/>
        <v>7.833333333333333</v>
      </c>
      <c r="H28" s="14">
        <v>0.32279000000000002</v>
      </c>
      <c r="I28">
        <v>0.23398962836484941</v>
      </c>
      <c r="J28" s="19">
        <f t="shared" si="7"/>
        <v>7.5529512139889746E-2</v>
      </c>
      <c r="K28" s="19">
        <f t="shared" si="4"/>
        <v>5.178303352310841E-2</v>
      </c>
      <c r="L28" s="20">
        <f t="shared" si="5"/>
        <v>2.3746478616781336E-2</v>
      </c>
      <c r="M28">
        <v>0.3</v>
      </c>
      <c r="N28">
        <f t="shared" si="6"/>
        <v>300</v>
      </c>
      <c r="O28" s="14">
        <f t="shared" si="10"/>
        <v>0.9293968214628705</v>
      </c>
      <c r="P28" s="14"/>
    </row>
    <row r="29" spans="1:16" x14ac:dyDescent="0.35">
      <c r="A29">
        <v>3</v>
      </c>
      <c r="B29">
        <f t="shared" si="8"/>
        <v>1000</v>
      </c>
      <c r="C29">
        <f t="shared" si="9"/>
        <v>765</v>
      </c>
      <c r="D29">
        <v>10</v>
      </c>
      <c r="E29">
        <v>9</v>
      </c>
      <c r="F29">
        <v>8.5</v>
      </c>
      <c r="G29" s="14">
        <f t="shared" si="3"/>
        <v>9.1666666666666661</v>
      </c>
      <c r="H29" s="14">
        <v>0.47935</v>
      </c>
      <c r="I29">
        <v>0.22014304796432058</v>
      </c>
      <c r="J29" s="19">
        <f t="shared" si="7"/>
        <v>0.10552557004169706</v>
      </c>
      <c r="K29" s="19">
        <f t="shared" si="4"/>
        <v>7.2348330820587503E-2</v>
      </c>
      <c r="L29" s="20">
        <f t="shared" si="5"/>
        <v>3.3177239221109558E-2</v>
      </c>
      <c r="M29">
        <v>0.53500000000000003</v>
      </c>
      <c r="N29">
        <f t="shared" si="6"/>
        <v>535</v>
      </c>
      <c r="O29" s="14">
        <f t="shared" si="10"/>
        <v>1.1160947115886097</v>
      </c>
      <c r="P29" s="14"/>
    </row>
    <row r="30" spans="1:16" x14ac:dyDescent="0.35">
      <c r="A30">
        <v>17</v>
      </c>
      <c r="B30">
        <f t="shared" si="8"/>
        <v>3375</v>
      </c>
      <c r="C30">
        <f t="shared" si="9"/>
        <v>3360</v>
      </c>
      <c r="D30">
        <v>15</v>
      </c>
      <c r="E30">
        <v>14</v>
      </c>
      <c r="F30">
        <v>16</v>
      </c>
      <c r="G30" s="14">
        <f>SUM(D30:F30)/3</f>
        <v>15</v>
      </c>
      <c r="H30" s="14">
        <v>1.7359</v>
      </c>
      <c r="I30">
        <v>0.25999439914527361</v>
      </c>
      <c r="J30" s="19">
        <f t="shared" si="7"/>
        <v>0.45132427747628046</v>
      </c>
      <c r="K30" s="19">
        <f t="shared" si="4"/>
        <v>0.30942792463773788</v>
      </c>
      <c r="L30" s="20">
        <f t="shared" si="5"/>
        <v>0.14189635283854257</v>
      </c>
      <c r="M30">
        <v>1.83</v>
      </c>
      <c r="N30">
        <f t="shared" si="6"/>
        <v>1830</v>
      </c>
      <c r="O30" s="14">
        <f t="shared" si="10"/>
        <v>1.0542081917161128</v>
      </c>
      <c r="P30" s="14"/>
    </row>
    <row r="31" spans="1:16" x14ac:dyDescent="0.35">
      <c r="A31" s="221" t="s">
        <v>115</v>
      </c>
      <c r="B31" s="222">
        <f t="shared" ref="B31:O31" si="11">AVERAGE(B5:B30)</f>
        <v>7996.5144230769229</v>
      </c>
      <c r="C31" s="222">
        <f t="shared" si="11"/>
        <v>5386.1923076923076</v>
      </c>
      <c r="D31" s="222">
        <f t="shared" si="11"/>
        <v>17.942307692307693</v>
      </c>
      <c r="E31" s="222">
        <f t="shared" si="11"/>
        <v>15.365384615384615</v>
      </c>
      <c r="F31" s="222">
        <f t="shared" si="11"/>
        <v>14.903846153846153</v>
      </c>
      <c r="G31" s="222">
        <f t="shared" si="11"/>
        <v>16.070512820512821</v>
      </c>
      <c r="H31" s="222">
        <f t="shared" si="11"/>
        <v>2.6116653846153848</v>
      </c>
      <c r="I31" s="222">
        <f t="shared" si="11"/>
        <v>0.20834135496223288</v>
      </c>
      <c r="J31" s="222">
        <f t="shared" si="11"/>
        <v>0.51223620295331762</v>
      </c>
      <c r="K31" s="222">
        <f t="shared" si="11"/>
        <v>0.35118914074479463</v>
      </c>
      <c r="L31" s="222">
        <f t="shared" si="11"/>
        <v>0.16104706220852311</v>
      </c>
      <c r="M31" s="222">
        <f t="shared" si="11"/>
        <v>2.5856538461538459</v>
      </c>
      <c r="N31" s="222">
        <f t="shared" si="11"/>
        <v>2585.6538461538462</v>
      </c>
      <c r="O31" s="222">
        <f t="shared" si="11"/>
        <v>0.96629720024270838</v>
      </c>
      <c r="P31" s="14">
        <f>N31/(J31*1000)</f>
        <v>5.0477764579039102</v>
      </c>
    </row>
    <row r="32" spans="1:16" x14ac:dyDescent="0.35">
      <c r="A32" s="61" t="s">
        <v>338</v>
      </c>
      <c r="D32">
        <f>MIN(D8:D30)</f>
        <v>8.5</v>
      </c>
      <c r="G32" s="14"/>
      <c r="M32">
        <f>MIN(M8:M30)</f>
        <v>0.252</v>
      </c>
      <c r="N32">
        <f>MIN(N8:N30)</f>
        <v>252</v>
      </c>
      <c r="O32" s="19">
        <f>MIN(O8:O30)</f>
        <v>0.64593853330940976</v>
      </c>
      <c r="P32" s="14"/>
    </row>
    <row r="33" spans="1:15" x14ac:dyDescent="0.35">
      <c r="A33" s="61" t="s">
        <v>120</v>
      </c>
      <c r="D33">
        <f>MAX(D9:D31)</f>
        <v>26.5</v>
      </c>
      <c r="M33">
        <f>MAX(M9:M31)</f>
        <v>5</v>
      </c>
      <c r="N33">
        <f>MAX(N9:N31)</f>
        <v>5000</v>
      </c>
      <c r="O33" s="19">
        <f>MAX(O9:O31)</f>
        <v>1.1584072881489045</v>
      </c>
    </row>
    <row r="34" spans="1:15" x14ac:dyDescent="0.35">
      <c r="A34" s="61" t="s">
        <v>118</v>
      </c>
      <c r="D34">
        <f>COUNT(D8:D30)</f>
        <v>23</v>
      </c>
      <c r="M34">
        <f>COUNT(M8:M30)</f>
        <v>23</v>
      </c>
      <c r="N34">
        <f>COUNT(N8:N30)</f>
        <v>23</v>
      </c>
      <c r="O34">
        <f>COUNT(O8:O30)</f>
        <v>23</v>
      </c>
    </row>
    <row r="37" spans="1:15" x14ac:dyDescent="0.35">
      <c r="A37" t="s">
        <v>396</v>
      </c>
      <c r="B37" t="s">
        <v>397</v>
      </c>
    </row>
    <row r="38" spans="1:15" x14ac:dyDescent="0.35">
      <c r="A38" t="s">
        <v>398</v>
      </c>
      <c r="B38">
        <v>100.366</v>
      </c>
    </row>
    <row r="39" spans="1:15" x14ac:dyDescent="0.35">
      <c r="A39" t="s">
        <v>399</v>
      </c>
      <c r="B39">
        <v>80.721999999999994</v>
      </c>
    </row>
    <row r="40" spans="1:15" x14ac:dyDescent="0.35">
      <c r="B40">
        <v>79.896000000000001</v>
      </c>
    </row>
  </sheetData>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6"/>
  <sheetViews>
    <sheetView workbookViewId="0">
      <selection activeCell="D3" sqref="D3"/>
    </sheetView>
  </sheetViews>
  <sheetFormatPr defaultRowHeight="14.5" x14ac:dyDescent="0.35"/>
  <cols>
    <col min="1" max="1" width="9.7265625" customWidth="1"/>
    <col min="2" max="2" width="8.7265625" customWidth="1"/>
    <col min="3" max="3" width="8.54296875" customWidth="1"/>
    <col min="4" max="4" width="11.54296875" customWidth="1"/>
    <col min="5" max="5" width="7.7265625" customWidth="1"/>
    <col min="6" max="6" width="12" customWidth="1"/>
    <col min="7" max="7" width="10.81640625" customWidth="1"/>
    <col min="8" max="8" width="13.1796875" customWidth="1"/>
    <col min="9" max="9" width="13.7265625" customWidth="1"/>
    <col min="10" max="10" width="10.7265625" bestFit="1" customWidth="1"/>
    <col min="11" max="11" width="16.453125" customWidth="1"/>
    <col min="12" max="12" width="12.453125" customWidth="1"/>
    <col min="13" max="13" width="10.54296875" customWidth="1"/>
    <col min="14" max="14" width="14.54296875" customWidth="1"/>
    <col min="15" max="15" width="10.54296875" customWidth="1"/>
    <col min="16" max="16" width="15.7265625" customWidth="1"/>
    <col min="17" max="17" width="11.1796875" customWidth="1"/>
    <col min="255" max="255" width="18.81640625" customWidth="1"/>
    <col min="256" max="256" width="12.7265625" customWidth="1"/>
    <col min="257" max="257" width="16.26953125" customWidth="1"/>
    <col min="258" max="258" width="16.54296875" customWidth="1"/>
    <col min="259" max="259" width="17.453125" customWidth="1"/>
    <col min="260" max="260" width="19.81640625" customWidth="1"/>
    <col min="261" max="261" width="6.81640625" customWidth="1"/>
    <col min="262" max="262" width="9.1796875" customWidth="1"/>
    <col min="263" max="263" width="20" customWidth="1"/>
    <col min="264" max="264" width="19.26953125" customWidth="1"/>
    <col min="265" max="265" width="12" bestFit="1" customWidth="1"/>
    <col min="266" max="266" width="10.7265625" bestFit="1" customWidth="1"/>
    <col min="267" max="267" width="18.7265625" bestFit="1" customWidth="1"/>
    <col min="511" max="511" width="18.81640625" customWidth="1"/>
    <col min="512" max="512" width="12.7265625" customWidth="1"/>
    <col min="513" max="513" width="16.26953125" customWidth="1"/>
    <col min="514" max="514" width="16.54296875" customWidth="1"/>
    <col min="515" max="515" width="17.453125" customWidth="1"/>
    <col min="516" max="516" width="19.81640625" customWidth="1"/>
    <col min="517" max="517" width="6.81640625" customWidth="1"/>
    <col min="518" max="518" width="9.1796875" customWidth="1"/>
    <col min="519" max="519" width="20" customWidth="1"/>
    <col min="520" max="520" width="19.26953125" customWidth="1"/>
    <col min="521" max="521" width="12" bestFit="1" customWidth="1"/>
    <col min="522" max="522" width="10.7265625" bestFit="1" customWidth="1"/>
    <col min="523" max="523" width="18.7265625" bestFit="1" customWidth="1"/>
    <col min="767" max="767" width="18.81640625" customWidth="1"/>
    <col min="768" max="768" width="12.7265625" customWidth="1"/>
    <col min="769" max="769" width="16.26953125" customWidth="1"/>
    <col min="770" max="770" width="16.54296875" customWidth="1"/>
    <col min="771" max="771" width="17.453125" customWidth="1"/>
    <col min="772" max="772" width="19.81640625" customWidth="1"/>
    <col min="773" max="773" width="6.81640625" customWidth="1"/>
    <col min="774" max="774" width="9.1796875" customWidth="1"/>
    <col min="775" max="775" width="20" customWidth="1"/>
    <col min="776" max="776" width="19.26953125" customWidth="1"/>
    <col min="777" max="777" width="12" bestFit="1" customWidth="1"/>
    <col min="778" max="778" width="10.7265625" bestFit="1" customWidth="1"/>
    <col min="779" max="779" width="18.7265625" bestFit="1" customWidth="1"/>
    <col min="1023" max="1023" width="18.81640625" customWidth="1"/>
    <col min="1024" max="1024" width="12.7265625" customWidth="1"/>
    <col min="1025" max="1025" width="16.26953125" customWidth="1"/>
    <col min="1026" max="1026" width="16.54296875" customWidth="1"/>
    <col min="1027" max="1027" width="17.453125" customWidth="1"/>
    <col min="1028" max="1028" width="19.81640625" customWidth="1"/>
    <col min="1029" max="1029" width="6.81640625" customWidth="1"/>
    <col min="1030" max="1030" width="9.1796875" customWidth="1"/>
    <col min="1031" max="1031" width="20" customWidth="1"/>
    <col min="1032" max="1032" width="19.26953125" customWidth="1"/>
    <col min="1033" max="1033" width="12" bestFit="1" customWidth="1"/>
    <col min="1034" max="1034" width="10.7265625" bestFit="1" customWidth="1"/>
    <col min="1035" max="1035" width="18.7265625" bestFit="1" customWidth="1"/>
    <col min="1279" max="1279" width="18.81640625" customWidth="1"/>
    <col min="1280" max="1280" width="12.7265625" customWidth="1"/>
    <col min="1281" max="1281" width="16.26953125" customWidth="1"/>
    <col min="1282" max="1282" width="16.54296875" customWidth="1"/>
    <col min="1283" max="1283" width="17.453125" customWidth="1"/>
    <col min="1284" max="1284" width="19.81640625" customWidth="1"/>
    <col min="1285" max="1285" width="6.81640625" customWidth="1"/>
    <col min="1286" max="1286" width="9.1796875" customWidth="1"/>
    <col min="1287" max="1287" width="20" customWidth="1"/>
    <col min="1288" max="1288" width="19.26953125" customWidth="1"/>
    <col min="1289" max="1289" width="12" bestFit="1" customWidth="1"/>
    <col min="1290" max="1290" width="10.7265625" bestFit="1" customWidth="1"/>
    <col min="1291" max="1291" width="18.7265625" bestFit="1" customWidth="1"/>
    <col min="1535" max="1535" width="18.81640625" customWidth="1"/>
    <col min="1536" max="1536" width="12.7265625" customWidth="1"/>
    <col min="1537" max="1537" width="16.26953125" customWidth="1"/>
    <col min="1538" max="1538" width="16.54296875" customWidth="1"/>
    <col min="1539" max="1539" width="17.453125" customWidth="1"/>
    <col min="1540" max="1540" width="19.81640625" customWidth="1"/>
    <col min="1541" max="1541" width="6.81640625" customWidth="1"/>
    <col min="1542" max="1542" width="9.1796875" customWidth="1"/>
    <col min="1543" max="1543" width="20" customWidth="1"/>
    <col min="1544" max="1544" width="19.26953125" customWidth="1"/>
    <col min="1545" max="1545" width="12" bestFit="1" customWidth="1"/>
    <col min="1546" max="1546" width="10.7265625" bestFit="1" customWidth="1"/>
    <col min="1547" max="1547" width="18.7265625" bestFit="1" customWidth="1"/>
    <col min="1791" max="1791" width="18.81640625" customWidth="1"/>
    <col min="1792" max="1792" width="12.7265625" customWidth="1"/>
    <col min="1793" max="1793" width="16.26953125" customWidth="1"/>
    <col min="1794" max="1794" width="16.54296875" customWidth="1"/>
    <col min="1795" max="1795" width="17.453125" customWidth="1"/>
    <col min="1796" max="1796" width="19.81640625" customWidth="1"/>
    <col min="1797" max="1797" width="6.81640625" customWidth="1"/>
    <col min="1798" max="1798" width="9.1796875" customWidth="1"/>
    <col min="1799" max="1799" width="20" customWidth="1"/>
    <col min="1800" max="1800" width="19.26953125" customWidth="1"/>
    <col min="1801" max="1801" width="12" bestFit="1" customWidth="1"/>
    <col min="1802" max="1802" width="10.7265625" bestFit="1" customWidth="1"/>
    <col min="1803" max="1803" width="18.7265625" bestFit="1" customWidth="1"/>
    <col min="2047" max="2047" width="18.81640625" customWidth="1"/>
    <col min="2048" max="2048" width="12.7265625" customWidth="1"/>
    <col min="2049" max="2049" width="16.26953125" customWidth="1"/>
    <col min="2050" max="2050" width="16.54296875" customWidth="1"/>
    <col min="2051" max="2051" width="17.453125" customWidth="1"/>
    <col min="2052" max="2052" width="19.81640625" customWidth="1"/>
    <col min="2053" max="2053" width="6.81640625" customWidth="1"/>
    <col min="2054" max="2054" width="9.1796875" customWidth="1"/>
    <col min="2055" max="2055" width="20" customWidth="1"/>
    <col min="2056" max="2056" width="19.26953125" customWidth="1"/>
    <col min="2057" max="2057" width="12" bestFit="1" customWidth="1"/>
    <col min="2058" max="2058" width="10.7265625" bestFit="1" customWidth="1"/>
    <col min="2059" max="2059" width="18.7265625" bestFit="1" customWidth="1"/>
    <col min="2303" max="2303" width="18.81640625" customWidth="1"/>
    <col min="2304" max="2304" width="12.7265625" customWidth="1"/>
    <col min="2305" max="2305" width="16.26953125" customWidth="1"/>
    <col min="2306" max="2306" width="16.54296875" customWidth="1"/>
    <col min="2307" max="2307" width="17.453125" customWidth="1"/>
    <col min="2308" max="2308" width="19.81640625" customWidth="1"/>
    <col min="2309" max="2309" width="6.81640625" customWidth="1"/>
    <col min="2310" max="2310" width="9.1796875" customWidth="1"/>
    <col min="2311" max="2311" width="20" customWidth="1"/>
    <col min="2312" max="2312" width="19.26953125" customWidth="1"/>
    <col min="2313" max="2313" width="12" bestFit="1" customWidth="1"/>
    <col min="2314" max="2314" width="10.7265625" bestFit="1" customWidth="1"/>
    <col min="2315" max="2315" width="18.7265625" bestFit="1" customWidth="1"/>
    <col min="2559" max="2559" width="18.81640625" customWidth="1"/>
    <col min="2560" max="2560" width="12.7265625" customWidth="1"/>
    <col min="2561" max="2561" width="16.26953125" customWidth="1"/>
    <col min="2562" max="2562" width="16.54296875" customWidth="1"/>
    <col min="2563" max="2563" width="17.453125" customWidth="1"/>
    <col min="2564" max="2564" width="19.81640625" customWidth="1"/>
    <col min="2565" max="2565" width="6.81640625" customWidth="1"/>
    <col min="2566" max="2566" width="9.1796875" customWidth="1"/>
    <col min="2567" max="2567" width="20" customWidth="1"/>
    <col min="2568" max="2568" width="19.26953125" customWidth="1"/>
    <col min="2569" max="2569" width="12" bestFit="1" customWidth="1"/>
    <col min="2570" max="2570" width="10.7265625" bestFit="1" customWidth="1"/>
    <col min="2571" max="2571" width="18.7265625" bestFit="1" customWidth="1"/>
    <col min="2815" max="2815" width="18.81640625" customWidth="1"/>
    <col min="2816" max="2816" width="12.7265625" customWidth="1"/>
    <col min="2817" max="2817" width="16.26953125" customWidth="1"/>
    <col min="2818" max="2818" width="16.54296875" customWidth="1"/>
    <col min="2819" max="2819" width="17.453125" customWidth="1"/>
    <col min="2820" max="2820" width="19.81640625" customWidth="1"/>
    <col min="2821" max="2821" width="6.81640625" customWidth="1"/>
    <col min="2822" max="2822" width="9.1796875" customWidth="1"/>
    <col min="2823" max="2823" width="20" customWidth="1"/>
    <col min="2824" max="2824" width="19.26953125" customWidth="1"/>
    <col min="2825" max="2825" width="12" bestFit="1" customWidth="1"/>
    <col min="2826" max="2826" width="10.7265625" bestFit="1" customWidth="1"/>
    <col min="2827" max="2827" width="18.7265625" bestFit="1" customWidth="1"/>
    <col min="3071" max="3071" width="18.81640625" customWidth="1"/>
    <col min="3072" max="3072" width="12.7265625" customWidth="1"/>
    <col min="3073" max="3073" width="16.26953125" customWidth="1"/>
    <col min="3074" max="3074" width="16.54296875" customWidth="1"/>
    <col min="3075" max="3075" width="17.453125" customWidth="1"/>
    <col min="3076" max="3076" width="19.81640625" customWidth="1"/>
    <col min="3077" max="3077" width="6.81640625" customWidth="1"/>
    <col min="3078" max="3078" width="9.1796875" customWidth="1"/>
    <col min="3079" max="3079" width="20" customWidth="1"/>
    <col min="3080" max="3080" width="19.26953125" customWidth="1"/>
    <col min="3081" max="3081" width="12" bestFit="1" customWidth="1"/>
    <col min="3082" max="3082" width="10.7265625" bestFit="1" customWidth="1"/>
    <col min="3083" max="3083" width="18.7265625" bestFit="1" customWidth="1"/>
    <col min="3327" max="3327" width="18.81640625" customWidth="1"/>
    <col min="3328" max="3328" width="12.7265625" customWidth="1"/>
    <col min="3329" max="3329" width="16.26953125" customWidth="1"/>
    <col min="3330" max="3330" width="16.54296875" customWidth="1"/>
    <col min="3331" max="3331" width="17.453125" customWidth="1"/>
    <col min="3332" max="3332" width="19.81640625" customWidth="1"/>
    <col min="3333" max="3333" width="6.81640625" customWidth="1"/>
    <col min="3334" max="3334" width="9.1796875" customWidth="1"/>
    <col min="3335" max="3335" width="20" customWidth="1"/>
    <col min="3336" max="3336" width="19.26953125" customWidth="1"/>
    <col min="3337" max="3337" width="12" bestFit="1" customWidth="1"/>
    <col min="3338" max="3338" width="10.7265625" bestFit="1" customWidth="1"/>
    <col min="3339" max="3339" width="18.7265625" bestFit="1" customWidth="1"/>
    <col min="3583" max="3583" width="18.81640625" customWidth="1"/>
    <col min="3584" max="3584" width="12.7265625" customWidth="1"/>
    <col min="3585" max="3585" width="16.26953125" customWidth="1"/>
    <col min="3586" max="3586" width="16.54296875" customWidth="1"/>
    <col min="3587" max="3587" width="17.453125" customWidth="1"/>
    <col min="3588" max="3588" width="19.81640625" customWidth="1"/>
    <col min="3589" max="3589" width="6.81640625" customWidth="1"/>
    <col min="3590" max="3590" width="9.1796875" customWidth="1"/>
    <col min="3591" max="3591" width="20" customWidth="1"/>
    <col min="3592" max="3592" width="19.26953125" customWidth="1"/>
    <col min="3593" max="3593" width="12" bestFit="1" customWidth="1"/>
    <col min="3594" max="3594" width="10.7265625" bestFit="1" customWidth="1"/>
    <col min="3595" max="3595" width="18.7265625" bestFit="1" customWidth="1"/>
    <col min="3839" max="3839" width="18.81640625" customWidth="1"/>
    <col min="3840" max="3840" width="12.7265625" customWidth="1"/>
    <col min="3841" max="3841" width="16.26953125" customWidth="1"/>
    <col min="3842" max="3842" width="16.54296875" customWidth="1"/>
    <col min="3843" max="3843" width="17.453125" customWidth="1"/>
    <col min="3844" max="3844" width="19.81640625" customWidth="1"/>
    <col min="3845" max="3845" width="6.81640625" customWidth="1"/>
    <col min="3846" max="3846" width="9.1796875" customWidth="1"/>
    <col min="3847" max="3847" width="20" customWidth="1"/>
    <col min="3848" max="3848" width="19.26953125" customWidth="1"/>
    <col min="3849" max="3849" width="12" bestFit="1" customWidth="1"/>
    <col min="3850" max="3850" width="10.7265625" bestFit="1" customWidth="1"/>
    <col min="3851" max="3851" width="18.7265625" bestFit="1" customWidth="1"/>
    <col min="4095" max="4095" width="18.81640625" customWidth="1"/>
    <col min="4096" max="4096" width="12.7265625" customWidth="1"/>
    <col min="4097" max="4097" width="16.26953125" customWidth="1"/>
    <col min="4098" max="4098" width="16.54296875" customWidth="1"/>
    <col min="4099" max="4099" width="17.453125" customWidth="1"/>
    <col min="4100" max="4100" width="19.81640625" customWidth="1"/>
    <col min="4101" max="4101" width="6.81640625" customWidth="1"/>
    <col min="4102" max="4102" width="9.1796875" customWidth="1"/>
    <col min="4103" max="4103" width="20" customWidth="1"/>
    <col min="4104" max="4104" width="19.26953125" customWidth="1"/>
    <col min="4105" max="4105" width="12" bestFit="1" customWidth="1"/>
    <col min="4106" max="4106" width="10.7265625" bestFit="1" customWidth="1"/>
    <col min="4107" max="4107" width="18.7265625" bestFit="1" customWidth="1"/>
    <col min="4351" max="4351" width="18.81640625" customWidth="1"/>
    <col min="4352" max="4352" width="12.7265625" customWidth="1"/>
    <col min="4353" max="4353" width="16.26953125" customWidth="1"/>
    <col min="4354" max="4354" width="16.54296875" customWidth="1"/>
    <col min="4355" max="4355" width="17.453125" customWidth="1"/>
    <col min="4356" max="4356" width="19.81640625" customWidth="1"/>
    <col min="4357" max="4357" width="6.81640625" customWidth="1"/>
    <col min="4358" max="4358" width="9.1796875" customWidth="1"/>
    <col min="4359" max="4359" width="20" customWidth="1"/>
    <col min="4360" max="4360" width="19.26953125" customWidth="1"/>
    <col min="4361" max="4361" width="12" bestFit="1" customWidth="1"/>
    <col min="4362" max="4362" width="10.7265625" bestFit="1" customWidth="1"/>
    <col min="4363" max="4363" width="18.7265625" bestFit="1" customWidth="1"/>
    <col min="4607" max="4607" width="18.81640625" customWidth="1"/>
    <col min="4608" max="4608" width="12.7265625" customWidth="1"/>
    <col min="4609" max="4609" width="16.26953125" customWidth="1"/>
    <col min="4610" max="4610" width="16.54296875" customWidth="1"/>
    <col min="4611" max="4611" width="17.453125" customWidth="1"/>
    <col min="4612" max="4612" width="19.81640625" customWidth="1"/>
    <col min="4613" max="4613" width="6.81640625" customWidth="1"/>
    <col min="4614" max="4614" width="9.1796875" customWidth="1"/>
    <col min="4615" max="4615" width="20" customWidth="1"/>
    <col min="4616" max="4616" width="19.26953125" customWidth="1"/>
    <col min="4617" max="4617" width="12" bestFit="1" customWidth="1"/>
    <col min="4618" max="4618" width="10.7265625" bestFit="1" customWidth="1"/>
    <col min="4619" max="4619" width="18.7265625" bestFit="1" customWidth="1"/>
    <col min="4863" max="4863" width="18.81640625" customWidth="1"/>
    <col min="4864" max="4864" width="12.7265625" customWidth="1"/>
    <col min="4865" max="4865" width="16.26953125" customWidth="1"/>
    <col min="4866" max="4866" width="16.54296875" customWidth="1"/>
    <col min="4867" max="4867" width="17.453125" customWidth="1"/>
    <col min="4868" max="4868" width="19.81640625" customWidth="1"/>
    <col min="4869" max="4869" width="6.81640625" customWidth="1"/>
    <col min="4870" max="4870" width="9.1796875" customWidth="1"/>
    <col min="4871" max="4871" width="20" customWidth="1"/>
    <col min="4872" max="4872" width="19.26953125" customWidth="1"/>
    <col min="4873" max="4873" width="12" bestFit="1" customWidth="1"/>
    <col min="4874" max="4874" width="10.7265625" bestFit="1" customWidth="1"/>
    <col min="4875" max="4875" width="18.7265625" bestFit="1" customWidth="1"/>
    <col min="5119" max="5119" width="18.81640625" customWidth="1"/>
    <col min="5120" max="5120" width="12.7265625" customWidth="1"/>
    <col min="5121" max="5121" width="16.26953125" customWidth="1"/>
    <col min="5122" max="5122" width="16.54296875" customWidth="1"/>
    <col min="5123" max="5123" width="17.453125" customWidth="1"/>
    <col min="5124" max="5124" width="19.81640625" customWidth="1"/>
    <col min="5125" max="5125" width="6.81640625" customWidth="1"/>
    <col min="5126" max="5126" width="9.1796875" customWidth="1"/>
    <col min="5127" max="5127" width="20" customWidth="1"/>
    <col min="5128" max="5128" width="19.26953125" customWidth="1"/>
    <col min="5129" max="5129" width="12" bestFit="1" customWidth="1"/>
    <col min="5130" max="5130" width="10.7265625" bestFit="1" customWidth="1"/>
    <col min="5131" max="5131" width="18.7265625" bestFit="1" customWidth="1"/>
    <col min="5375" max="5375" width="18.81640625" customWidth="1"/>
    <col min="5376" max="5376" width="12.7265625" customWidth="1"/>
    <col min="5377" max="5377" width="16.26953125" customWidth="1"/>
    <col min="5378" max="5378" width="16.54296875" customWidth="1"/>
    <col min="5379" max="5379" width="17.453125" customWidth="1"/>
    <col min="5380" max="5380" width="19.81640625" customWidth="1"/>
    <col min="5381" max="5381" width="6.81640625" customWidth="1"/>
    <col min="5382" max="5382" width="9.1796875" customWidth="1"/>
    <col min="5383" max="5383" width="20" customWidth="1"/>
    <col min="5384" max="5384" width="19.26953125" customWidth="1"/>
    <col min="5385" max="5385" width="12" bestFit="1" customWidth="1"/>
    <col min="5386" max="5386" width="10.7265625" bestFit="1" customWidth="1"/>
    <col min="5387" max="5387" width="18.7265625" bestFit="1" customWidth="1"/>
    <col min="5631" max="5631" width="18.81640625" customWidth="1"/>
    <col min="5632" max="5632" width="12.7265625" customWidth="1"/>
    <col min="5633" max="5633" width="16.26953125" customWidth="1"/>
    <col min="5634" max="5634" width="16.54296875" customWidth="1"/>
    <col min="5635" max="5635" width="17.453125" customWidth="1"/>
    <col min="5636" max="5636" width="19.81640625" customWidth="1"/>
    <col min="5637" max="5637" width="6.81640625" customWidth="1"/>
    <col min="5638" max="5638" width="9.1796875" customWidth="1"/>
    <col min="5639" max="5639" width="20" customWidth="1"/>
    <col min="5640" max="5640" width="19.26953125" customWidth="1"/>
    <col min="5641" max="5641" width="12" bestFit="1" customWidth="1"/>
    <col min="5642" max="5642" width="10.7265625" bestFit="1" customWidth="1"/>
    <col min="5643" max="5643" width="18.7265625" bestFit="1" customWidth="1"/>
    <col min="5887" max="5887" width="18.81640625" customWidth="1"/>
    <col min="5888" max="5888" width="12.7265625" customWidth="1"/>
    <col min="5889" max="5889" width="16.26953125" customWidth="1"/>
    <col min="5890" max="5890" width="16.54296875" customWidth="1"/>
    <col min="5891" max="5891" width="17.453125" customWidth="1"/>
    <col min="5892" max="5892" width="19.81640625" customWidth="1"/>
    <col min="5893" max="5893" width="6.81640625" customWidth="1"/>
    <col min="5894" max="5894" width="9.1796875" customWidth="1"/>
    <col min="5895" max="5895" width="20" customWidth="1"/>
    <col min="5896" max="5896" width="19.26953125" customWidth="1"/>
    <col min="5897" max="5897" width="12" bestFit="1" customWidth="1"/>
    <col min="5898" max="5898" width="10.7265625" bestFit="1" customWidth="1"/>
    <col min="5899" max="5899" width="18.7265625" bestFit="1" customWidth="1"/>
    <col min="6143" max="6143" width="18.81640625" customWidth="1"/>
    <col min="6144" max="6144" width="12.7265625" customWidth="1"/>
    <col min="6145" max="6145" width="16.26953125" customWidth="1"/>
    <col min="6146" max="6146" width="16.54296875" customWidth="1"/>
    <col min="6147" max="6147" width="17.453125" customWidth="1"/>
    <col min="6148" max="6148" width="19.81640625" customWidth="1"/>
    <col min="6149" max="6149" width="6.81640625" customWidth="1"/>
    <col min="6150" max="6150" width="9.1796875" customWidth="1"/>
    <col min="6151" max="6151" width="20" customWidth="1"/>
    <col min="6152" max="6152" width="19.26953125" customWidth="1"/>
    <col min="6153" max="6153" width="12" bestFit="1" customWidth="1"/>
    <col min="6154" max="6154" width="10.7265625" bestFit="1" customWidth="1"/>
    <col min="6155" max="6155" width="18.7265625" bestFit="1" customWidth="1"/>
    <col min="6399" max="6399" width="18.81640625" customWidth="1"/>
    <col min="6400" max="6400" width="12.7265625" customWidth="1"/>
    <col min="6401" max="6401" width="16.26953125" customWidth="1"/>
    <col min="6402" max="6402" width="16.54296875" customWidth="1"/>
    <col min="6403" max="6403" width="17.453125" customWidth="1"/>
    <col min="6404" max="6404" width="19.81640625" customWidth="1"/>
    <col min="6405" max="6405" width="6.81640625" customWidth="1"/>
    <col min="6406" max="6406" width="9.1796875" customWidth="1"/>
    <col min="6407" max="6407" width="20" customWidth="1"/>
    <col min="6408" max="6408" width="19.26953125" customWidth="1"/>
    <col min="6409" max="6409" width="12" bestFit="1" customWidth="1"/>
    <col min="6410" max="6410" width="10.7265625" bestFit="1" customWidth="1"/>
    <col min="6411" max="6411" width="18.7265625" bestFit="1" customWidth="1"/>
    <col min="6655" max="6655" width="18.81640625" customWidth="1"/>
    <col min="6656" max="6656" width="12.7265625" customWidth="1"/>
    <col min="6657" max="6657" width="16.26953125" customWidth="1"/>
    <col min="6658" max="6658" width="16.54296875" customWidth="1"/>
    <col min="6659" max="6659" width="17.453125" customWidth="1"/>
    <col min="6660" max="6660" width="19.81640625" customWidth="1"/>
    <col min="6661" max="6661" width="6.81640625" customWidth="1"/>
    <col min="6662" max="6662" width="9.1796875" customWidth="1"/>
    <col min="6663" max="6663" width="20" customWidth="1"/>
    <col min="6664" max="6664" width="19.26953125" customWidth="1"/>
    <col min="6665" max="6665" width="12" bestFit="1" customWidth="1"/>
    <col min="6666" max="6666" width="10.7265625" bestFit="1" customWidth="1"/>
    <col min="6667" max="6667" width="18.7265625" bestFit="1" customWidth="1"/>
    <col min="6911" max="6911" width="18.81640625" customWidth="1"/>
    <col min="6912" max="6912" width="12.7265625" customWidth="1"/>
    <col min="6913" max="6913" width="16.26953125" customWidth="1"/>
    <col min="6914" max="6914" width="16.54296875" customWidth="1"/>
    <col min="6915" max="6915" width="17.453125" customWidth="1"/>
    <col min="6916" max="6916" width="19.81640625" customWidth="1"/>
    <col min="6917" max="6917" width="6.81640625" customWidth="1"/>
    <col min="6918" max="6918" width="9.1796875" customWidth="1"/>
    <col min="6919" max="6919" width="20" customWidth="1"/>
    <col min="6920" max="6920" width="19.26953125" customWidth="1"/>
    <col min="6921" max="6921" width="12" bestFit="1" customWidth="1"/>
    <col min="6922" max="6922" width="10.7265625" bestFit="1" customWidth="1"/>
    <col min="6923" max="6923" width="18.7265625" bestFit="1" customWidth="1"/>
    <col min="7167" max="7167" width="18.81640625" customWidth="1"/>
    <col min="7168" max="7168" width="12.7265625" customWidth="1"/>
    <col min="7169" max="7169" width="16.26953125" customWidth="1"/>
    <col min="7170" max="7170" width="16.54296875" customWidth="1"/>
    <col min="7171" max="7171" width="17.453125" customWidth="1"/>
    <col min="7172" max="7172" width="19.81640625" customWidth="1"/>
    <col min="7173" max="7173" width="6.81640625" customWidth="1"/>
    <col min="7174" max="7174" width="9.1796875" customWidth="1"/>
    <col min="7175" max="7175" width="20" customWidth="1"/>
    <col min="7176" max="7176" width="19.26953125" customWidth="1"/>
    <col min="7177" max="7177" width="12" bestFit="1" customWidth="1"/>
    <col min="7178" max="7178" width="10.7265625" bestFit="1" customWidth="1"/>
    <col min="7179" max="7179" width="18.7265625" bestFit="1" customWidth="1"/>
    <col min="7423" max="7423" width="18.81640625" customWidth="1"/>
    <col min="7424" max="7424" width="12.7265625" customWidth="1"/>
    <col min="7425" max="7425" width="16.26953125" customWidth="1"/>
    <col min="7426" max="7426" width="16.54296875" customWidth="1"/>
    <col min="7427" max="7427" width="17.453125" customWidth="1"/>
    <col min="7428" max="7428" width="19.81640625" customWidth="1"/>
    <col min="7429" max="7429" width="6.81640625" customWidth="1"/>
    <col min="7430" max="7430" width="9.1796875" customWidth="1"/>
    <col min="7431" max="7431" width="20" customWidth="1"/>
    <col min="7432" max="7432" width="19.26953125" customWidth="1"/>
    <col min="7433" max="7433" width="12" bestFit="1" customWidth="1"/>
    <col min="7434" max="7434" width="10.7265625" bestFit="1" customWidth="1"/>
    <col min="7435" max="7435" width="18.7265625" bestFit="1" customWidth="1"/>
    <col min="7679" max="7679" width="18.81640625" customWidth="1"/>
    <col min="7680" max="7680" width="12.7265625" customWidth="1"/>
    <col min="7681" max="7681" width="16.26953125" customWidth="1"/>
    <col min="7682" max="7682" width="16.54296875" customWidth="1"/>
    <col min="7683" max="7683" width="17.453125" customWidth="1"/>
    <col min="7684" max="7684" width="19.81640625" customWidth="1"/>
    <col min="7685" max="7685" width="6.81640625" customWidth="1"/>
    <col min="7686" max="7686" width="9.1796875" customWidth="1"/>
    <col min="7687" max="7687" width="20" customWidth="1"/>
    <col min="7688" max="7688" width="19.26953125" customWidth="1"/>
    <col min="7689" max="7689" width="12" bestFit="1" customWidth="1"/>
    <col min="7690" max="7690" width="10.7265625" bestFit="1" customWidth="1"/>
    <col min="7691" max="7691" width="18.7265625" bestFit="1" customWidth="1"/>
    <col min="7935" max="7935" width="18.81640625" customWidth="1"/>
    <col min="7936" max="7936" width="12.7265625" customWidth="1"/>
    <col min="7937" max="7937" width="16.26953125" customWidth="1"/>
    <col min="7938" max="7938" width="16.54296875" customWidth="1"/>
    <col min="7939" max="7939" width="17.453125" customWidth="1"/>
    <col min="7940" max="7940" width="19.81640625" customWidth="1"/>
    <col min="7941" max="7941" width="6.81640625" customWidth="1"/>
    <col min="7942" max="7942" width="9.1796875" customWidth="1"/>
    <col min="7943" max="7943" width="20" customWidth="1"/>
    <col min="7944" max="7944" width="19.26953125" customWidth="1"/>
    <col min="7945" max="7945" width="12" bestFit="1" customWidth="1"/>
    <col min="7946" max="7946" width="10.7265625" bestFit="1" customWidth="1"/>
    <col min="7947" max="7947" width="18.7265625" bestFit="1" customWidth="1"/>
    <col min="8191" max="8191" width="18.81640625" customWidth="1"/>
    <col min="8192" max="8192" width="12.7265625" customWidth="1"/>
    <col min="8193" max="8193" width="16.26953125" customWidth="1"/>
    <col min="8194" max="8194" width="16.54296875" customWidth="1"/>
    <col min="8195" max="8195" width="17.453125" customWidth="1"/>
    <col min="8196" max="8196" width="19.81640625" customWidth="1"/>
    <col min="8197" max="8197" width="6.81640625" customWidth="1"/>
    <col min="8198" max="8198" width="9.1796875" customWidth="1"/>
    <col min="8199" max="8199" width="20" customWidth="1"/>
    <col min="8200" max="8200" width="19.26953125" customWidth="1"/>
    <col min="8201" max="8201" width="12" bestFit="1" customWidth="1"/>
    <col min="8202" max="8202" width="10.7265625" bestFit="1" customWidth="1"/>
    <col min="8203" max="8203" width="18.7265625" bestFit="1" customWidth="1"/>
    <col min="8447" max="8447" width="18.81640625" customWidth="1"/>
    <col min="8448" max="8448" width="12.7265625" customWidth="1"/>
    <col min="8449" max="8449" width="16.26953125" customWidth="1"/>
    <col min="8450" max="8450" width="16.54296875" customWidth="1"/>
    <col min="8451" max="8451" width="17.453125" customWidth="1"/>
    <col min="8452" max="8452" width="19.81640625" customWidth="1"/>
    <col min="8453" max="8453" width="6.81640625" customWidth="1"/>
    <col min="8454" max="8454" width="9.1796875" customWidth="1"/>
    <col min="8455" max="8455" width="20" customWidth="1"/>
    <col min="8456" max="8456" width="19.26953125" customWidth="1"/>
    <col min="8457" max="8457" width="12" bestFit="1" customWidth="1"/>
    <col min="8458" max="8458" width="10.7265625" bestFit="1" customWidth="1"/>
    <col min="8459" max="8459" width="18.7265625" bestFit="1" customWidth="1"/>
    <col min="8703" max="8703" width="18.81640625" customWidth="1"/>
    <col min="8704" max="8704" width="12.7265625" customWidth="1"/>
    <col min="8705" max="8705" width="16.26953125" customWidth="1"/>
    <col min="8706" max="8706" width="16.54296875" customWidth="1"/>
    <col min="8707" max="8707" width="17.453125" customWidth="1"/>
    <col min="8708" max="8708" width="19.81640625" customWidth="1"/>
    <col min="8709" max="8709" width="6.81640625" customWidth="1"/>
    <col min="8710" max="8710" width="9.1796875" customWidth="1"/>
    <col min="8711" max="8711" width="20" customWidth="1"/>
    <col min="8712" max="8712" width="19.26953125" customWidth="1"/>
    <col min="8713" max="8713" width="12" bestFit="1" customWidth="1"/>
    <col min="8714" max="8714" width="10.7265625" bestFit="1" customWidth="1"/>
    <col min="8715" max="8715" width="18.7265625" bestFit="1" customWidth="1"/>
    <col min="8959" max="8959" width="18.81640625" customWidth="1"/>
    <col min="8960" max="8960" width="12.7265625" customWidth="1"/>
    <col min="8961" max="8961" width="16.26953125" customWidth="1"/>
    <col min="8962" max="8962" width="16.54296875" customWidth="1"/>
    <col min="8963" max="8963" width="17.453125" customWidth="1"/>
    <col min="8964" max="8964" width="19.81640625" customWidth="1"/>
    <col min="8965" max="8965" width="6.81640625" customWidth="1"/>
    <col min="8966" max="8966" width="9.1796875" customWidth="1"/>
    <col min="8967" max="8967" width="20" customWidth="1"/>
    <col min="8968" max="8968" width="19.26953125" customWidth="1"/>
    <col min="8969" max="8969" width="12" bestFit="1" customWidth="1"/>
    <col min="8970" max="8970" width="10.7265625" bestFit="1" customWidth="1"/>
    <col min="8971" max="8971" width="18.7265625" bestFit="1" customWidth="1"/>
    <col min="9215" max="9215" width="18.81640625" customWidth="1"/>
    <col min="9216" max="9216" width="12.7265625" customWidth="1"/>
    <col min="9217" max="9217" width="16.26953125" customWidth="1"/>
    <col min="9218" max="9218" width="16.54296875" customWidth="1"/>
    <col min="9219" max="9219" width="17.453125" customWidth="1"/>
    <col min="9220" max="9220" width="19.81640625" customWidth="1"/>
    <col min="9221" max="9221" width="6.81640625" customWidth="1"/>
    <col min="9222" max="9222" width="9.1796875" customWidth="1"/>
    <col min="9223" max="9223" width="20" customWidth="1"/>
    <col min="9224" max="9224" width="19.26953125" customWidth="1"/>
    <col min="9225" max="9225" width="12" bestFit="1" customWidth="1"/>
    <col min="9226" max="9226" width="10.7265625" bestFit="1" customWidth="1"/>
    <col min="9227" max="9227" width="18.7265625" bestFit="1" customWidth="1"/>
    <col min="9471" max="9471" width="18.81640625" customWidth="1"/>
    <col min="9472" max="9472" width="12.7265625" customWidth="1"/>
    <col min="9473" max="9473" width="16.26953125" customWidth="1"/>
    <col min="9474" max="9474" width="16.54296875" customWidth="1"/>
    <col min="9475" max="9475" width="17.453125" customWidth="1"/>
    <col min="9476" max="9476" width="19.81640625" customWidth="1"/>
    <col min="9477" max="9477" width="6.81640625" customWidth="1"/>
    <col min="9478" max="9478" width="9.1796875" customWidth="1"/>
    <col min="9479" max="9479" width="20" customWidth="1"/>
    <col min="9480" max="9480" width="19.26953125" customWidth="1"/>
    <col min="9481" max="9481" width="12" bestFit="1" customWidth="1"/>
    <col min="9482" max="9482" width="10.7265625" bestFit="1" customWidth="1"/>
    <col min="9483" max="9483" width="18.7265625" bestFit="1" customWidth="1"/>
    <col min="9727" max="9727" width="18.81640625" customWidth="1"/>
    <col min="9728" max="9728" width="12.7265625" customWidth="1"/>
    <col min="9729" max="9729" width="16.26953125" customWidth="1"/>
    <col min="9730" max="9730" width="16.54296875" customWidth="1"/>
    <col min="9731" max="9731" width="17.453125" customWidth="1"/>
    <col min="9732" max="9732" width="19.81640625" customWidth="1"/>
    <col min="9733" max="9733" width="6.81640625" customWidth="1"/>
    <col min="9734" max="9734" width="9.1796875" customWidth="1"/>
    <col min="9735" max="9735" width="20" customWidth="1"/>
    <col min="9736" max="9736" width="19.26953125" customWidth="1"/>
    <col min="9737" max="9737" width="12" bestFit="1" customWidth="1"/>
    <col min="9738" max="9738" width="10.7265625" bestFit="1" customWidth="1"/>
    <col min="9739" max="9739" width="18.7265625" bestFit="1" customWidth="1"/>
    <col min="9983" max="9983" width="18.81640625" customWidth="1"/>
    <col min="9984" max="9984" width="12.7265625" customWidth="1"/>
    <col min="9985" max="9985" width="16.26953125" customWidth="1"/>
    <col min="9986" max="9986" width="16.54296875" customWidth="1"/>
    <col min="9987" max="9987" width="17.453125" customWidth="1"/>
    <col min="9988" max="9988" width="19.81640625" customWidth="1"/>
    <col min="9989" max="9989" width="6.81640625" customWidth="1"/>
    <col min="9990" max="9990" width="9.1796875" customWidth="1"/>
    <col min="9991" max="9991" width="20" customWidth="1"/>
    <col min="9992" max="9992" width="19.26953125" customWidth="1"/>
    <col min="9993" max="9993" width="12" bestFit="1" customWidth="1"/>
    <col min="9994" max="9994" width="10.7265625" bestFit="1" customWidth="1"/>
    <col min="9995" max="9995" width="18.7265625" bestFit="1" customWidth="1"/>
    <col min="10239" max="10239" width="18.81640625" customWidth="1"/>
    <col min="10240" max="10240" width="12.7265625" customWidth="1"/>
    <col min="10241" max="10241" width="16.26953125" customWidth="1"/>
    <col min="10242" max="10242" width="16.54296875" customWidth="1"/>
    <col min="10243" max="10243" width="17.453125" customWidth="1"/>
    <col min="10244" max="10244" width="19.81640625" customWidth="1"/>
    <col min="10245" max="10245" width="6.81640625" customWidth="1"/>
    <col min="10246" max="10246" width="9.1796875" customWidth="1"/>
    <col min="10247" max="10247" width="20" customWidth="1"/>
    <col min="10248" max="10248" width="19.26953125" customWidth="1"/>
    <col min="10249" max="10249" width="12" bestFit="1" customWidth="1"/>
    <col min="10250" max="10250" width="10.7265625" bestFit="1" customWidth="1"/>
    <col min="10251" max="10251" width="18.7265625" bestFit="1" customWidth="1"/>
    <col min="10495" max="10495" width="18.81640625" customWidth="1"/>
    <col min="10496" max="10496" width="12.7265625" customWidth="1"/>
    <col min="10497" max="10497" width="16.26953125" customWidth="1"/>
    <col min="10498" max="10498" width="16.54296875" customWidth="1"/>
    <col min="10499" max="10499" width="17.453125" customWidth="1"/>
    <col min="10500" max="10500" width="19.81640625" customWidth="1"/>
    <col min="10501" max="10501" width="6.81640625" customWidth="1"/>
    <col min="10502" max="10502" width="9.1796875" customWidth="1"/>
    <col min="10503" max="10503" width="20" customWidth="1"/>
    <col min="10504" max="10504" width="19.26953125" customWidth="1"/>
    <col min="10505" max="10505" width="12" bestFit="1" customWidth="1"/>
    <col min="10506" max="10506" width="10.7265625" bestFit="1" customWidth="1"/>
    <col min="10507" max="10507" width="18.7265625" bestFit="1" customWidth="1"/>
    <col min="10751" max="10751" width="18.81640625" customWidth="1"/>
    <col min="10752" max="10752" width="12.7265625" customWidth="1"/>
    <col min="10753" max="10753" width="16.26953125" customWidth="1"/>
    <col min="10754" max="10754" width="16.54296875" customWidth="1"/>
    <col min="10755" max="10755" width="17.453125" customWidth="1"/>
    <col min="10756" max="10756" width="19.81640625" customWidth="1"/>
    <col min="10757" max="10757" width="6.81640625" customWidth="1"/>
    <col min="10758" max="10758" width="9.1796875" customWidth="1"/>
    <col min="10759" max="10759" width="20" customWidth="1"/>
    <col min="10760" max="10760" width="19.26953125" customWidth="1"/>
    <col min="10761" max="10761" width="12" bestFit="1" customWidth="1"/>
    <col min="10762" max="10762" width="10.7265625" bestFit="1" customWidth="1"/>
    <col min="10763" max="10763" width="18.7265625" bestFit="1" customWidth="1"/>
    <col min="11007" max="11007" width="18.81640625" customWidth="1"/>
    <col min="11008" max="11008" width="12.7265625" customWidth="1"/>
    <col min="11009" max="11009" width="16.26953125" customWidth="1"/>
    <col min="11010" max="11010" width="16.54296875" customWidth="1"/>
    <col min="11011" max="11011" width="17.453125" customWidth="1"/>
    <col min="11012" max="11012" width="19.81640625" customWidth="1"/>
    <col min="11013" max="11013" width="6.81640625" customWidth="1"/>
    <col min="11014" max="11014" width="9.1796875" customWidth="1"/>
    <col min="11015" max="11015" width="20" customWidth="1"/>
    <col min="11016" max="11016" width="19.26953125" customWidth="1"/>
    <col min="11017" max="11017" width="12" bestFit="1" customWidth="1"/>
    <col min="11018" max="11018" width="10.7265625" bestFit="1" customWidth="1"/>
    <col min="11019" max="11019" width="18.7265625" bestFit="1" customWidth="1"/>
    <col min="11263" max="11263" width="18.81640625" customWidth="1"/>
    <col min="11264" max="11264" width="12.7265625" customWidth="1"/>
    <col min="11265" max="11265" width="16.26953125" customWidth="1"/>
    <col min="11266" max="11266" width="16.54296875" customWidth="1"/>
    <col min="11267" max="11267" width="17.453125" customWidth="1"/>
    <col min="11268" max="11268" width="19.81640625" customWidth="1"/>
    <col min="11269" max="11269" width="6.81640625" customWidth="1"/>
    <col min="11270" max="11270" width="9.1796875" customWidth="1"/>
    <col min="11271" max="11271" width="20" customWidth="1"/>
    <col min="11272" max="11272" width="19.26953125" customWidth="1"/>
    <col min="11273" max="11273" width="12" bestFit="1" customWidth="1"/>
    <col min="11274" max="11274" width="10.7265625" bestFit="1" customWidth="1"/>
    <col min="11275" max="11275" width="18.7265625" bestFit="1" customWidth="1"/>
    <col min="11519" max="11519" width="18.81640625" customWidth="1"/>
    <col min="11520" max="11520" width="12.7265625" customWidth="1"/>
    <col min="11521" max="11521" width="16.26953125" customWidth="1"/>
    <col min="11522" max="11522" width="16.54296875" customWidth="1"/>
    <col min="11523" max="11523" width="17.453125" customWidth="1"/>
    <col min="11524" max="11524" width="19.81640625" customWidth="1"/>
    <col min="11525" max="11525" width="6.81640625" customWidth="1"/>
    <col min="11526" max="11526" width="9.1796875" customWidth="1"/>
    <col min="11527" max="11527" width="20" customWidth="1"/>
    <col min="11528" max="11528" width="19.26953125" customWidth="1"/>
    <col min="11529" max="11529" width="12" bestFit="1" customWidth="1"/>
    <col min="11530" max="11530" width="10.7265625" bestFit="1" customWidth="1"/>
    <col min="11531" max="11531" width="18.7265625" bestFit="1" customWidth="1"/>
    <col min="11775" max="11775" width="18.81640625" customWidth="1"/>
    <col min="11776" max="11776" width="12.7265625" customWidth="1"/>
    <col min="11777" max="11777" width="16.26953125" customWidth="1"/>
    <col min="11778" max="11778" width="16.54296875" customWidth="1"/>
    <col min="11779" max="11779" width="17.453125" customWidth="1"/>
    <col min="11780" max="11780" width="19.81640625" customWidth="1"/>
    <col min="11781" max="11781" width="6.81640625" customWidth="1"/>
    <col min="11782" max="11782" width="9.1796875" customWidth="1"/>
    <col min="11783" max="11783" width="20" customWidth="1"/>
    <col min="11784" max="11784" width="19.26953125" customWidth="1"/>
    <col min="11785" max="11785" width="12" bestFit="1" customWidth="1"/>
    <col min="11786" max="11786" width="10.7265625" bestFit="1" customWidth="1"/>
    <col min="11787" max="11787" width="18.7265625" bestFit="1" customWidth="1"/>
    <col min="12031" max="12031" width="18.81640625" customWidth="1"/>
    <col min="12032" max="12032" width="12.7265625" customWidth="1"/>
    <col min="12033" max="12033" width="16.26953125" customWidth="1"/>
    <col min="12034" max="12034" width="16.54296875" customWidth="1"/>
    <col min="12035" max="12035" width="17.453125" customWidth="1"/>
    <col min="12036" max="12036" width="19.81640625" customWidth="1"/>
    <col min="12037" max="12037" width="6.81640625" customWidth="1"/>
    <col min="12038" max="12038" width="9.1796875" customWidth="1"/>
    <col min="12039" max="12039" width="20" customWidth="1"/>
    <col min="12040" max="12040" width="19.26953125" customWidth="1"/>
    <col min="12041" max="12041" width="12" bestFit="1" customWidth="1"/>
    <col min="12042" max="12042" width="10.7265625" bestFit="1" customWidth="1"/>
    <col min="12043" max="12043" width="18.7265625" bestFit="1" customWidth="1"/>
    <col min="12287" max="12287" width="18.81640625" customWidth="1"/>
    <col min="12288" max="12288" width="12.7265625" customWidth="1"/>
    <col min="12289" max="12289" width="16.26953125" customWidth="1"/>
    <col min="12290" max="12290" width="16.54296875" customWidth="1"/>
    <col min="12291" max="12291" width="17.453125" customWidth="1"/>
    <col min="12292" max="12292" width="19.81640625" customWidth="1"/>
    <col min="12293" max="12293" width="6.81640625" customWidth="1"/>
    <col min="12294" max="12294" width="9.1796875" customWidth="1"/>
    <col min="12295" max="12295" width="20" customWidth="1"/>
    <col min="12296" max="12296" width="19.26953125" customWidth="1"/>
    <col min="12297" max="12297" width="12" bestFit="1" customWidth="1"/>
    <col min="12298" max="12298" width="10.7265625" bestFit="1" customWidth="1"/>
    <col min="12299" max="12299" width="18.7265625" bestFit="1" customWidth="1"/>
    <col min="12543" max="12543" width="18.81640625" customWidth="1"/>
    <col min="12544" max="12544" width="12.7265625" customWidth="1"/>
    <col min="12545" max="12545" width="16.26953125" customWidth="1"/>
    <col min="12546" max="12546" width="16.54296875" customWidth="1"/>
    <col min="12547" max="12547" width="17.453125" customWidth="1"/>
    <col min="12548" max="12548" width="19.81640625" customWidth="1"/>
    <col min="12549" max="12549" width="6.81640625" customWidth="1"/>
    <col min="12550" max="12550" width="9.1796875" customWidth="1"/>
    <col min="12551" max="12551" width="20" customWidth="1"/>
    <col min="12552" max="12552" width="19.26953125" customWidth="1"/>
    <col min="12553" max="12553" width="12" bestFit="1" customWidth="1"/>
    <col min="12554" max="12554" width="10.7265625" bestFit="1" customWidth="1"/>
    <col min="12555" max="12555" width="18.7265625" bestFit="1" customWidth="1"/>
    <col min="12799" max="12799" width="18.81640625" customWidth="1"/>
    <col min="12800" max="12800" width="12.7265625" customWidth="1"/>
    <col min="12801" max="12801" width="16.26953125" customWidth="1"/>
    <col min="12802" max="12802" width="16.54296875" customWidth="1"/>
    <col min="12803" max="12803" width="17.453125" customWidth="1"/>
    <col min="12804" max="12804" width="19.81640625" customWidth="1"/>
    <col min="12805" max="12805" width="6.81640625" customWidth="1"/>
    <col min="12806" max="12806" width="9.1796875" customWidth="1"/>
    <col min="12807" max="12807" width="20" customWidth="1"/>
    <col min="12808" max="12808" width="19.26953125" customWidth="1"/>
    <col min="12809" max="12809" width="12" bestFit="1" customWidth="1"/>
    <col min="12810" max="12810" width="10.7265625" bestFit="1" customWidth="1"/>
    <col min="12811" max="12811" width="18.7265625" bestFit="1" customWidth="1"/>
    <col min="13055" max="13055" width="18.81640625" customWidth="1"/>
    <col min="13056" max="13056" width="12.7265625" customWidth="1"/>
    <col min="13057" max="13057" width="16.26953125" customWidth="1"/>
    <col min="13058" max="13058" width="16.54296875" customWidth="1"/>
    <col min="13059" max="13059" width="17.453125" customWidth="1"/>
    <col min="13060" max="13060" width="19.81640625" customWidth="1"/>
    <col min="13061" max="13061" width="6.81640625" customWidth="1"/>
    <col min="13062" max="13062" width="9.1796875" customWidth="1"/>
    <col min="13063" max="13063" width="20" customWidth="1"/>
    <col min="13064" max="13064" width="19.26953125" customWidth="1"/>
    <col min="13065" max="13065" width="12" bestFit="1" customWidth="1"/>
    <col min="13066" max="13066" width="10.7265625" bestFit="1" customWidth="1"/>
    <col min="13067" max="13067" width="18.7265625" bestFit="1" customWidth="1"/>
    <col min="13311" max="13311" width="18.81640625" customWidth="1"/>
    <col min="13312" max="13312" width="12.7265625" customWidth="1"/>
    <col min="13313" max="13313" width="16.26953125" customWidth="1"/>
    <col min="13314" max="13314" width="16.54296875" customWidth="1"/>
    <col min="13315" max="13315" width="17.453125" customWidth="1"/>
    <col min="13316" max="13316" width="19.81640625" customWidth="1"/>
    <col min="13317" max="13317" width="6.81640625" customWidth="1"/>
    <col min="13318" max="13318" width="9.1796875" customWidth="1"/>
    <col min="13319" max="13319" width="20" customWidth="1"/>
    <col min="13320" max="13320" width="19.26953125" customWidth="1"/>
    <col min="13321" max="13321" width="12" bestFit="1" customWidth="1"/>
    <col min="13322" max="13322" width="10.7265625" bestFit="1" customWidth="1"/>
    <col min="13323" max="13323" width="18.7265625" bestFit="1" customWidth="1"/>
    <col min="13567" max="13567" width="18.81640625" customWidth="1"/>
    <col min="13568" max="13568" width="12.7265625" customWidth="1"/>
    <col min="13569" max="13569" width="16.26953125" customWidth="1"/>
    <col min="13570" max="13570" width="16.54296875" customWidth="1"/>
    <col min="13571" max="13571" width="17.453125" customWidth="1"/>
    <col min="13572" max="13572" width="19.81640625" customWidth="1"/>
    <col min="13573" max="13573" width="6.81640625" customWidth="1"/>
    <col min="13574" max="13574" width="9.1796875" customWidth="1"/>
    <col min="13575" max="13575" width="20" customWidth="1"/>
    <col min="13576" max="13576" width="19.26953125" customWidth="1"/>
    <col min="13577" max="13577" width="12" bestFit="1" customWidth="1"/>
    <col min="13578" max="13578" width="10.7265625" bestFit="1" customWidth="1"/>
    <col min="13579" max="13579" width="18.7265625" bestFit="1" customWidth="1"/>
    <col min="13823" max="13823" width="18.81640625" customWidth="1"/>
    <col min="13824" max="13824" width="12.7265625" customWidth="1"/>
    <col min="13825" max="13825" width="16.26953125" customWidth="1"/>
    <col min="13826" max="13826" width="16.54296875" customWidth="1"/>
    <col min="13827" max="13827" width="17.453125" customWidth="1"/>
    <col min="13828" max="13828" width="19.81640625" customWidth="1"/>
    <col min="13829" max="13829" width="6.81640625" customWidth="1"/>
    <col min="13830" max="13830" width="9.1796875" customWidth="1"/>
    <col min="13831" max="13831" width="20" customWidth="1"/>
    <col min="13832" max="13832" width="19.26953125" customWidth="1"/>
    <col min="13833" max="13833" width="12" bestFit="1" customWidth="1"/>
    <col min="13834" max="13834" width="10.7265625" bestFit="1" customWidth="1"/>
    <col min="13835" max="13835" width="18.7265625" bestFit="1" customWidth="1"/>
    <col min="14079" max="14079" width="18.81640625" customWidth="1"/>
    <col min="14080" max="14080" width="12.7265625" customWidth="1"/>
    <col min="14081" max="14081" width="16.26953125" customWidth="1"/>
    <col min="14082" max="14082" width="16.54296875" customWidth="1"/>
    <col min="14083" max="14083" width="17.453125" customWidth="1"/>
    <col min="14084" max="14084" width="19.81640625" customWidth="1"/>
    <col min="14085" max="14085" width="6.81640625" customWidth="1"/>
    <col min="14086" max="14086" width="9.1796875" customWidth="1"/>
    <col min="14087" max="14087" width="20" customWidth="1"/>
    <col min="14088" max="14088" width="19.26953125" customWidth="1"/>
    <col min="14089" max="14089" width="12" bestFit="1" customWidth="1"/>
    <col min="14090" max="14090" width="10.7265625" bestFit="1" customWidth="1"/>
    <col min="14091" max="14091" width="18.7265625" bestFit="1" customWidth="1"/>
    <col min="14335" max="14335" width="18.81640625" customWidth="1"/>
    <col min="14336" max="14336" width="12.7265625" customWidth="1"/>
    <col min="14337" max="14337" width="16.26953125" customWidth="1"/>
    <col min="14338" max="14338" width="16.54296875" customWidth="1"/>
    <col min="14339" max="14339" width="17.453125" customWidth="1"/>
    <col min="14340" max="14340" width="19.81640625" customWidth="1"/>
    <col min="14341" max="14341" width="6.81640625" customWidth="1"/>
    <col min="14342" max="14342" width="9.1796875" customWidth="1"/>
    <col min="14343" max="14343" width="20" customWidth="1"/>
    <col min="14344" max="14344" width="19.26953125" customWidth="1"/>
    <col min="14345" max="14345" width="12" bestFit="1" customWidth="1"/>
    <col min="14346" max="14346" width="10.7265625" bestFit="1" customWidth="1"/>
    <col min="14347" max="14347" width="18.7265625" bestFit="1" customWidth="1"/>
    <col min="14591" max="14591" width="18.81640625" customWidth="1"/>
    <col min="14592" max="14592" width="12.7265625" customWidth="1"/>
    <col min="14593" max="14593" width="16.26953125" customWidth="1"/>
    <col min="14594" max="14594" width="16.54296875" customWidth="1"/>
    <col min="14595" max="14595" width="17.453125" customWidth="1"/>
    <col min="14596" max="14596" width="19.81640625" customWidth="1"/>
    <col min="14597" max="14597" width="6.81640625" customWidth="1"/>
    <col min="14598" max="14598" width="9.1796875" customWidth="1"/>
    <col min="14599" max="14599" width="20" customWidth="1"/>
    <col min="14600" max="14600" width="19.26953125" customWidth="1"/>
    <col min="14601" max="14601" width="12" bestFit="1" customWidth="1"/>
    <col min="14602" max="14602" width="10.7265625" bestFit="1" customWidth="1"/>
    <col min="14603" max="14603" width="18.7265625" bestFit="1" customWidth="1"/>
    <col min="14847" max="14847" width="18.81640625" customWidth="1"/>
    <col min="14848" max="14848" width="12.7265625" customWidth="1"/>
    <col min="14849" max="14849" width="16.26953125" customWidth="1"/>
    <col min="14850" max="14850" width="16.54296875" customWidth="1"/>
    <col min="14851" max="14851" width="17.453125" customWidth="1"/>
    <col min="14852" max="14852" width="19.81640625" customWidth="1"/>
    <col min="14853" max="14853" width="6.81640625" customWidth="1"/>
    <col min="14854" max="14854" width="9.1796875" customWidth="1"/>
    <col min="14855" max="14855" width="20" customWidth="1"/>
    <col min="14856" max="14856" width="19.26953125" customWidth="1"/>
    <col min="14857" max="14857" width="12" bestFit="1" customWidth="1"/>
    <col min="14858" max="14858" width="10.7265625" bestFit="1" customWidth="1"/>
    <col min="14859" max="14859" width="18.7265625" bestFit="1" customWidth="1"/>
    <col min="15103" max="15103" width="18.81640625" customWidth="1"/>
    <col min="15104" max="15104" width="12.7265625" customWidth="1"/>
    <col min="15105" max="15105" width="16.26953125" customWidth="1"/>
    <col min="15106" max="15106" width="16.54296875" customWidth="1"/>
    <col min="15107" max="15107" width="17.453125" customWidth="1"/>
    <col min="15108" max="15108" width="19.81640625" customWidth="1"/>
    <col min="15109" max="15109" width="6.81640625" customWidth="1"/>
    <col min="15110" max="15110" width="9.1796875" customWidth="1"/>
    <col min="15111" max="15111" width="20" customWidth="1"/>
    <col min="15112" max="15112" width="19.26953125" customWidth="1"/>
    <col min="15113" max="15113" width="12" bestFit="1" customWidth="1"/>
    <col min="15114" max="15114" width="10.7265625" bestFit="1" customWidth="1"/>
    <col min="15115" max="15115" width="18.7265625" bestFit="1" customWidth="1"/>
    <col min="15359" max="15359" width="18.81640625" customWidth="1"/>
    <col min="15360" max="15360" width="12.7265625" customWidth="1"/>
    <col min="15361" max="15361" width="16.26953125" customWidth="1"/>
    <col min="15362" max="15362" width="16.54296875" customWidth="1"/>
    <col min="15363" max="15363" width="17.453125" customWidth="1"/>
    <col min="15364" max="15364" width="19.81640625" customWidth="1"/>
    <col min="15365" max="15365" width="6.81640625" customWidth="1"/>
    <col min="15366" max="15366" width="9.1796875" customWidth="1"/>
    <col min="15367" max="15367" width="20" customWidth="1"/>
    <col min="15368" max="15368" width="19.26953125" customWidth="1"/>
    <col min="15369" max="15369" width="12" bestFit="1" customWidth="1"/>
    <col min="15370" max="15370" width="10.7265625" bestFit="1" customWidth="1"/>
    <col min="15371" max="15371" width="18.7265625" bestFit="1" customWidth="1"/>
    <col min="15615" max="15615" width="18.81640625" customWidth="1"/>
    <col min="15616" max="15616" width="12.7265625" customWidth="1"/>
    <col min="15617" max="15617" width="16.26953125" customWidth="1"/>
    <col min="15618" max="15618" width="16.54296875" customWidth="1"/>
    <col min="15619" max="15619" width="17.453125" customWidth="1"/>
    <col min="15620" max="15620" width="19.81640625" customWidth="1"/>
    <col min="15621" max="15621" width="6.81640625" customWidth="1"/>
    <col min="15622" max="15622" width="9.1796875" customWidth="1"/>
    <col min="15623" max="15623" width="20" customWidth="1"/>
    <col min="15624" max="15624" width="19.26953125" customWidth="1"/>
    <col min="15625" max="15625" width="12" bestFit="1" customWidth="1"/>
    <col min="15626" max="15626" width="10.7265625" bestFit="1" customWidth="1"/>
    <col min="15627" max="15627" width="18.7265625" bestFit="1" customWidth="1"/>
    <col min="15871" max="15871" width="18.81640625" customWidth="1"/>
    <col min="15872" max="15872" width="12.7265625" customWidth="1"/>
    <col min="15873" max="15873" width="16.26953125" customWidth="1"/>
    <col min="15874" max="15874" width="16.54296875" customWidth="1"/>
    <col min="15875" max="15875" width="17.453125" customWidth="1"/>
    <col min="15876" max="15876" width="19.81640625" customWidth="1"/>
    <col min="15877" max="15877" width="6.81640625" customWidth="1"/>
    <col min="15878" max="15878" width="9.1796875" customWidth="1"/>
    <col min="15879" max="15879" width="20" customWidth="1"/>
    <col min="15880" max="15880" width="19.26953125" customWidth="1"/>
    <col min="15881" max="15881" width="12" bestFit="1" customWidth="1"/>
    <col min="15882" max="15882" width="10.7265625" bestFit="1" customWidth="1"/>
    <col min="15883" max="15883" width="18.7265625" bestFit="1" customWidth="1"/>
    <col min="16127" max="16127" width="18.81640625" customWidth="1"/>
    <col min="16128" max="16128" width="12.7265625" customWidth="1"/>
    <col min="16129" max="16129" width="16.26953125" customWidth="1"/>
    <col min="16130" max="16130" width="16.54296875" customWidth="1"/>
    <col min="16131" max="16131" width="17.453125" customWidth="1"/>
    <col min="16132" max="16132" width="19.81640625" customWidth="1"/>
    <col min="16133" max="16133" width="6.81640625" customWidth="1"/>
    <col min="16134" max="16134" width="9.1796875" customWidth="1"/>
    <col min="16135" max="16135" width="20" customWidth="1"/>
    <col min="16136" max="16136" width="19.26953125" customWidth="1"/>
    <col min="16137" max="16137" width="12" bestFit="1" customWidth="1"/>
    <col min="16138" max="16138" width="10.7265625" bestFit="1" customWidth="1"/>
    <col min="16139" max="16139" width="18.7265625" bestFit="1" customWidth="1"/>
  </cols>
  <sheetData>
    <row r="1" spans="1:17" ht="17.5" x14ac:dyDescent="0.35">
      <c r="A1" s="247" t="s">
        <v>401</v>
      </c>
    </row>
    <row r="2" spans="1:17" x14ac:dyDescent="0.35">
      <c r="A2" t="s">
        <v>402</v>
      </c>
    </row>
    <row r="3" spans="1:17" x14ac:dyDescent="0.35">
      <c r="A3" t="s">
        <v>403</v>
      </c>
    </row>
    <row r="4" spans="1:17" x14ac:dyDescent="0.35">
      <c r="A4" t="s">
        <v>404</v>
      </c>
    </row>
    <row r="5" spans="1:17" x14ac:dyDescent="0.35">
      <c r="E5" s="11"/>
      <c r="F5" s="11"/>
      <c r="G5" s="11"/>
    </row>
    <row r="6" spans="1:17" ht="30.75" customHeight="1" x14ac:dyDescent="0.35">
      <c r="B6" s="223"/>
      <c r="C6" s="224" t="s">
        <v>405</v>
      </c>
      <c r="D6" s="224" t="s">
        <v>406</v>
      </c>
      <c r="E6" s="225" t="s">
        <v>407</v>
      </c>
      <c r="F6" s="226" t="s">
        <v>408</v>
      </c>
      <c r="G6" s="227"/>
      <c r="H6" s="227"/>
      <c r="I6" s="227"/>
      <c r="J6" s="228"/>
    </row>
    <row r="7" spans="1:17" x14ac:dyDescent="0.35">
      <c r="B7" s="229" t="s">
        <v>409</v>
      </c>
      <c r="C7" s="11">
        <v>3241</v>
      </c>
      <c r="D7" s="11">
        <v>3498</v>
      </c>
      <c r="E7" s="230">
        <v>3352</v>
      </c>
      <c r="F7" s="231">
        <f>P56</f>
        <v>8.2952676343382076E-2</v>
      </c>
      <c r="G7" s="232"/>
      <c r="H7" s="228" t="s">
        <v>410</v>
      </c>
      <c r="I7" s="228"/>
      <c r="J7" s="228"/>
    </row>
    <row r="8" spans="1:17" x14ac:dyDescent="0.35">
      <c r="B8" s="229" t="s">
        <v>411</v>
      </c>
      <c r="C8" s="11">
        <v>883</v>
      </c>
      <c r="D8" s="11">
        <v>895</v>
      </c>
      <c r="E8" s="230">
        <v>887</v>
      </c>
      <c r="F8" s="233" t="s">
        <v>412</v>
      </c>
      <c r="G8" s="234"/>
      <c r="H8" s="234"/>
      <c r="I8" s="234"/>
      <c r="J8" s="235"/>
    </row>
    <row r="9" spans="1:17" x14ac:dyDescent="0.35">
      <c r="B9" s="236" t="s">
        <v>413</v>
      </c>
      <c r="C9" s="74">
        <v>129</v>
      </c>
      <c r="D9" s="74">
        <v>142</v>
      </c>
      <c r="E9" s="237">
        <v>138</v>
      </c>
      <c r="F9" s="238">
        <f>N56</f>
        <v>0.31444042692970664</v>
      </c>
      <c r="G9" s="238"/>
      <c r="H9" s="235" t="s">
        <v>414</v>
      </c>
      <c r="I9" s="235"/>
      <c r="J9" s="235"/>
      <c r="P9" s="239" t="s">
        <v>415</v>
      </c>
      <c r="Q9" s="240" t="s">
        <v>416</v>
      </c>
    </row>
    <row r="10" spans="1:17" x14ac:dyDescent="0.35">
      <c r="P10" s="239"/>
      <c r="Q10" s="240"/>
    </row>
    <row r="11" spans="1:17" ht="29.25" customHeight="1" x14ac:dyDescent="0.35">
      <c r="A11" s="10" t="s">
        <v>417</v>
      </c>
      <c r="B11" s="10" t="s">
        <v>418</v>
      </c>
      <c r="C11" s="10" t="s">
        <v>419</v>
      </c>
      <c r="D11" s="10" t="s">
        <v>420</v>
      </c>
      <c r="E11" s="74"/>
      <c r="F11" s="10" t="s">
        <v>421</v>
      </c>
      <c r="G11" s="10" t="s">
        <v>422</v>
      </c>
      <c r="H11" s="10" t="s">
        <v>423</v>
      </c>
      <c r="I11" s="10" t="s">
        <v>424</v>
      </c>
      <c r="J11" s="10" t="s">
        <v>425</v>
      </c>
      <c r="K11" s="10" t="s">
        <v>426</v>
      </c>
      <c r="L11" s="10" t="s">
        <v>427</v>
      </c>
      <c r="M11" s="12" t="s">
        <v>428</v>
      </c>
      <c r="N11" s="10" t="s">
        <v>429</v>
      </c>
      <c r="O11" s="76" t="s">
        <v>430</v>
      </c>
      <c r="P11" s="241"/>
      <c r="Q11" s="9"/>
    </row>
    <row r="12" spans="1:17" x14ac:dyDescent="0.35">
      <c r="A12" t="s">
        <v>431</v>
      </c>
      <c r="B12">
        <v>33</v>
      </c>
      <c r="C12">
        <v>35.066000000000003</v>
      </c>
      <c r="D12">
        <v>35.268000000000001</v>
      </c>
      <c r="E12" t="s">
        <v>432</v>
      </c>
      <c r="F12">
        <v>1</v>
      </c>
      <c r="G12">
        <v>1.7557</v>
      </c>
      <c r="H12">
        <v>12.154999999999999</v>
      </c>
      <c r="I12">
        <f>H12-G12</f>
        <v>10.3993</v>
      </c>
      <c r="J12">
        <v>4.3353999999999999</v>
      </c>
      <c r="K12">
        <v>4.2521000000000004</v>
      </c>
      <c r="L12">
        <v>3.3881000000000001</v>
      </c>
      <c r="M12">
        <f>L12/K12</f>
        <v>0.79680628395381103</v>
      </c>
      <c r="N12">
        <f>1-M12</f>
        <v>0.20319371604618897</v>
      </c>
      <c r="O12">
        <f>(K12*N12)</f>
        <v>0.86400000000000021</v>
      </c>
      <c r="P12">
        <f>O12/I12</f>
        <v>8.3082515169290258E-2</v>
      </c>
      <c r="Q12">
        <f>B12/SUM(K12:K14)</f>
        <v>2.5021230134659711</v>
      </c>
    </row>
    <row r="13" spans="1:17" x14ac:dyDescent="0.35">
      <c r="E13" t="s">
        <v>433</v>
      </c>
      <c r="F13">
        <v>2</v>
      </c>
      <c r="G13">
        <v>1.7376</v>
      </c>
      <c r="H13">
        <v>13.3309</v>
      </c>
      <c r="I13">
        <f t="shared" ref="I13:I54" si="0">H13-G13</f>
        <v>11.593299999999999</v>
      </c>
      <c r="J13">
        <v>4.6302000000000003</v>
      </c>
      <c r="K13">
        <v>4.5823</v>
      </c>
      <c r="L13">
        <v>3.6236999999999999</v>
      </c>
      <c r="M13">
        <f>L13/K13</f>
        <v>0.79080374484429217</v>
      </c>
      <c r="N13">
        <f>1-M13</f>
        <v>0.20919625515570783</v>
      </c>
      <c r="O13">
        <f>(K13*N13)</f>
        <v>0.95860000000000001</v>
      </c>
      <c r="P13">
        <f>O13/I13</f>
        <v>8.2685689148042404E-2</v>
      </c>
    </row>
    <row r="14" spans="1:17" x14ac:dyDescent="0.35">
      <c r="E14" t="s">
        <v>434</v>
      </c>
      <c r="F14">
        <v>3</v>
      </c>
      <c r="G14">
        <v>1.7712000000000001</v>
      </c>
      <c r="H14">
        <v>13.529</v>
      </c>
      <c r="I14">
        <f t="shared" si="0"/>
        <v>11.7578</v>
      </c>
      <c r="J14">
        <v>4.4314</v>
      </c>
      <c r="K14">
        <v>4.3544</v>
      </c>
      <c r="L14">
        <v>3.3681999999999999</v>
      </c>
      <c r="M14">
        <f>L14/K14</f>
        <v>0.7735164431379753</v>
      </c>
      <c r="N14">
        <f>1-M14</f>
        <v>0.2264835568620247</v>
      </c>
      <c r="O14">
        <f>(K14*N14)</f>
        <v>0.98620000000000041</v>
      </c>
      <c r="P14">
        <f>O14/I14</f>
        <v>8.3876235350150583E-2</v>
      </c>
    </row>
    <row r="15" spans="1:17" x14ac:dyDescent="0.35">
      <c r="A15" s="242" t="s">
        <v>435</v>
      </c>
      <c r="B15" s="242"/>
      <c r="C15" s="242"/>
      <c r="D15" s="242"/>
      <c r="E15" s="242" t="s">
        <v>432</v>
      </c>
      <c r="F15" s="242">
        <v>4</v>
      </c>
      <c r="G15" s="242">
        <v>1.7615000000000001</v>
      </c>
      <c r="H15" s="242">
        <v>13.193899999999999</v>
      </c>
      <c r="I15" s="242">
        <f t="shared" si="0"/>
        <v>11.432399999999999</v>
      </c>
    </row>
    <row r="16" spans="1:17" x14ac:dyDescent="0.35">
      <c r="A16" s="242"/>
      <c r="B16" s="242"/>
      <c r="C16" s="242"/>
      <c r="D16" s="242"/>
      <c r="E16" s="242" t="s">
        <v>433</v>
      </c>
      <c r="F16" s="242">
        <v>5</v>
      </c>
      <c r="G16" s="242">
        <v>1.7344999999999999</v>
      </c>
      <c r="H16" s="242">
        <v>10.5808</v>
      </c>
      <c r="I16" s="242">
        <f t="shared" si="0"/>
        <v>8.8462999999999994</v>
      </c>
    </row>
    <row r="17" spans="1:17" x14ac:dyDescent="0.35">
      <c r="A17" s="242"/>
      <c r="B17" s="242"/>
      <c r="C17" s="242"/>
      <c r="D17" s="242"/>
      <c r="E17" s="243" t="s">
        <v>434</v>
      </c>
      <c r="F17" s="244">
        <v>6</v>
      </c>
      <c r="G17" s="244">
        <v>1.7514000000000001</v>
      </c>
      <c r="H17" s="244">
        <v>15.383800000000001</v>
      </c>
      <c r="I17" s="244">
        <f t="shared" si="0"/>
        <v>13.632400000000001</v>
      </c>
      <c r="J17" s="74"/>
      <c r="K17" s="74"/>
      <c r="L17" s="74"/>
      <c r="M17" s="74"/>
      <c r="N17" s="74"/>
      <c r="O17" s="74"/>
    </row>
    <row r="18" spans="1:17" x14ac:dyDescent="0.35">
      <c r="A18" s="245"/>
      <c r="B18" s="245"/>
      <c r="C18" s="245"/>
      <c r="D18" s="245"/>
      <c r="E18" s="245"/>
      <c r="F18" s="245" t="s">
        <v>115</v>
      </c>
      <c r="G18" s="246">
        <f t="shared" ref="G18:N18" si="1">AVERAGE(G12:G17)</f>
        <v>1.7519833333333334</v>
      </c>
      <c r="H18" s="246">
        <f t="shared" si="1"/>
        <v>13.028899999999998</v>
      </c>
      <c r="I18" s="246">
        <f t="shared" si="1"/>
        <v>11.276916666666667</v>
      </c>
      <c r="J18" s="246">
        <f t="shared" si="1"/>
        <v>4.4656666666666665</v>
      </c>
      <c r="K18" s="246">
        <f t="shared" si="1"/>
        <v>4.3962666666666665</v>
      </c>
      <c r="L18" s="246">
        <f t="shared" si="1"/>
        <v>3.4599999999999995</v>
      </c>
      <c r="M18" s="246">
        <f t="shared" si="1"/>
        <v>0.78704215731202609</v>
      </c>
      <c r="N18" s="246">
        <f t="shared" si="1"/>
        <v>0.21295784268797383</v>
      </c>
      <c r="O18" s="246">
        <f>AVERAGE(O12:O17)</f>
        <v>0.93626666666666691</v>
      </c>
      <c r="P18" s="246">
        <f>AVERAGE(P12:P17)</f>
        <v>8.321481322249441E-2</v>
      </c>
    </row>
    <row r="20" spans="1:17" x14ac:dyDescent="0.35">
      <c r="A20" t="s">
        <v>436</v>
      </c>
      <c r="B20">
        <v>118</v>
      </c>
      <c r="C20">
        <v>176</v>
      </c>
      <c r="D20">
        <v>171.7</v>
      </c>
      <c r="E20" t="s">
        <v>432</v>
      </c>
      <c r="F20">
        <v>7</v>
      </c>
      <c r="G20">
        <v>1.6954</v>
      </c>
      <c r="H20">
        <v>29.714099999999998</v>
      </c>
      <c r="I20">
        <f t="shared" si="0"/>
        <v>28.018699999999999</v>
      </c>
      <c r="J20">
        <v>7.569</v>
      </c>
      <c r="K20">
        <v>7.5130999999999997</v>
      </c>
      <c r="L20">
        <v>5.1615000000000002</v>
      </c>
      <c r="M20">
        <f t="shared" ref="M20:M25" si="2">L20/K20</f>
        <v>0.68700003993025516</v>
      </c>
      <c r="N20">
        <f t="shared" ref="N20:N25" si="3">1-M20</f>
        <v>0.31299996006974484</v>
      </c>
      <c r="O20">
        <f t="shared" ref="O20:O25" si="4">(K20*N20)</f>
        <v>2.3515999999999999</v>
      </c>
      <c r="P20">
        <f t="shared" ref="P20:P25" si="5">O20/I20</f>
        <v>8.3929661261942914E-2</v>
      </c>
      <c r="Q20">
        <f>B20/SUM(K20:K25)</f>
        <v>2.7363080248030087</v>
      </c>
    </row>
    <row r="21" spans="1:17" x14ac:dyDescent="0.35">
      <c r="E21" t="s">
        <v>433</v>
      </c>
      <c r="F21">
        <v>8</v>
      </c>
      <c r="G21">
        <v>1.7382</v>
      </c>
      <c r="H21">
        <v>24.054200000000002</v>
      </c>
      <c r="I21">
        <f t="shared" si="0"/>
        <v>22.316000000000003</v>
      </c>
      <c r="J21">
        <v>6.4047000000000001</v>
      </c>
      <c r="K21">
        <v>6.2596999999999996</v>
      </c>
      <c r="L21">
        <v>4.2398999999999996</v>
      </c>
      <c r="M21">
        <f t="shared" si="2"/>
        <v>0.67733277952617532</v>
      </c>
      <c r="N21">
        <f t="shared" si="3"/>
        <v>0.32266722047382468</v>
      </c>
      <c r="O21">
        <f t="shared" si="4"/>
        <v>2.0198</v>
      </c>
      <c r="P21">
        <f t="shared" si="5"/>
        <v>9.0509051801398094E-2</v>
      </c>
    </row>
    <row r="22" spans="1:17" x14ac:dyDescent="0.35">
      <c r="E22" t="s">
        <v>434</v>
      </c>
      <c r="F22">
        <v>9</v>
      </c>
      <c r="G22">
        <v>1.7386999999999999</v>
      </c>
      <c r="H22">
        <v>30.881599999999999</v>
      </c>
      <c r="I22">
        <f t="shared" si="0"/>
        <v>29.142899999999997</v>
      </c>
      <c r="J22">
        <v>7.3874000000000004</v>
      </c>
      <c r="K22">
        <v>7.2861000000000002</v>
      </c>
      <c r="L22">
        <v>5.3314000000000004</v>
      </c>
      <c r="M22">
        <f t="shared" si="2"/>
        <v>0.73172204608775615</v>
      </c>
      <c r="N22">
        <f t="shared" si="3"/>
        <v>0.26827795391224385</v>
      </c>
      <c r="O22">
        <f t="shared" si="4"/>
        <v>1.9546999999999999</v>
      </c>
      <c r="P22">
        <f t="shared" si="5"/>
        <v>6.7072940579008949E-2</v>
      </c>
    </row>
    <row r="23" spans="1:17" x14ac:dyDescent="0.35">
      <c r="E23" t="s">
        <v>437</v>
      </c>
      <c r="F23">
        <v>10</v>
      </c>
      <c r="G23">
        <v>1.7164999999999999</v>
      </c>
      <c r="H23">
        <v>28.682200000000002</v>
      </c>
      <c r="I23">
        <f t="shared" si="0"/>
        <v>26.965700000000002</v>
      </c>
      <c r="J23">
        <v>6.9683999999999999</v>
      </c>
      <c r="K23">
        <v>6.8653000000000004</v>
      </c>
      <c r="L23">
        <v>4.6208999999999998</v>
      </c>
      <c r="M23">
        <f t="shared" si="2"/>
        <v>0.67308056457838694</v>
      </c>
      <c r="N23">
        <f t="shared" si="3"/>
        <v>0.32691943542161306</v>
      </c>
      <c r="O23">
        <f t="shared" si="4"/>
        <v>2.2444000000000002</v>
      </c>
      <c r="P23">
        <f t="shared" si="5"/>
        <v>8.3231660961888623E-2</v>
      </c>
    </row>
    <row r="24" spans="1:17" x14ac:dyDescent="0.35">
      <c r="E24" t="s">
        <v>438</v>
      </c>
      <c r="F24">
        <v>11</v>
      </c>
      <c r="G24">
        <v>1.7350000000000001</v>
      </c>
      <c r="H24">
        <v>31.688700000000001</v>
      </c>
      <c r="I24">
        <f t="shared" si="0"/>
        <v>29.953700000000001</v>
      </c>
      <c r="J24">
        <v>7.8257000000000003</v>
      </c>
      <c r="K24">
        <v>7.1505000000000001</v>
      </c>
      <c r="L24">
        <v>5.2794999999999996</v>
      </c>
      <c r="M24">
        <f t="shared" si="2"/>
        <v>0.73833997622543868</v>
      </c>
      <c r="N24">
        <f t="shared" si="3"/>
        <v>0.26166002377456132</v>
      </c>
      <c r="O24">
        <f t="shared" si="4"/>
        <v>1.8710000000000007</v>
      </c>
      <c r="P24">
        <f t="shared" si="5"/>
        <v>6.246306800161585E-2</v>
      </c>
    </row>
    <row r="25" spans="1:17" x14ac:dyDescent="0.35">
      <c r="E25" t="s">
        <v>439</v>
      </c>
      <c r="F25">
        <v>12</v>
      </c>
      <c r="G25">
        <v>1.7315</v>
      </c>
      <c r="H25">
        <v>32.284100000000002</v>
      </c>
      <c r="I25">
        <f t="shared" si="0"/>
        <v>30.552600000000002</v>
      </c>
      <c r="J25">
        <v>8.0949000000000009</v>
      </c>
      <c r="K25">
        <v>8.0490999999999993</v>
      </c>
      <c r="L25">
        <v>5.4690000000000003</v>
      </c>
      <c r="M25">
        <f t="shared" si="2"/>
        <v>0.67945484588339078</v>
      </c>
      <c r="N25">
        <f t="shared" si="3"/>
        <v>0.32054515411660922</v>
      </c>
      <c r="O25">
        <f t="shared" si="4"/>
        <v>2.5800999999999989</v>
      </c>
      <c r="P25">
        <f t="shared" si="5"/>
        <v>8.4447804769479481E-2</v>
      </c>
    </row>
    <row r="26" spans="1:17" x14ac:dyDescent="0.35">
      <c r="A26" t="s">
        <v>440</v>
      </c>
      <c r="B26">
        <v>115</v>
      </c>
      <c r="C26">
        <v>179</v>
      </c>
      <c r="D26">
        <v>167</v>
      </c>
      <c r="E26" t="s">
        <v>432</v>
      </c>
      <c r="F26">
        <v>13</v>
      </c>
      <c r="G26">
        <v>1.7353000000000001</v>
      </c>
      <c r="H26">
        <v>32.260800000000003</v>
      </c>
      <c r="I26">
        <f t="shared" si="0"/>
        <v>30.525500000000005</v>
      </c>
    </row>
    <row r="27" spans="1:17" x14ac:dyDescent="0.35">
      <c r="E27" t="s">
        <v>433</v>
      </c>
      <c r="F27">
        <v>14</v>
      </c>
      <c r="G27">
        <v>1.7394000000000001</v>
      </c>
      <c r="H27">
        <v>32.718400000000003</v>
      </c>
      <c r="I27">
        <f t="shared" si="0"/>
        <v>30.979000000000003</v>
      </c>
    </row>
    <row r="28" spans="1:17" x14ac:dyDescent="0.35">
      <c r="E28" t="s">
        <v>434</v>
      </c>
      <c r="F28">
        <v>15</v>
      </c>
      <c r="G28">
        <v>1.7315</v>
      </c>
      <c r="H28">
        <v>28.133800000000001</v>
      </c>
      <c r="I28">
        <f t="shared" si="0"/>
        <v>26.4023</v>
      </c>
    </row>
    <row r="29" spans="1:17" x14ac:dyDescent="0.35">
      <c r="E29" t="s">
        <v>437</v>
      </c>
      <c r="F29">
        <v>16</v>
      </c>
      <c r="G29">
        <v>1.7504999999999999</v>
      </c>
      <c r="H29">
        <v>30.803699999999999</v>
      </c>
      <c r="I29">
        <f t="shared" si="0"/>
        <v>29.0532</v>
      </c>
    </row>
    <row r="30" spans="1:17" x14ac:dyDescent="0.35">
      <c r="E30" t="s">
        <v>438</v>
      </c>
      <c r="F30">
        <v>17</v>
      </c>
      <c r="G30">
        <v>1.7214</v>
      </c>
      <c r="H30">
        <v>30.293600000000001</v>
      </c>
      <c r="I30">
        <f t="shared" si="0"/>
        <v>28.572200000000002</v>
      </c>
    </row>
    <row r="31" spans="1:17" x14ac:dyDescent="0.35">
      <c r="E31" t="s">
        <v>439</v>
      </c>
      <c r="F31">
        <v>18</v>
      </c>
      <c r="G31">
        <v>1.7239</v>
      </c>
      <c r="H31">
        <v>36.691400000000002</v>
      </c>
      <c r="I31">
        <f t="shared" si="0"/>
        <v>34.967500000000001</v>
      </c>
    </row>
    <row r="32" spans="1:17" x14ac:dyDescent="0.35">
      <c r="A32" s="11"/>
      <c r="B32" s="11"/>
      <c r="C32" s="11"/>
      <c r="D32" s="11"/>
      <c r="E32" s="245"/>
      <c r="F32" s="245"/>
      <c r="G32" s="246">
        <f t="shared" ref="G32:N32" si="6">AVERAGE(G20:G31)</f>
        <v>1.7297750000000001</v>
      </c>
      <c r="H32" s="246">
        <f t="shared" si="6"/>
        <v>30.683883333333331</v>
      </c>
      <c r="I32" s="246">
        <f t="shared" si="6"/>
        <v>28.954108333333334</v>
      </c>
      <c r="J32" s="246">
        <f t="shared" si="6"/>
        <v>7.3750166666666672</v>
      </c>
      <c r="K32" s="246">
        <f t="shared" si="6"/>
        <v>7.1873000000000005</v>
      </c>
      <c r="L32" s="246">
        <f t="shared" si="6"/>
        <v>5.017033333333333</v>
      </c>
      <c r="M32" s="246">
        <f t="shared" si="6"/>
        <v>0.69782170870523386</v>
      </c>
      <c r="N32" s="246">
        <f t="shared" si="6"/>
        <v>0.3021782912947662</v>
      </c>
      <c r="O32" s="246">
        <f>AVERAGE(O20:O31)</f>
        <v>2.1702666666666666</v>
      </c>
      <c r="P32" s="246">
        <f>AVERAGE(P20:P31)</f>
        <v>7.8609031229222318E-2</v>
      </c>
    </row>
    <row r="34" spans="1:17" x14ac:dyDescent="0.35">
      <c r="A34" t="s">
        <v>441</v>
      </c>
      <c r="B34">
        <v>397</v>
      </c>
      <c r="C34">
        <v>393</v>
      </c>
      <c r="D34">
        <v>400</v>
      </c>
      <c r="E34" t="s">
        <v>432</v>
      </c>
      <c r="F34">
        <v>19</v>
      </c>
      <c r="G34">
        <v>1.7677</v>
      </c>
      <c r="H34">
        <v>48.027000000000001</v>
      </c>
      <c r="I34">
        <f t="shared" si="0"/>
        <v>46.259300000000003</v>
      </c>
      <c r="J34">
        <v>10.894500000000001</v>
      </c>
      <c r="K34">
        <v>10.6096</v>
      </c>
      <c r="L34">
        <v>6.8326000000000002</v>
      </c>
      <c r="M34">
        <f>L34/K34</f>
        <v>0.64400165887498118</v>
      </c>
      <c r="N34">
        <f t="shared" ref="N34:N44" si="7">1-M34</f>
        <v>0.35599834112501882</v>
      </c>
      <c r="O34">
        <f>(K34*N34)</f>
        <v>3.7769999999999997</v>
      </c>
      <c r="P34">
        <f>O34/I34</f>
        <v>8.1648446906892228E-2</v>
      </c>
      <c r="Q34">
        <f>B34/SUM(K34:K44)</f>
        <v>4.2841202661550186</v>
      </c>
    </row>
    <row r="35" spans="1:17" x14ac:dyDescent="0.35">
      <c r="E35" t="s">
        <v>433</v>
      </c>
      <c r="F35">
        <v>20</v>
      </c>
      <c r="G35">
        <v>1.7188000000000001</v>
      </c>
      <c r="H35">
        <v>34.220599999999997</v>
      </c>
      <c r="I35">
        <f t="shared" si="0"/>
        <v>32.501799999999996</v>
      </c>
      <c r="J35">
        <v>7.8574999999999999</v>
      </c>
      <c r="K35">
        <v>7.7035999999999998</v>
      </c>
      <c r="L35">
        <v>4.9276</v>
      </c>
      <c r="M35">
        <f t="shared" ref="M35:M44" si="8">L35/K35</f>
        <v>0.63964899527493646</v>
      </c>
      <c r="N35">
        <f t="shared" si="7"/>
        <v>0.36035100472506354</v>
      </c>
      <c r="O35">
        <f t="shared" ref="O35:O44" si="9">(K35*N35)</f>
        <v>2.7759999999999994</v>
      </c>
      <c r="P35">
        <f t="shared" ref="P35:P43" si="10">O35/I35</f>
        <v>8.5410654179153139E-2</v>
      </c>
    </row>
    <row r="36" spans="1:17" x14ac:dyDescent="0.35">
      <c r="E36" t="s">
        <v>434</v>
      </c>
      <c r="F36">
        <v>21</v>
      </c>
      <c r="G36">
        <v>1.7689999999999999</v>
      </c>
      <c r="H36">
        <v>30.7606</v>
      </c>
      <c r="I36">
        <f t="shared" si="0"/>
        <v>28.991600000000002</v>
      </c>
      <c r="J36">
        <v>6.8539000000000003</v>
      </c>
      <c r="K36">
        <v>6.7903000000000002</v>
      </c>
      <c r="L36">
        <v>4.5042</v>
      </c>
      <c r="M36">
        <f t="shared" si="8"/>
        <v>0.66332857163895553</v>
      </c>
      <c r="N36">
        <f t="shared" si="7"/>
        <v>0.33667142836104447</v>
      </c>
      <c r="O36">
        <f t="shared" si="9"/>
        <v>2.2861000000000002</v>
      </c>
      <c r="P36">
        <f t="shared" si="10"/>
        <v>7.8853874915492769E-2</v>
      </c>
    </row>
    <row r="37" spans="1:17" x14ac:dyDescent="0.35">
      <c r="E37" t="s">
        <v>437</v>
      </c>
      <c r="F37">
        <v>22</v>
      </c>
      <c r="G37">
        <v>1.7930999999999999</v>
      </c>
      <c r="H37">
        <v>42.734999999999999</v>
      </c>
      <c r="I37">
        <f t="shared" si="0"/>
        <v>40.941899999999997</v>
      </c>
      <c r="J37">
        <v>9.5890000000000004</v>
      </c>
      <c r="K37">
        <v>9.3533000000000008</v>
      </c>
      <c r="L37">
        <v>5.7713999999999999</v>
      </c>
      <c r="M37">
        <f t="shared" si="8"/>
        <v>0.61704425176141031</v>
      </c>
      <c r="N37">
        <f t="shared" si="7"/>
        <v>0.38295574823858969</v>
      </c>
      <c r="O37">
        <f t="shared" si="9"/>
        <v>3.5819000000000014</v>
      </c>
      <c r="P37">
        <f t="shared" si="10"/>
        <v>8.748739066823967E-2</v>
      </c>
    </row>
    <row r="38" spans="1:17" x14ac:dyDescent="0.35">
      <c r="E38" t="s">
        <v>438</v>
      </c>
      <c r="F38">
        <v>23</v>
      </c>
      <c r="G38">
        <v>1.7954000000000001</v>
      </c>
      <c r="H38">
        <v>31.286100000000001</v>
      </c>
      <c r="I38">
        <f t="shared" si="0"/>
        <v>29.4907</v>
      </c>
      <c r="J38">
        <v>8.1584000000000003</v>
      </c>
      <c r="K38">
        <v>8.0459999999999994</v>
      </c>
      <c r="L38">
        <v>5.4577999999999998</v>
      </c>
      <c r="M38">
        <f t="shared" si="8"/>
        <v>0.67832463335819038</v>
      </c>
      <c r="N38">
        <f t="shared" si="7"/>
        <v>0.32167536664180962</v>
      </c>
      <c r="O38">
        <f t="shared" si="9"/>
        <v>2.5882000000000001</v>
      </c>
      <c r="P38">
        <f t="shared" si="10"/>
        <v>8.7763260960234929E-2</v>
      </c>
    </row>
    <row r="39" spans="1:17" x14ac:dyDescent="0.35">
      <c r="E39" t="s">
        <v>439</v>
      </c>
      <c r="F39">
        <v>24</v>
      </c>
      <c r="G39">
        <v>1.7242</v>
      </c>
      <c r="H39">
        <v>29.2102</v>
      </c>
      <c r="I39">
        <f t="shared" si="0"/>
        <v>27.486000000000001</v>
      </c>
      <c r="J39">
        <v>6.6151999999999997</v>
      </c>
      <c r="K39">
        <v>6.5002000000000004</v>
      </c>
      <c r="L39">
        <v>4.3510999999999997</v>
      </c>
      <c r="M39">
        <f t="shared" si="8"/>
        <v>0.66937940371065496</v>
      </c>
      <c r="N39">
        <f t="shared" si="7"/>
        <v>0.33062059628934504</v>
      </c>
      <c r="O39">
        <f t="shared" si="9"/>
        <v>2.1491000000000007</v>
      </c>
      <c r="P39">
        <f t="shared" si="10"/>
        <v>7.8188896165320543E-2</v>
      </c>
    </row>
    <row r="40" spans="1:17" x14ac:dyDescent="0.35">
      <c r="E40" t="s">
        <v>442</v>
      </c>
      <c r="F40">
        <v>25</v>
      </c>
      <c r="G40">
        <v>1.7450000000000001</v>
      </c>
      <c r="H40">
        <v>44.3583</v>
      </c>
      <c r="I40">
        <f t="shared" si="0"/>
        <v>42.613300000000002</v>
      </c>
      <c r="J40">
        <v>9.5233000000000008</v>
      </c>
      <c r="K40">
        <v>9.4036000000000008</v>
      </c>
      <c r="L40">
        <v>5.6359000000000004</v>
      </c>
      <c r="M40">
        <f t="shared" si="8"/>
        <v>0.59933429750308387</v>
      </c>
      <c r="N40">
        <f t="shared" si="7"/>
        <v>0.40066570249691613</v>
      </c>
      <c r="O40">
        <f t="shared" si="9"/>
        <v>3.7677000000000009</v>
      </c>
      <c r="P40">
        <f t="shared" si="10"/>
        <v>8.8416057897417022E-2</v>
      </c>
    </row>
    <row r="41" spans="1:17" x14ac:dyDescent="0.35">
      <c r="E41" t="s">
        <v>380</v>
      </c>
      <c r="F41">
        <v>26</v>
      </c>
      <c r="G41">
        <v>1.7555000000000001</v>
      </c>
      <c r="H41">
        <v>48.703000000000003</v>
      </c>
      <c r="I41">
        <f t="shared" si="0"/>
        <v>46.947500000000005</v>
      </c>
      <c r="J41">
        <v>10.9345</v>
      </c>
      <c r="K41">
        <v>10.7296</v>
      </c>
      <c r="L41">
        <v>6.4413999999999998</v>
      </c>
      <c r="M41">
        <f t="shared" si="8"/>
        <v>0.60033924843423803</v>
      </c>
      <c r="N41">
        <f t="shared" si="7"/>
        <v>0.39966075156576197</v>
      </c>
      <c r="O41">
        <f t="shared" si="9"/>
        <v>4.2881999999999998</v>
      </c>
      <c r="P41">
        <f t="shared" si="10"/>
        <v>9.1340326960967028E-2</v>
      </c>
    </row>
    <row r="42" spans="1:17" x14ac:dyDescent="0.35">
      <c r="E42" t="s">
        <v>443</v>
      </c>
      <c r="F42">
        <v>27</v>
      </c>
      <c r="G42">
        <v>1.7399</v>
      </c>
      <c r="H42">
        <v>37.334699999999998</v>
      </c>
      <c r="I42">
        <f t="shared" si="0"/>
        <v>35.594799999999999</v>
      </c>
      <c r="J42">
        <v>9.1938999999999993</v>
      </c>
      <c r="K42">
        <v>8.9593000000000007</v>
      </c>
      <c r="L42">
        <v>5.9555999999999996</v>
      </c>
      <c r="M42">
        <f t="shared" si="8"/>
        <v>0.66473943276818492</v>
      </c>
      <c r="N42">
        <f t="shared" si="7"/>
        <v>0.33526056723181508</v>
      </c>
      <c r="O42">
        <f t="shared" si="9"/>
        <v>3.0037000000000011</v>
      </c>
      <c r="P42">
        <f t="shared" si="10"/>
        <v>8.4385921539101252E-2</v>
      </c>
    </row>
    <row r="43" spans="1:17" x14ac:dyDescent="0.35">
      <c r="E43" t="s">
        <v>444</v>
      </c>
      <c r="F43">
        <v>28</v>
      </c>
      <c r="G43">
        <v>1.7454000000000001</v>
      </c>
      <c r="H43">
        <v>21.299099999999999</v>
      </c>
      <c r="I43">
        <f t="shared" si="0"/>
        <v>19.553699999999999</v>
      </c>
      <c r="J43">
        <v>5.6973000000000003</v>
      </c>
      <c r="K43">
        <v>5.6273</v>
      </c>
      <c r="L43">
        <v>3.8797000000000001</v>
      </c>
      <c r="M43">
        <f t="shared" si="8"/>
        <v>0.6894425390506993</v>
      </c>
      <c r="N43">
        <f t="shared" si="7"/>
        <v>0.3105574609493007</v>
      </c>
      <c r="O43">
        <f t="shared" si="9"/>
        <v>1.7475999999999998</v>
      </c>
      <c r="P43">
        <f t="shared" si="10"/>
        <v>8.9374389501731127E-2</v>
      </c>
    </row>
    <row r="44" spans="1:17" x14ac:dyDescent="0.35">
      <c r="E44" t="s">
        <v>445</v>
      </c>
      <c r="F44">
        <v>29</v>
      </c>
      <c r="G44">
        <v>1.7474000000000001</v>
      </c>
      <c r="H44">
        <v>33.618499999999997</v>
      </c>
      <c r="I44">
        <f t="shared" si="0"/>
        <v>31.871099999999998</v>
      </c>
      <c r="J44">
        <v>9.0968999999999998</v>
      </c>
      <c r="K44">
        <v>8.9450000000000003</v>
      </c>
      <c r="L44">
        <v>6.2396000000000003</v>
      </c>
      <c r="M44">
        <f t="shared" si="8"/>
        <v>0.69755170486305196</v>
      </c>
      <c r="N44">
        <f t="shared" si="7"/>
        <v>0.30244829513694804</v>
      </c>
      <c r="O44">
        <f t="shared" si="9"/>
        <v>2.7054000000000005</v>
      </c>
      <c r="P44">
        <f>O44/I44</f>
        <v>8.4885680130274782E-2</v>
      </c>
    </row>
    <row r="46" spans="1:17" x14ac:dyDescent="0.35">
      <c r="A46" t="s">
        <v>446</v>
      </c>
      <c r="B46">
        <v>334</v>
      </c>
      <c r="C46">
        <v>393</v>
      </c>
      <c r="D46">
        <v>400</v>
      </c>
      <c r="E46" t="s">
        <v>432</v>
      </c>
      <c r="F46">
        <v>30</v>
      </c>
      <c r="G46">
        <v>1.7498</v>
      </c>
      <c r="H46">
        <v>41.685000000000002</v>
      </c>
      <c r="I46">
        <f t="shared" si="0"/>
        <v>39.935200000000002</v>
      </c>
    </row>
    <row r="47" spans="1:17" x14ac:dyDescent="0.35">
      <c r="E47" t="s">
        <v>433</v>
      </c>
      <c r="F47">
        <v>31</v>
      </c>
      <c r="G47">
        <v>1.7591000000000001</v>
      </c>
      <c r="H47">
        <v>45.575099999999999</v>
      </c>
      <c r="I47">
        <f t="shared" si="0"/>
        <v>43.816000000000003</v>
      </c>
    </row>
    <row r="48" spans="1:17" x14ac:dyDescent="0.35">
      <c r="E48" t="s">
        <v>434</v>
      </c>
      <c r="F48">
        <v>32</v>
      </c>
      <c r="G48">
        <v>1.7446999999999999</v>
      </c>
      <c r="H48">
        <v>42.349400000000003</v>
      </c>
      <c r="I48">
        <f t="shared" si="0"/>
        <v>40.604700000000001</v>
      </c>
    </row>
    <row r="49" spans="5:17" x14ac:dyDescent="0.35">
      <c r="E49" t="s">
        <v>437</v>
      </c>
      <c r="F49">
        <v>33</v>
      </c>
      <c r="G49">
        <v>1.7497</v>
      </c>
      <c r="H49">
        <v>37.542400000000001</v>
      </c>
      <c r="I49">
        <f t="shared" si="0"/>
        <v>35.792700000000004</v>
      </c>
    </row>
    <row r="50" spans="5:17" x14ac:dyDescent="0.35">
      <c r="E50" t="s">
        <v>438</v>
      </c>
      <c r="F50">
        <v>34</v>
      </c>
      <c r="G50">
        <v>1.7706</v>
      </c>
      <c r="H50">
        <v>58.215299999999999</v>
      </c>
      <c r="I50">
        <f t="shared" si="0"/>
        <v>56.444699999999997</v>
      </c>
    </row>
    <row r="51" spans="5:17" x14ac:dyDescent="0.35">
      <c r="E51" t="s">
        <v>439</v>
      </c>
      <c r="F51">
        <v>35</v>
      </c>
      <c r="G51">
        <v>1.7879</v>
      </c>
      <c r="H51">
        <v>43.235700000000001</v>
      </c>
      <c r="I51">
        <f t="shared" si="0"/>
        <v>41.447800000000001</v>
      </c>
    </row>
    <row r="52" spans="5:17" x14ac:dyDescent="0.35">
      <c r="E52" t="s">
        <v>442</v>
      </c>
      <c r="F52">
        <v>36</v>
      </c>
      <c r="G52">
        <v>1.7372000000000001</v>
      </c>
      <c r="H52">
        <v>571431</v>
      </c>
      <c r="I52">
        <f t="shared" si="0"/>
        <v>571429.26280000003</v>
      </c>
    </row>
    <row r="53" spans="5:17" x14ac:dyDescent="0.35">
      <c r="E53" t="s">
        <v>380</v>
      </c>
      <c r="F53">
        <v>37</v>
      </c>
      <c r="G53">
        <v>1.7643</v>
      </c>
      <c r="H53">
        <v>46.653100000000002</v>
      </c>
      <c r="I53">
        <f t="shared" si="0"/>
        <v>44.888800000000003</v>
      </c>
    </row>
    <row r="54" spans="5:17" x14ac:dyDescent="0.35">
      <c r="E54" t="s">
        <v>443</v>
      </c>
      <c r="F54">
        <v>38</v>
      </c>
      <c r="G54">
        <v>1.7361</v>
      </c>
      <c r="H54">
        <v>53.311199999999999</v>
      </c>
      <c r="I54">
        <f t="shared" si="0"/>
        <v>51.575099999999999</v>
      </c>
    </row>
    <row r="55" spans="5:17" x14ac:dyDescent="0.35">
      <c r="E55" s="245"/>
      <c r="F55" s="245"/>
      <c r="G55" s="246">
        <f t="shared" ref="G55:N55" si="11">AVERAGE(G34:G54)</f>
        <v>1.7550399999999999</v>
      </c>
      <c r="H55" s="246">
        <f t="shared" si="11"/>
        <v>28610.056014999998</v>
      </c>
      <c r="I55" s="246">
        <f t="shared" si="11"/>
        <v>28608.300975000002</v>
      </c>
      <c r="J55" s="246">
        <f t="shared" si="11"/>
        <v>8.5831272727272729</v>
      </c>
      <c r="K55" s="246">
        <f t="shared" si="11"/>
        <v>8.4243454545454544</v>
      </c>
      <c r="L55" s="246">
        <f t="shared" si="11"/>
        <v>5.4542636363636365</v>
      </c>
      <c r="M55" s="246">
        <f t="shared" si="11"/>
        <v>0.6511940670216716</v>
      </c>
      <c r="N55" s="246">
        <f t="shared" si="11"/>
        <v>0.34880593297832851</v>
      </c>
      <c r="O55" s="246">
        <f>AVERAGE(O34:O54)</f>
        <v>2.9700818181818183</v>
      </c>
      <c r="P55" s="246">
        <f>AVERAGE(P34:P54)</f>
        <v>8.5250445438620426E-2</v>
      </c>
    </row>
    <row r="56" spans="5:17" x14ac:dyDescent="0.35">
      <c r="E56" s="235"/>
      <c r="F56" s="235"/>
      <c r="G56" s="235"/>
      <c r="H56" s="235"/>
      <c r="I56" s="235"/>
      <c r="J56" s="235">
        <f t="shared" ref="J56:O56" si="12">AVERAGE(J34:J44,J20:J25,J12:J14)</f>
        <v>7.6030749999999996</v>
      </c>
      <c r="K56" s="235">
        <f t="shared" si="12"/>
        <v>7.44902</v>
      </c>
      <c r="L56" s="235">
        <f t="shared" si="12"/>
        <v>5.0239549999999999</v>
      </c>
      <c r="M56" s="235">
        <f t="shared" si="12"/>
        <v>0.68555957307029336</v>
      </c>
      <c r="N56" s="235">
        <f t="shared" si="12"/>
        <v>0.31444042692970664</v>
      </c>
      <c r="O56" s="235">
        <f t="shared" si="12"/>
        <v>2.425065</v>
      </c>
      <c r="P56" s="235">
        <f>AVERAGE(P34:P44,P20:P25,P12:P14)</f>
        <v>8.2952676343382076E-2</v>
      </c>
      <c r="Q56" t="s">
        <v>447</v>
      </c>
    </row>
  </sheetData>
  <mergeCells count="4">
    <mergeCell ref="F6:I6"/>
    <mergeCell ref="F8:I8"/>
    <mergeCell ref="P9:P11"/>
    <mergeCell ref="Q9:Q1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3"/>
  <sheetViews>
    <sheetView workbookViewId="0">
      <selection activeCell="J24" sqref="J24"/>
    </sheetView>
  </sheetViews>
  <sheetFormatPr defaultRowHeight="14.5" x14ac:dyDescent="0.35"/>
  <cols>
    <col min="1" max="1" width="8.7265625" style="250"/>
    <col min="15" max="15" width="12" bestFit="1" customWidth="1"/>
  </cols>
  <sheetData>
    <row r="1" spans="1:16" ht="21" x14ac:dyDescent="0.5">
      <c r="A1" s="248" t="s">
        <v>448</v>
      </c>
    </row>
    <row r="2" spans="1:16" x14ac:dyDescent="0.35">
      <c r="A2" s="249" t="s">
        <v>449</v>
      </c>
    </row>
    <row r="3" spans="1:16" x14ac:dyDescent="0.35">
      <c r="A3" s="249" t="s">
        <v>450</v>
      </c>
    </row>
    <row r="4" spans="1:16" x14ac:dyDescent="0.35">
      <c r="A4" s="249" t="s">
        <v>451</v>
      </c>
    </row>
    <row r="5" spans="1:16" x14ac:dyDescent="0.35">
      <c r="A5" s="249" t="s">
        <v>452</v>
      </c>
    </row>
    <row r="6" spans="1:16" x14ac:dyDescent="0.35">
      <c r="A6" s="249"/>
    </row>
    <row r="7" spans="1:16" x14ac:dyDescent="0.35">
      <c r="A7" s="249"/>
      <c r="E7" t="s">
        <v>453</v>
      </c>
    </row>
    <row r="8" spans="1:16" ht="21" x14ac:dyDescent="0.5">
      <c r="A8" s="248"/>
      <c r="F8" s="68" t="s">
        <v>454</v>
      </c>
      <c r="G8" s="68"/>
      <c r="H8" s="68"/>
      <c r="I8" s="68"/>
    </row>
    <row r="9" spans="1:16" x14ac:dyDescent="0.35">
      <c r="A9" s="250" t="s">
        <v>455</v>
      </c>
      <c r="B9" t="s">
        <v>456</v>
      </c>
      <c r="C9" t="s">
        <v>457</v>
      </c>
      <c r="F9" t="s">
        <v>11</v>
      </c>
      <c r="G9" t="s">
        <v>12</v>
      </c>
      <c r="H9" t="s">
        <v>13</v>
      </c>
      <c r="I9" t="s">
        <v>14</v>
      </c>
    </row>
    <row r="10" spans="1:16" x14ac:dyDescent="0.35">
      <c r="A10" s="250">
        <v>41793</v>
      </c>
      <c r="B10" t="s">
        <v>458</v>
      </c>
      <c r="C10" s="84">
        <f>'[5]3-6-14'!F8</f>
        <v>36.877195236935506</v>
      </c>
      <c r="E10" s="251" t="s">
        <v>44</v>
      </c>
      <c r="F10" s="252">
        <f>AVERAGE($C$19:$C$21)</f>
        <v>153.28310512363413</v>
      </c>
      <c r="G10" s="252">
        <f>C14</f>
        <v>109.12898518341984</v>
      </c>
      <c r="H10" s="252">
        <f>F10-G10</f>
        <v>44.154119940214287</v>
      </c>
      <c r="I10" s="253">
        <f>(G10-F10)/F10</f>
        <v>-0.2880560118129179</v>
      </c>
    </row>
    <row r="11" spans="1:16" x14ac:dyDescent="0.35">
      <c r="A11" s="250">
        <v>41793</v>
      </c>
      <c r="B11" t="s">
        <v>458</v>
      </c>
      <c r="C11" s="84">
        <f>'[5]3-6-14'!F9</f>
        <v>25.350111428675532</v>
      </c>
      <c r="E11" s="254" t="s">
        <v>45</v>
      </c>
      <c r="F11" s="255">
        <f>AVERAGE($C$19:$C$21)</f>
        <v>153.28310512363413</v>
      </c>
      <c r="G11" s="255">
        <f>C15</f>
        <v>235.42167014085808</v>
      </c>
      <c r="H11" s="255">
        <f t="shared" ref="H11:H40" si="0">F11-G11</f>
        <v>-82.138565017223954</v>
      </c>
      <c r="I11" s="256">
        <f t="shared" ref="I11:I40" si="1">(G11-F11)/F11</f>
        <v>0.53586182867950871</v>
      </c>
    </row>
    <row r="12" spans="1:16" x14ac:dyDescent="0.35">
      <c r="A12" s="250">
        <v>41793</v>
      </c>
      <c r="B12" t="s">
        <v>458</v>
      </c>
      <c r="C12" s="84">
        <f>'[5]3-6-14'!F10</f>
        <v>28.286725772561834</v>
      </c>
      <c r="E12" s="254" t="s">
        <v>46</v>
      </c>
      <c r="F12" s="255">
        <f>AVERAGE($C$19:$C$21)</f>
        <v>153.28310512363413</v>
      </c>
      <c r="G12" s="255">
        <f>C16</f>
        <v>105.40327468276244</v>
      </c>
      <c r="H12" s="255">
        <f t="shared" si="0"/>
        <v>47.879830440871686</v>
      </c>
      <c r="I12" s="256">
        <f t="shared" si="1"/>
        <v>-0.31236208584274877</v>
      </c>
    </row>
    <row r="13" spans="1:16" x14ac:dyDescent="0.35">
      <c r="A13" s="250">
        <v>41793</v>
      </c>
      <c r="B13" t="s">
        <v>458</v>
      </c>
      <c r="C13" s="84">
        <f>'[5]3-6-14'!F11</f>
        <v>28.473691881043557</v>
      </c>
      <c r="E13" s="254" t="s">
        <v>47</v>
      </c>
      <c r="F13" s="255">
        <f>AVERAGE($C$19:$C$21)</f>
        <v>153.28310512363413</v>
      </c>
      <c r="G13" s="255">
        <f>C17</f>
        <v>124.25308098369946</v>
      </c>
      <c r="H13" s="255">
        <f t="shared" si="0"/>
        <v>29.030024139934667</v>
      </c>
      <c r="I13" s="256">
        <f t="shared" si="1"/>
        <v>-0.1893882833109351</v>
      </c>
    </row>
    <row r="14" spans="1:16" x14ac:dyDescent="0.35">
      <c r="A14" s="257">
        <v>41795</v>
      </c>
      <c r="B14" s="44" t="str">
        <f>'[5]5-6-14 AM'!A7</f>
        <v>G1</v>
      </c>
      <c r="C14" s="258">
        <f>'[5]5-6-14 AM'!F7</f>
        <v>109.12898518341984</v>
      </c>
      <c r="E14" s="259" t="s">
        <v>48</v>
      </c>
      <c r="F14" s="260">
        <f>AVERAGE($C$19:$C$21)</f>
        <v>153.28310512363413</v>
      </c>
      <c r="G14" s="260">
        <f>C18</f>
        <v>128.1161214277258</v>
      </c>
      <c r="H14" s="260">
        <f t="shared" si="0"/>
        <v>25.166983695908328</v>
      </c>
      <c r="I14" s="261">
        <f t="shared" si="1"/>
        <v>-0.16418628573324698</v>
      </c>
      <c r="O14" s="262"/>
      <c r="P14" s="262"/>
    </row>
    <row r="15" spans="1:16" x14ac:dyDescent="0.35">
      <c r="A15" s="257">
        <v>41795</v>
      </c>
      <c r="B15" s="44" t="str">
        <f>'[5]5-6-14 AM'!A8</f>
        <v>G2</v>
      </c>
      <c r="C15" s="258">
        <f>'[5]5-6-14 AM'!F8</f>
        <v>235.42167014085808</v>
      </c>
      <c r="E15" s="263" t="s">
        <v>74</v>
      </c>
      <c r="F15" s="18">
        <f>AVERAGE($C$28:$C$30)</f>
        <v>81.753578654170767</v>
      </c>
      <c r="G15" s="18">
        <f>C23</f>
        <v>35.418563490645276</v>
      </c>
      <c r="H15" s="264">
        <f t="shared" si="0"/>
        <v>46.33501516352549</v>
      </c>
      <c r="I15" s="265">
        <f t="shared" si="1"/>
        <v>-0.56676436586989265</v>
      </c>
    </row>
    <row r="16" spans="1:16" x14ac:dyDescent="0.35">
      <c r="A16" s="257">
        <v>41795</v>
      </c>
      <c r="B16" s="44" t="str">
        <f>'[5]5-6-14 AM'!A9</f>
        <v>G3</v>
      </c>
      <c r="C16" s="258">
        <f>'[5]5-6-14 AM'!F9</f>
        <v>105.40327468276244</v>
      </c>
      <c r="E16" s="263" t="s">
        <v>76</v>
      </c>
      <c r="F16" s="18">
        <f>AVERAGE($C$28:$C$30)</f>
        <v>81.753578654170767</v>
      </c>
      <c r="G16" s="18">
        <f>C24</f>
        <v>51.118778987994467</v>
      </c>
      <c r="H16" s="264">
        <f t="shared" si="0"/>
        <v>30.634799666176299</v>
      </c>
      <c r="I16" s="265">
        <f t="shared" si="1"/>
        <v>-0.37472120695493766</v>
      </c>
    </row>
    <row r="17" spans="1:9" x14ac:dyDescent="0.35">
      <c r="A17" s="257">
        <v>41795</v>
      </c>
      <c r="B17" s="44" t="str">
        <f>'[5]5-6-14 AM'!A10</f>
        <v>G4</v>
      </c>
      <c r="C17" s="258">
        <f>'[5]5-6-14 AM'!F10</f>
        <v>124.25308098369946</v>
      </c>
      <c r="E17" s="263" t="s">
        <v>78</v>
      </c>
      <c r="F17" s="18">
        <f>AVERAGE($C$28:$C$30)</f>
        <v>81.753578654170767</v>
      </c>
      <c r="G17" s="18">
        <f>C25</f>
        <v>53.679157071655567</v>
      </c>
      <c r="H17" s="264">
        <f t="shared" si="0"/>
        <v>28.0744215825152</v>
      </c>
      <c r="I17" s="265">
        <f t="shared" si="1"/>
        <v>-0.34340296834312273</v>
      </c>
    </row>
    <row r="18" spans="1:9" x14ac:dyDescent="0.35">
      <c r="A18" s="257">
        <v>41795</v>
      </c>
      <c r="B18" s="44" t="str">
        <f>'[5]5-6-14 AM'!A11</f>
        <v>G5</v>
      </c>
      <c r="C18" s="258">
        <f>'[5]5-6-14 AM'!F11</f>
        <v>128.1161214277258</v>
      </c>
      <c r="E18" s="263" t="s">
        <v>79</v>
      </c>
      <c r="F18" s="18">
        <f>AVERAGE($C$28:$C$30)</f>
        <v>81.753578654170767</v>
      </c>
      <c r="G18" s="18">
        <f>C26</f>
        <v>21.843404523583043</v>
      </c>
      <c r="H18" s="264">
        <f t="shared" si="0"/>
        <v>59.91017413058772</v>
      </c>
      <c r="I18" s="265">
        <f t="shared" si="1"/>
        <v>-0.73281408736877751</v>
      </c>
    </row>
    <row r="19" spans="1:9" x14ac:dyDescent="0.35">
      <c r="A19" s="257">
        <v>41795</v>
      </c>
      <c r="B19" s="44" t="str">
        <f>'[5]5-6-14 AM'!A12</f>
        <v>IN1</v>
      </c>
      <c r="C19" s="258">
        <f>'[5]5-6-14 AM'!F12</f>
        <v>111.90864496309121</v>
      </c>
      <c r="E19" s="263" t="s">
        <v>80</v>
      </c>
      <c r="F19" s="18">
        <f>AVERAGE($C$28:$C$30)</f>
        <v>81.753578654170767</v>
      </c>
      <c r="G19" s="18">
        <f>C27</f>
        <v>34.871547591339599</v>
      </c>
      <c r="H19" s="264">
        <f t="shared" si="0"/>
        <v>46.882031062831167</v>
      </c>
      <c r="I19" s="265">
        <f t="shared" si="1"/>
        <v>-0.57345539895138786</v>
      </c>
    </row>
    <row r="20" spans="1:9" x14ac:dyDescent="0.35">
      <c r="A20" s="257">
        <v>41795</v>
      </c>
      <c r="B20" s="44" t="str">
        <f>'[5]5-6-14 AM'!A13</f>
        <v>IN2</v>
      </c>
      <c r="C20" s="258">
        <f>'[5]5-6-14 AM'!F13</f>
        <v>157.78956178381497</v>
      </c>
      <c r="E20" s="223" t="s">
        <v>82</v>
      </c>
      <c r="F20" s="266">
        <f>AVERAGE($C$48:$C$50)</f>
        <v>32.498288292216522</v>
      </c>
      <c r="G20" s="266">
        <f>C43</f>
        <v>17.801520708039465</v>
      </c>
      <c r="H20" s="266">
        <f t="shared" si="0"/>
        <v>14.696767584177056</v>
      </c>
      <c r="I20" s="267">
        <f t="shared" si="1"/>
        <v>-0.45223205148613921</v>
      </c>
    </row>
    <row r="21" spans="1:9" x14ac:dyDescent="0.35">
      <c r="A21" s="257">
        <v>41795</v>
      </c>
      <c r="B21" s="44" t="str">
        <f>'[5]5-6-14 AM'!A14</f>
        <v>IN3</v>
      </c>
      <c r="C21" s="258">
        <f>'[5]5-6-14 AM'!F14</f>
        <v>190.15110862399621</v>
      </c>
      <c r="E21" s="229" t="s">
        <v>84</v>
      </c>
      <c r="F21" s="15">
        <f>AVERAGE($C$48:$C$50)</f>
        <v>32.498288292216522</v>
      </c>
      <c r="G21" s="15">
        <f>C44</f>
        <v>16.400280069419345</v>
      </c>
      <c r="H21" s="15">
        <f t="shared" si="0"/>
        <v>16.098008222797176</v>
      </c>
      <c r="I21" s="268">
        <f t="shared" si="1"/>
        <v>-0.49534941896163553</v>
      </c>
    </row>
    <row r="22" spans="1:9" x14ac:dyDescent="0.35">
      <c r="A22" s="257">
        <v>41795</v>
      </c>
      <c r="B22" s="44" t="str">
        <f>'[5]5-6-14 AM'!A15</f>
        <v>Fish farm water</v>
      </c>
      <c r="C22" s="258">
        <f>'[5]5-6-14 AM'!F15</f>
        <v>50.367028304109212</v>
      </c>
      <c r="E22" s="229" t="s">
        <v>86</v>
      </c>
      <c r="F22" s="15">
        <f>AVERAGE($C$48:$C$50)</f>
        <v>32.498288292216522</v>
      </c>
      <c r="G22" s="15">
        <f>C45</f>
        <v>17.825909390040763</v>
      </c>
      <c r="H22" s="15">
        <f t="shared" si="0"/>
        <v>14.672378902175758</v>
      </c>
      <c r="I22" s="268">
        <f t="shared" si="1"/>
        <v>-0.45148159097628093</v>
      </c>
    </row>
    <row r="23" spans="1:9" x14ac:dyDescent="0.35">
      <c r="A23" s="250">
        <v>41795</v>
      </c>
      <c r="B23" t="s">
        <v>74</v>
      </c>
      <c r="C23" s="84">
        <f>'[5]5-6-14 PM'!F7</f>
        <v>35.418563490645276</v>
      </c>
      <c r="E23" s="229" t="s">
        <v>87</v>
      </c>
      <c r="F23" s="15">
        <f>AVERAGE($C$48:$C$50)</f>
        <v>32.498288292216522</v>
      </c>
      <c r="G23" s="15">
        <f>C46</f>
        <v>24.625917362584921</v>
      </c>
      <c r="H23" s="15">
        <f t="shared" si="0"/>
        <v>7.8723709296316002</v>
      </c>
      <c r="I23" s="268">
        <f t="shared" si="1"/>
        <v>-0.24223955609123779</v>
      </c>
    </row>
    <row r="24" spans="1:9" x14ac:dyDescent="0.35">
      <c r="A24" s="250">
        <v>41795</v>
      </c>
      <c r="B24" t="s">
        <v>76</v>
      </c>
      <c r="C24" s="84">
        <f>'[5]5-6-14 PM'!F8</f>
        <v>51.118778987994467</v>
      </c>
      <c r="E24" s="236" t="s">
        <v>88</v>
      </c>
      <c r="F24" s="269">
        <f>AVERAGE($C$48:$C$50)</f>
        <v>32.498288292216522</v>
      </c>
      <c r="G24" s="269">
        <f>C47</f>
        <v>22.907623857947907</v>
      </c>
      <c r="H24" s="269">
        <f t="shared" si="0"/>
        <v>9.5906644342686143</v>
      </c>
      <c r="I24" s="270">
        <f t="shared" si="1"/>
        <v>-0.29511291019489228</v>
      </c>
    </row>
    <row r="25" spans="1:9" x14ac:dyDescent="0.35">
      <c r="A25" s="250">
        <v>41795</v>
      </c>
      <c r="B25" t="s">
        <v>78</v>
      </c>
      <c r="C25" s="84">
        <f>'[5]5-6-14 PM'!F9</f>
        <v>53.679157071655567</v>
      </c>
      <c r="E25" s="223" t="s">
        <v>90</v>
      </c>
      <c r="F25" s="266">
        <f t="shared" ref="F25:F30" si="2">AVERAGE($C$57:$C$59)</f>
        <v>42.148076804064054</v>
      </c>
      <c r="G25" s="266">
        <f t="shared" ref="G25:G30" si="3">C51</f>
        <v>18.355808935341727</v>
      </c>
      <c r="H25" s="266">
        <f t="shared" si="0"/>
        <v>23.792267868722327</v>
      </c>
      <c r="I25" s="267">
        <f t="shared" si="1"/>
        <v>-0.56449237243556027</v>
      </c>
    </row>
    <row r="26" spans="1:9" x14ac:dyDescent="0.35">
      <c r="A26" s="250">
        <v>41795</v>
      </c>
      <c r="B26" t="s">
        <v>79</v>
      </c>
      <c r="C26" s="84">
        <f>'[5]5-6-14 PM'!F10</f>
        <v>21.843404523583043</v>
      </c>
      <c r="E26" s="229" t="s">
        <v>92</v>
      </c>
      <c r="F26" s="15">
        <f t="shared" si="2"/>
        <v>42.148076804064054</v>
      </c>
      <c r="G26" s="15">
        <f t="shared" si="3"/>
        <v>18.338071712068057</v>
      </c>
      <c r="H26" s="15">
        <f t="shared" si="0"/>
        <v>23.810005091995997</v>
      </c>
      <c r="I26" s="268">
        <f t="shared" si="1"/>
        <v>-0.56491320357706476</v>
      </c>
    </row>
    <row r="27" spans="1:9" x14ac:dyDescent="0.35">
      <c r="A27" s="250">
        <v>41795</v>
      </c>
      <c r="B27" t="s">
        <v>80</v>
      </c>
      <c r="C27" s="84">
        <f>'[5]5-6-14 PM'!F11</f>
        <v>34.871547591339599</v>
      </c>
      <c r="E27" s="229" t="s">
        <v>94</v>
      </c>
      <c r="F27" s="15">
        <f>AVERAGE($C$57:$C$59)</f>
        <v>42.148076804064054</v>
      </c>
      <c r="G27" s="15">
        <f t="shared" si="3"/>
        <v>18.695033330450713</v>
      </c>
      <c r="H27" s="15">
        <f t="shared" si="0"/>
        <v>23.453043473613342</v>
      </c>
      <c r="I27" s="268">
        <f t="shared" si="1"/>
        <v>-0.55644397685428726</v>
      </c>
    </row>
    <row r="28" spans="1:9" x14ac:dyDescent="0.35">
      <c r="A28" s="250">
        <v>41795</v>
      </c>
      <c r="B28" t="s">
        <v>73</v>
      </c>
      <c r="C28" s="84">
        <f>'[5]5-6-14 PM'!F12</f>
        <v>111.13301024427906</v>
      </c>
      <c r="E28" s="229" t="s">
        <v>95</v>
      </c>
      <c r="F28" s="15">
        <f t="shared" si="2"/>
        <v>42.148076804064054</v>
      </c>
      <c r="G28" s="15">
        <f t="shared" si="3"/>
        <v>20.628390667281007</v>
      </c>
      <c r="H28" s="15">
        <f t="shared" si="0"/>
        <v>21.519686136783047</v>
      </c>
      <c r="I28" s="268">
        <f t="shared" si="1"/>
        <v>-0.51057338243029982</v>
      </c>
    </row>
    <row r="29" spans="1:9" x14ac:dyDescent="0.35">
      <c r="A29" s="250">
        <v>41795</v>
      </c>
      <c r="B29" t="s">
        <v>75</v>
      </c>
      <c r="C29" s="84">
        <f>'[5]5-6-14 PM'!F13</f>
        <v>65.10061993255097</v>
      </c>
      <c r="E29" s="229" t="s">
        <v>96</v>
      </c>
      <c r="F29" s="15">
        <f t="shared" si="2"/>
        <v>42.148076804064054</v>
      </c>
      <c r="G29" s="15">
        <f t="shared" si="3"/>
        <v>21.723664204430275</v>
      </c>
      <c r="H29" s="15">
        <f t="shared" si="0"/>
        <v>20.424412599633779</v>
      </c>
      <c r="I29" s="268">
        <f t="shared" si="1"/>
        <v>-0.48458705944239883</v>
      </c>
    </row>
    <row r="30" spans="1:9" x14ac:dyDescent="0.35">
      <c r="A30" s="250">
        <v>41795</v>
      </c>
      <c r="B30" t="s">
        <v>77</v>
      </c>
      <c r="C30" s="84">
        <f>'[5]5-6-14 PM'!F14</f>
        <v>69.027105785682252</v>
      </c>
      <c r="E30" s="236" t="s">
        <v>97</v>
      </c>
      <c r="F30" s="269">
        <f t="shared" si="2"/>
        <v>42.148076804064054</v>
      </c>
      <c r="G30" s="269">
        <f t="shared" si="3"/>
        <v>43.547100289774967</v>
      </c>
      <c r="H30" s="269">
        <f t="shared" si="0"/>
        <v>-1.399023485710913</v>
      </c>
      <c r="I30" s="270">
        <f t="shared" si="1"/>
        <v>3.3193056286165222E-2</v>
      </c>
    </row>
    <row r="31" spans="1:9" x14ac:dyDescent="0.35">
      <c r="A31" s="257">
        <v>41796</v>
      </c>
      <c r="B31" s="44" t="str">
        <f>'[5]6-6-14'!A6</f>
        <v>T1 (Tank 1)</v>
      </c>
      <c r="C31" s="258">
        <f>'[5]6-6-14'!F6</f>
        <v>46.89955858010017</v>
      </c>
      <c r="E31" s="223" t="s">
        <v>99</v>
      </c>
      <c r="F31" s="266">
        <f>AVERAGE($C$65:$C$66)</f>
        <v>28.657953354691209</v>
      </c>
      <c r="G31" s="266">
        <f>C60</f>
        <v>21.640665377362602</v>
      </c>
      <c r="H31" s="266">
        <f t="shared" si="0"/>
        <v>7.017287977328607</v>
      </c>
      <c r="I31" s="267">
        <f t="shared" si="1"/>
        <v>-0.24486354243367142</v>
      </c>
    </row>
    <row r="32" spans="1:9" x14ac:dyDescent="0.35">
      <c r="A32" s="257">
        <v>41796</v>
      </c>
      <c r="B32" s="44" t="str">
        <f>'[5]6-6-14'!A7</f>
        <v>T1</v>
      </c>
      <c r="C32" s="258">
        <f>'[5]6-6-14'!F7</f>
        <v>45.512348252696086</v>
      </c>
      <c r="E32" s="229" t="s">
        <v>101</v>
      </c>
      <c r="F32" s="15">
        <f>AVERAGE($C$65:$C$66)</f>
        <v>28.657953354691209</v>
      </c>
      <c r="G32" s="15">
        <f>C61</f>
        <v>11.89174711067327</v>
      </c>
      <c r="H32" s="15">
        <f t="shared" si="0"/>
        <v>16.766206244017937</v>
      </c>
      <c r="I32" s="268">
        <f t="shared" si="1"/>
        <v>-0.58504548585544291</v>
      </c>
    </row>
    <row r="33" spans="1:9" x14ac:dyDescent="0.35">
      <c r="A33" s="257">
        <v>41796</v>
      </c>
      <c r="B33" s="44" t="str">
        <f>'[5]6-6-14'!A8</f>
        <v>T1</v>
      </c>
      <c r="C33" s="258">
        <f>'[5]6-6-14'!F8</f>
        <v>60.367143967799251</v>
      </c>
      <c r="E33" s="229" t="s">
        <v>103</v>
      </c>
      <c r="F33" s="15">
        <f>AVERAGE($C$65:$C$66)</f>
        <v>28.657953354691209</v>
      </c>
      <c r="G33" s="15">
        <f>C62</f>
        <v>11.40573065749521</v>
      </c>
      <c r="H33" s="15">
        <f t="shared" si="0"/>
        <v>17.252222697195997</v>
      </c>
      <c r="I33" s="268">
        <f t="shared" si="1"/>
        <v>-0.60200470297617636</v>
      </c>
    </row>
    <row r="34" spans="1:9" x14ac:dyDescent="0.35">
      <c r="A34" s="257">
        <v>41796</v>
      </c>
      <c r="B34" s="44" t="str">
        <f>'[5]6-6-14'!A9</f>
        <v>T1</v>
      </c>
      <c r="C34" s="258">
        <f>'[5]6-6-14'!F9</f>
        <v>48.932363109948561</v>
      </c>
      <c r="E34" s="229" t="s">
        <v>104</v>
      </c>
      <c r="F34" s="15">
        <f>AVERAGE($C$65:$C$66)</f>
        <v>28.657953354691209</v>
      </c>
      <c r="G34" s="15">
        <f>C63</f>
        <v>10.601148798032371</v>
      </c>
      <c r="H34" s="15">
        <f t="shared" si="0"/>
        <v>18.05680455665884</v>
      </c>
      <c r="I34" s="268">
        <f t="shared" si="1"/>
        <v>-0.6300800456046175</v>
      </c>
    </row>
    <row r="35" spans="1:9" x14ac:dyDescent="0.35">
      <c r="A35" s="257">
        <v>41796</v>
      </c>
      <c r="B35" s="44" t="str">
        <f>'[5]6-6-14'!A10</f>
        <v>T1</v>
      </c>
      <c r="C35" s="258">
        <f>'[5]6-6-14'!F10</f>
        <v>47.753540784599295</v>
      </c>
      <c r="E35" s="236" t="s">
        <v>105</v>
      </c>
      <c r="F35" s="269">
        <f>AVERAGE($C$65:$C$66)</f>
        <v>28.657953354691209</v>
      </c>
      <c r="G35" s="269">
        <f>C64</f>
        <v>7.3501479851774469</v>
      </c>
      <c r="H35" s="269">
        <f t="shared" si="0"/>
        <v>21.307805369513762</v>
      </c>
      <c r="I35" s="270">
        <f t="shared" si="1"/>
        <v>-0.74352153155506995</v>
      </c>
    </row>
    <row r="36" spans="1:9" x14ac:dyDescent="0.35">
      <c r="A36" s="257">
        <v>41796</v>
      </c>
      <c r="B36" s="44" t="str">
        <f>'[5]6-6-14'!A11</f>
        <v>T2 (Tank 2)</v>
      </c>
      <c r="C36" s="258">
        <f>'[5]6-6-14'!F11</f>
        <v>32.326699573659397</v>
      </c>
      <c r="E36" s="223" t="s">
        <v>107</v>
      </c>
      <c r="F36" s="266">
        <f>AVERAGE($C$72:$C$73)</f>
        <v>28.930912175033505</v>
      </c>
      <c r="G36" s="266">
        <f>C67</f>
        <v>14.848687548496093</v>
      </c>
      <c r="H36" s="266">
        <f t="shared" si="0"/>
        <v>14.082224626537412</v>
      </c>
      <c r="I36" s="267">
        <f t="shared" si="1"/>
        <v>-0.48675356453813934</v>
      </c>
    </row>
    <row r="37" spans="1:9" x14ac:dyDescent="0.35">
      <c r="A37" s="257">
        <v>41796</v>
      </c>
      <c r="B37" s="44" t="str">
        <f>'[5]6-6-14'!A12</f>
        <v>T2</v>
      </c>
      <c r="C37" s="258">
        <f>'[5]6-6-14'!F12</f>
        <v>38.049197551654714</v>
      </c>
      <c r="E37" s="229" t="s">
        <v>109</v>
      </c>
      <c r="F37" s="15">
        <f>AVERAGE($C$72:$C$73)</f>
        <v>28.930912175033505</v>
      </c>
      <c r="G37" s="15">
        <f>C68</f>
        <v>15.189035204783249</v>
      </c>
      <c r="H37" s="15">
        <f t="shared" si="0"/>
        <v>13.741876970250257</v>
      </c>
      <c r="I37" s="268">
        <f t="shared" si="1"/>
        <v>-0.47498941226295233</v>
      </c>
    </row>
    <row r="38" spans="1:9" x14ac:dyDescent="0.35">
      <c r="A38" s="257">
        <v>41796</v>
      </c>
      <c r="B38" s="44" t="str">
        <f>'[5]6-6-14'!A13</f>
        <v>T2</v>
      </c>
      <c r="C38" s="258">
        <f>'[5]6-6-14'!F13</f>
        <v>34.341116926855882</v>
      </c>
      <c r="E38" s="229" t="s">
        <v>111</v>
      </c>
      <c r="F38" s="15">
        <f>AVERAGE($C$72:$C$73)</f>
        <v>28.930912175033505</v>
      </c>
      <c r="G38" s="15">
        <f>C69</f>
        <v>10.511297016772563</v>
      </c>
      <c r="H38" s="15">
        <f t="shared" si="0"/>
        <v>18.419615158260942</v>
      </c>
      <c r="I38" s="268">
        <f t="shared" si="1"/>
        <v>-0.6366759211331231</v>
      </c>
    </row>
    <row r="39" spans="1:9" x14ac:dyDescent="0.35">
      <c r="A39" s="257">
        <v>41796</v>
      </c>
      <c r="B39" s="44" t="str">
        <f>'[5]6-6-14'!A14</f>
        <v>T2</v>
      </c>
      <c r="C39" s="258">
        <f>'[5]6-6-14'!F14</f>
        <v>38.049197551654714</v>
      </c>
      <c r="E39" s="229" t="s">
        <v>112</v>
      </c>
      <c r="F39" s="15">
        <f>AVERAGE($C$72:$C$73)</f>
        <v>28.930912175033505</v>
      </c>
      <c r="G39" s="15">
        <f>C70</f>
        <v>7.5257673758216175</v>
      </c>
      <c r="H39" s="15">
        <f t="shared" si="0"/>
        <v>21.40514479921189</v>
      </c>
      <c r="I39" s="268">
        <f t="shared" si="1"/>
        <v>-0.73987106489106402</v>
      </c>
    </row>
    <row r="40" spans="1:9" x14ac:dyDescent="0.35">
      <c r="A40" s="257">
        <v>41796</v>
      </c>
      <c r="B40" s="44" t="str">
        <f>'[5]6-6-14'!A15</f>
        <v>T2</v>
      </c>
      <c r="C40" s="258">
        <f>'[5]6-6-14'!F15</f>
        <v>35.664993645792322</v>
      </c>
      <c r="E40" s="236" t="s">
        <v>113</v>
      </c>
      <c r="F40" s="269">
        <f>AVERAGE($C$72:$C$73)</f>
        <v>28.930912175033505</v>
      </c>
      <c r="G40" s="269">
        <f>C71</f>
        <v>12.309694032593899</v>
      </c>
      <c r="H40" s="269">
        <f t="shared" si="0"/>
        <v>16.621218142439606</v>
      </c>
      <c r="I40" s="270">
        <f t="shared" si="1"/>
        <v>-0.57451414051103478</v>
      </c>
    </row>
    <row r="41" spans="1:9" x14ac:dyDescent="0.35">
      <c r="A41" s="257">
        <v>41796</v>
      </c>
      <c r="B41" s="44" t="str">
        <f>'[5]6-6-14'!A16</f>
        <v>Geodia water (left overnight)</v>
      </c>
      <c r="C41" s="258">
        <f>'[5]6-6-14'!F16</f>
        <v>984.13072688049192</v>
      </c>
    </row>
    <row r="42" spans="1:9" x14ac:dyDescent="0.35">
      <c r="A42" s="257">
        <v>41796</v>
      </c>
      <c r="B42" s="44" t="str">
        <f>'[5]6-6-14'!A17</f>
        <v>Mycale water (1 hour)</v>
      </c>
      <c r="C42" s="258">
        <f>'[5]6-6-14'!F17</f>
        <v>11392.059274409836</v>
      </c>
    </row>
    <row r="43" spans="1:9" x14ac:dyDescent="0.35">
      <c r="A43" s="250">
        <v>41797</v>
      </c>
      <c r="B43" t="str">
        <f>'[5]7-6-14'!A5</f>
        <v>G11</v>
      </c>
      <c r="C43" s="84">
        <f>'[5]7-6-14'!F5</f>
        <v>17.801520708039465</v>
      </c>
      <c r="E43" s="262" t="s">
        <v>115</v>
      </c>
      <c r="F43" s="271">
        <f>AVERAGE(C28:C30,C48:C50,C57:C59,C65:C66,C72:C73)</f>
        <v>44.952120177754118</v>
      </c>
      <c r="G43" s="272">
        <f>AVERAGE(G15:G25,G27:G29,G31:G40)</f>
        <v>20.798730054081769</v>
      </c>
      <c r="H43" s="271">
        <f>AVERAGE(H15:H25,H27:H29,H31:H40)</f>
        <v>22.026102012452242</v>
      </c>
      <c r="I43" s="273">
        <f>AVERAGE(I15:I25,I27:I29,I31:I40)</f>
        <v>-0.5150829065884226</v>
      </c>
    </row>
    <row r="44" spans="1:9" x14ac:dyDescent="0.35">
      <c r="A44" s="250">
        <v>41797</v>
      </c>
      <c r="B44" t="str">
        <f>'[5]7-6-14'!A6</f>
        <v>G12</v>
      </c>
      <c r="C44" s="84">
        <f>'[5]7-6-14'!F6</f>
        <v>16.400280069419345</v>
      </c>
      <c r="E44" s="262" t="s">
        <v>116</v>
      </c>
      <c r="F44" s="271">
        <f>STDEV(C28:C30,C48:C50,C57:C59,C65:C66,C72:C73)</f>
        <v>24.30675275940628</v>
      </c>
      <c r="G44" s="271">
        <f>STDEV(G15:G40)</f>
        <v>12.429996895267093</v>
      </c>
      <c r="H44" s="271">
        <f>STDEV(H15:H40)</f>
        <v>13.054893356421204</v>
      </c>
      <c r="I44" s="273">
        <f>STDEV(I15:I40)</f>
        <v>0.17374070562006824</v>
      </c>
    </row>
    <row r="45" spans="1:9" x14ac:dyDescent="0.35">
      <c r="A45" s="250">
        <v>41797</v>
      </c>
      <c r="B45" t="str">
        <f>'[5]7-6-14'!A7</f>
        <v>G13</v>
      </c>
      <c r="C45" s="84">
        <f>'[5]7-6-14'!F7</f>
        <v>17.825909390040763</v>
      </c>
      <c r="E45" s="262" t="s">
        <v>118</v>
      </c>
      <c r="F45" s="262">
        <f>COUNT(C28:C30,C48:C50,C57:C59,C65:C66,C72:C73)</f>
        <v>13</v>
      </c>
      <c r="G45" s="274">
        <f>COUNT(G31:G40,G27:G29,G15:G25)</f>
        <v>24</v>
      </c>
      <c r="H45" s="274">
        <f>COUNT(H31:H40,H27:H29,H15:H25)</f>
        <v>24</v>
      </c>
      <c r="I45" s="274">
        <f>COUNT(I31:I40,I27:I29,I15:I25)</f>
        <v>24</v>
      </c>
    </row>
    <row r="46" spans="1:9" x14ac:dyDescent="0.35">
      <c r="A46" s="250">
        <v>41797</v>
      </c>
      <c r="B46" t="str">
        <f>'[5]7-6-14'!A8</f>
        <v>G14</v>
      </c>
      <c r="C46" s="84">
        <f>'[5]7-6-14'!F8</f>
        <v>24.625917362584921</v>
      </c>
      <c r="E46" s="262" t="s">
        <v>117</v>
      </c>
      <c r="F46" s="271">
        <f>F44/SQRT(F45)</f>
        <v>6.7414802626203967</v>
      </c>
      <c r="G46" s="271">
        <f>G44/SQRT(G45-2)</f>
        <v>2.6500842423689579</v>
      </c>
      <c r="H46" s="271">
        <f>H44/SQRT(H45-2)</f>
        <v>2.7833126155350998</v>
      </c>
      <c r="I46" s="273">
        <f>I44/SQRT(I45-2)</f>
        <v>3.704164289832778E-2</v>
      </c>
    </row>
    <row r="47" spans="1:9" x14ac:dyDescent="0.35">
      <c r="A47" s="250">
        <v>41797</v>
      </c>
      <c r="B47" t="str">
        <f>'[5]7-6-14'!A9</f>
        <v>G15</v>
      </c>
      <c r="C47" s="84">
        <f>'[5]7-6-14'!F9</f>
        <v>22.907623857947907</v>
      </c>
      <c r="E47" s="262" t="s">
        <v>459</v>
      </c>
      <c r="F47" s="271">
        <f>MAX(C28:C30,C48:C50,C57:C59,C65:C66,C72:C73)</f>
        <v>111.13301024427906</v>
      </c>
      <c r="G47" s="271">
        <f>MAX(G15:G25,G27:G29,G31:G40)</f>
        <v>53.679157071655567</v>
      </c>
      <c r="H47" s="271">
        <f>MAX(H15:H25,H27:H29,H31:H40)</f>
        <v>59.91017413058772</v>
      </c>
      <c r="I47" s="275">
        <f>MAX(I15:I25,I27:I29,I31:I40)</f>
        <v>-0.24223955609123779</v>
      </c>
    </row>
    <row r="48" spans="1:9" x14ac:dyDescent="0.35">
      <c r="A48" s="250">
        <v>41797</v>
      </c>
      <c r="B48" t="str">
        <f>'[5]7-6-14'!A10</f>
        <v>IN7</v>
      </c>
      <c r="C48" s="84">
        <f>'[5]7-6-14'!F10</f>
        <v>30.947020306739926</v>
      </c>
      <c r="E48" s="262" t="s">
        <v>460</v>
      </c>
      <c r="F48" s="271">
        <f>MIN(C28:C30,C48:C50,C57:C59,C65:C66,C72:C73)</f>
        <v>21.553536377353087</v>
      </c>
      <c r="G48" s="271">
        <f>MIN(G15:G25,G27:G29,G31:G40)</f>
        <v>7.3501479851774469</v>
      </c>
      <c r="H48" s="271">
        <f>MIN(H15:H25,H27:H29,H31:H40)</f>
        <v>7.017287977328607</v>
      </c>
      <c r="I48" s="275">
        <f>MAX(I15:I25,I27:I29,I31:I40)</f>
        <v>-0.24223955609123779</v>
      </c>
    </row>
    <row r="49" spans="1:3" x14ac:dyDescent="0.35">
      <c r="A49" s="250">
        <v>41797</v>
      </c>
      <c r="B49" t="str">
        <f>'[5]7-6-14'!A11</f>
        <v>IN8</v>
      </c>
      <c r="C49" s="84">
        <f>'[5]7-6-14'!F11</f>
        <v>30.674310498907211</v>
      </c>
    </row>
    <row r="50" spans="1:3" x14ac:dyDescent="0.35">
      <c r="A50" s="250">
        <v>41797</v>
      </c>
      <c r="B50" t="str">
        <f>'[5]7-6-14'!A12</f>
        <v>IN9</v>
      </c>
      <c r="C50" s="84">
        <f>'[5]7-6-14'!F12</f>
        <v>35.873534071002432</v>
      </c>
    </row>
    <row r="51" spans="1:3" x14ac:dyDescent="0.35">
      <c r="A51" s="250">
        <v>41797</v>
      </c>
      <c r="B51" t="str">
        <f>'[5]7-6-14'!A13</f>
        <v>G16</v>
      </c>
      <c r="C51" s="84">
        <f>'[5]7-6-14'!F13</f>
        <v>18.355808935341727</v>
      </c>
    </row>
    <row r="52" spans="1:3" x14ac:dyDescent="0.35">
      <c r="A52" s="250">
        <v>41797</v>
      </c>
      <c r="B52" t="str">
        <f>'[5]7-6-14'!A14</f>
        <v>G17</v>
      </c>
      <c r="C52" s="84">
        <f>'[5]7-6-14'!F14</f>
        <v>18.338071712068057</v>
      </c>
    </row>
    <row r="53" spans="1:3" x14ac:dyDescent="0.35">
      <c r="A53" s="250">
        <v>41797</v>
      </c>
      <c r="B53" t="str">
        <f>'[5]7-6-14'!A15</f>
        <v>G18</v>
      </c>
      <c r="C53" s="84">
        <f>'[5]7-6-14'!F15</f>
        <v>18.695033330450713</v>
      </c>
    </row>
    <row r="54" spans="1:3" x14ac:dyDescent="0.35">
      <c r="A54" s="250">
        <v>41797</v>
      </c>
      <c r="B54" t="str">
        <f>'[5]7-6-14'!A16</f>
        <v>G19</v>
      </c>
      <c r="C54" s="84">
        <f>'[5]7-6-14'!F16</f>
        <v>20.628390667281007</v>
      </c>
    </row>
    <row r="55" spans="1:3" x14ac:dyDescent="0.35">
      <c r="A55" s="250">
        <v>41797</v>
      </c>
      <c r="B55" t="str">
        <f>'[5]7-6-14'!A17</f>
        <v>G20</v>
      </c>
      <c r="C55" s="84">
        <f>'[5]7-6-14'!F17</f>
        <v>21.723664204430275</v>
      </c>
    </row>
    <row r="56" spans="1:3" x14ac:dyDescent="0.35">
      <c r="A56" s="250">
        <v>41797</v>
      </c>
      <c r="B56" t="str">
        <f>'[5]7-6-14'!A18</f>
        <v>G21</v>
      </c>
      <c r="C56" s="84">
        <f>'[5]7-6-14'!F18</f>
        <v>43.547100289774967</v>
      </c>
    </row>
    <row r="57" spans="1:3" x14ac:dyDescent="0.35">
      <c r="A57" s="250">
        <v>41797</v>
      </c>
      <c r="B57" t="str">
        <f>'[5]7-6-14'!A19</f>
        <v>IN10</v>
      </c>
      <c r="C57" s="84">
        <f>'[5]7-6-14'!F19</f>
        <v>39.999655635040483</v>
      </c>
    </row>
    <row r="58" spans="1:3" x14ac:dyDescent="0.35">
      <c r="A58" s="250">
        <v>41797</v>
      </c>
      <c r="B58" t="str">
        <f>'[5]7-6-14'!A20</f>
        <v>IN11</v>
      </c>
      <c r="C58" s="84">
        <f>'[5]7-6-14'!F20</f>
        <v>42.467346822990159</v>
      </c>
    </row>
    <row r="59" spans="1:3" x14ac:dyDescent="0.35">
      <c r="A59" s="250">
        <v>41797</v>
      </c>
      <c r="B59" t="str">
        <f>'[5]7-6-14'!A21</f>
        <v>IN12</v>
      </c>
      <c r="C59" s="84">
        <f>'[5]7-6-14'!F21</f>
        <v>43.977227954161513</v>
      </c>
    </row>
    <row r="60" spans="1:3" x14ac:dyDescent="0.35">
      <c r="A60" s="250">
        <v>41798</v>
      </c>
      <c r="B60" t="str">
        <f>'[5]8-6-14'!A11</f>
        <v>G22</v>
      </c>
      <c r="C60" s="84">
        <f>'[5]8-6-14'!F11</f>
        <v>21.640665377362602</v>
      </c>
    </row>
    <row r="61" spans="1:3" x14ac:dyDescent="0.35">
      <c r="A61" s="250">
        <v>41798</v>
      </c>
      <c r="B61" t="str">
        <f>'[5]8-6-14'!A12</f>
        <v>G23</v>
      </c>
      <c r="C61" s="84">
        <f>'[5]8-6-14'!F12</f>
        <v>11.89174711067327</v>
      </c>
    </row>
    <row r="62" spans="1:3" x14ac:dyDescent="0.35">
      <c r="A62" s="250">
        <v>41798</v>
      </c>
      <c r="B62" t="str">
        <f>'[5]8-6-14'!A13</f>
        <v>G24</v>
      </c>
      <c r="C62" s="84">
        <f>'[5]8-6-14'!F13</f>
        <v>11.40573065749521</v>
      </c>
    </row>
    <row r="63" spans="1:3" x14ac:dyDescent="0.35">
      <c r="A63" s="250">
        <v>41798</v>
      </c>
      <c r="B63" t="str">
        <f>'[5]8-6-14'!A14</f>
        <v>G25</v>
      </c>
      <c r="C63" s="84">
        <f>'[5]8-6-14'!F14</f>
        <v>10.601148798032371</v>
      </c>
    </row>
    <row r="64" spans="1:3" x14ac:dyDescent="0.35">
      <c r="A64" s="250">
        <v>41798</v>
      </c>
      <c r="B64" t="str">
        <f>'[5]8-6-14'!A15</f>
        <v>G26</v>
      </c>
      <c r="C64" s="84">
        <f>'[5]8-6-14'!F15</f>
        <v>7.3501479851774469</v>
      </c>
    </row>
    <row r="65" spans="1:3" x14ac:dyDescent="0.35">
      <c r="A65" s="250">
        <v>41798</v>
      </c>
      <c r="B65" t="str">
        <f>'[5]8-6-14'!A16</f>
        <v>IN13</v>
      </c>
      <c r="C65" s="84">
        <f>'[5]8-6-14'!F16</f>
        <v>33.999369472461858</v>
      </c>
    </row>
    <row r="66" spans="1:3" x14ac:dyDescent="0.35">
      <c r="A66" s="250">
        <v>41798</v>
      </c>
      <c r="B66" t="str">
        <f>'[5]8-6-14'!A18</f>
        <v>IN15</v>
      </c>
      <c r="C66" s="84">
        <f>'[5]8-6-14'!F18</f>
        <v>23.316537236920563</v>
      </c>
    </row>
    <row r="67" spans="1:3" x14ac:dyDescent="0.35">
      <c r="A67" s="250">
        <v>41798</v>
      </c>
      <c r="B67" t="str">
        <f>'[5]8-6-14'!A19</f>
        <v>G27</v>
      </c>
      <c r="C67" s="84">
        <f>'[5]8-6-14'!F19</f>
        <v>14.848687548496093</v>
      </c>
    </row>
    <row r="68" spans="1:3" x14ac:dyDescent="0.35">
      <c r="A68" s="250">
        <v>41798</v>
      </c>
      <c r="B68" t="str">
        <f>'[5]8-6-14'!A20</f>
        <v>G28</v>
      </c>
      <c r="C68" s="84">
        <f>'[5]8-6-14'!F20</f>
        <v>15.189035204783249</v>
      </c>
    </row>
    <row r="69" spans="1:3" x14ac:dyDescent="0.35">
      <c r="A69" s="250">
        <v>41798</v>
      </c>
      <c r="B69" t="str">
        <f>'[5]8-6-14'!A21</f>
        <v>G29</v>
      </c>
      <c r="C69" s="84">
        <f>'[5]8-6-14'!F21</f>
        <v>10.511297016772563</v>
      </c>
    </row>
    <row r="70" spans="1:3" x14ac:dyDescent="0.35">
      <c r="A70" s="250">
        <v>41798</v>
      </c>
      <c r="B70" t="str">
        <f>'[5]8-6-14'!A22</f>
        <v>G30</v>
      </c>
      <c r="C70" s="84">
        <f>'[5]8-6-14'!F22</f>
        <v>7.5257673758216175</v>
      </c>
    </row>
    <row r="71" spans="1:3" x14ac:dyDescent="0.35">
      <c r="A71" s="250">
        <v>41798</v>
      </c>
      <c r="B71" t="str">
        <f>'[5]8-6-14'!A23</f>
        <v>G31</v>
      </c>
      <c r="C71" s="84">
        <f>'[5]8-6-14'!F23</f>
        <v>12.309694032593899</v>
      </c>
    </row>
    <row r="72" spans="1:3" x14ac:dyDescent="0.35">
      <c r="A72" s="250">
        <v>41798</v>
      </c>
      <c r="B72" t="str">
        <f>'[5]8-6-14'!A24</f>
        <v>IN16</v>
      </c>
      <c r="C72" s="84">
        <f>'[5]8-6-14'!F24</f>
        <v>21.553536377353087</v>
      </c>
    </row>
    <row r="73" spans="1:3" x14ac:dyDescent="0.35">
      <c r="A73" s="250">
        <v>41798</v>
      </c>
      <c r="B73" t="str">
        <f>'[5]8-6-14'!A25</f>
        <v>IN17</v>
      </c>
      <c r="C73" s="84">
        <f>'[5]8-6-14'!F25</f>
        <v>36.308287972713927</v>
      </c>
    </row>
  </sheetData>
  <mergeCells count="1">
    <mergeCell ref="F8:I8"/>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Nutrient in-ex</vt:lpstr>
      <vt:lpstr>Respiration summary sheet</vt:lpstr>
      <vt:lpstr>Excurrent velocity</vt:lpstr>
      <vt:lpstr>TOC </vt:lpstr>
      <vt:lpstr>Morphometrics</vt:lpstr>
      <vt:lpstr>Ash weights</vt:lpstr>
      <vt:lpstr>Ammonium 2014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Sally Leys</dc:creator>
  <cp:lastModifiedBy>Sally Leys</cp:lastModifiedBy>
  <dcterms:created xsi:type="dcterms:W3CDTF">2017-05-27T03:15:18Z</dcterms:created>
  <dcterms:modified xsi:type="dcterms:W3CDTF">2017-05-27T03:31:30Z</dcterms:modified>
</cp:coreProperties>
</file>