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hesis Work\2017 - Hecate Reef\Nathan's Thesis Work\"/>
    </mc:Choice>
  </mc:AlternateContent>
  <bookViews>
    <workbookView xWindow="0" yWindow="90" windowWidth="22980" windowHeight="9795"/>
  </bookViews>
  <sheets>
    <sheet name="Grain Sizes from Tube Cores" sheetId="3" r:id="rId1"/>
    <sheet name="Hecate Strait" sheetId="5" r:id="rId2"/>
    <sheet name="Fraser Ridge Reef" sheetId="6" r:id="rId3"/>
    <sheet name="Distance&amp;Height&amp;Time with Tide" sheetId="7" r:id="rId4"/>
    <sheet name="Distance&amp;Concentrations" sheetId="8" r:id="rId5"/>
    <sheet name="Boutillier et al. (2013) CSAS" sheetId="1" r:id="rId6"/>
  </sheets>
  <calcPr calcId="162913"/>
</workbook>
</file>

<file path=xl/calcChain.xml><?xml version="1.0" encoding="utf-8"?>
<calcChain xmlns="http://schemas.openxmlformats.org/spreadsheetml/2006/main">
  <c r="I19" i="8" l="1"/>
  <c r="I18" i="8"/>
  <c r="I17" i="8"/>
  <c r="I16" i="8"/>
  <c r="I15" i="8"/>
  <c r="I14" i="8"/>
  <c r="H19" i="8"/>
  <c r="H18" i="8"/>
  <c r="H17" i="8"/>
  <c r="H16" i="8"/>
  <c r="H15" i="8"/>
  <c r="H14" i="8"/>
  <c r="G19" i="8"/>
  <c r="G18" i="8"/>
  <c r="G17" i="8"/>
  <c r="G15" i="8"/>
  <c r="G16" i="8"/>
  <c r="G14" i="8"/>
  <c r="F19" i="8" l="1"/>
  <c r="F18" i="8"/>
  <c r="F17" i="8"/>
  <c r="F16" i="8"/>
  <c r="F15" i="8"/>
  <c r="F14" i="8"/>
  <c r="D19" i="8"/>
  <c r="D14" i="8"/>
  <c r="D16" i="8"/>
  <c r="D18" i="8"/>
  <c r="D17" i="8"/>
  <c r="D15" i="8"/>
  <c r="B20" i="8"/>
  <c r="F3" i="8"/>
  <c r="E3" i="8"/>
  <c r="D3" i="8"/>
  <c r="C3" i="8"/>
  <c r="E8" i="7" l="1"/>
  <c r="D43" i="7" s="1"/>
  <c r="D45" i="7" l="1"/>
  <c r="D48" i="7"/>
  <c r="D47" i="7"/>
  <c r="D46" i="7"/>
  <c r="D44" i="7"/>
  <c r="M27" i="6" l="1"/>
  <c r="M28" i="6"/>
  <c r="M29" i="6"/>
  <c r="M30" i="6"/>
  <c r="M26" i="6"/>
  <c r="M25" i="6"/>
  <c r="M26" i="5"/>
  <c r="M27" i="5"/>
  <c r="M28" i="5"/>
  <c r="M29" i="5"/>
  <c r="M30" i="5"/>
  <c r="M25" i="5"/>
  <c r="E5" i="7" l="1"/>
  <c r="E6" i="7" s="1"/>
  <c r="N20" i="5"/>
  <c r="E7" i="7" l="1"/>
  <c r="D13" i="7" s="1"/>
  <c r="E13" i="7" s="1"/>
  <c r="N15" i="5"/>
  <c r="G27" i="5" s="1"/>
  <c r="C29" i="7" s="1"/>
  <c r="E43" i="7" s="1"/>
  <c r="N16" i="5"/>
  <c r="G28" i="5" s="1"/>
  <c r="N17" i="5"/>
  <c r="P17" i="5"/>
  <c r="I18" i="5"/>
  <c r="N18" i="5"/>
  <c r="I19" i="5"/>
  <c r="N19" i="5"/>
  <c r="P19" i="5"/>
  <c r="I20" i="5"/>
  <c r="P20" i="5"/>
  <c r="N20" i="6"/>
  <c r="P20" i="6" s="1"/>
  <c r="I20" i="6"/>
  <c r="N19" i="6"/>
  <c r="P19" i="6" s="1"/>
  <c r="I19" i="6"/>
  <c r="N18" i="6"/>
  <c r="P18" i="6" s="1"/>
  <c r="I18" i="6"/>
  <c r="N17" i="6"/>
  <c r="P17" i="6" s="1"/>
  <c r="N16" i="6"/>
  <c r="P16" i="6" s="1"/>
  <c r="N15" i="6"/>
  <c r="P15" i="6" s="1"/>
  <c r="M11" i="6"/>
  <c r="J11" i="6"/>
  <c r="M10" i="6"/>
  <c r="J10" i="6"/>
  <c r="M9" i="6"/>
  <c r="J9" i="6"/>
  <c r="M8" i="6"/>
  <c r="J8" i="6"/>
  <c r="M7" i="6"/>
  <c r="J7" i="6"/>
  <c r="M6" i="6"/>
  <c r="J6" i="6"/>
  <c r="M11" i="5"/>
  <c r="J11" i="5"/>
  <c r="M10" i="5"/>
  <c r="J10" i="5"/>
  <c r="M9" i="5"/>
  <c r="J9" i="5"/>
  <c r="M8" i="5"/>
  <c r="J8" i="5"/>
  <c r="M7" i="5"/>
  <c r="J7" i="5"/>
  <c r="M6" i="5"/>
  <c r="J6" i="5"/>
  <c r="G31" i="6" l="1"/>
  <c r="D55" i="7"/>
  <c r="D60" i="7" s="1"/>
  <c r="D65" i="7" s="1"/>
  <c r="D53" i="7"/>
  <c r="D58" i="7" s="1"/>
  <c r="D63" i="7" s="1"/>
  <c r="D52" i="7"/>
  <c r="D57" i="7" s="1"/>
  <c r="D62" i="7" s="1"/>
  <c r="D54" i="7"/>
  <c r="D59" i="7" s="1"/>
  <c r="D64" i="7" s="1"/>
  <c r="G39" i="5"/>
  <c r="H39" i="5" s="1"/>
  <c r="G27" i="6"/>
  <c r="M48" i="6" s="1"/>
  <c r="M33" i="6"/>
  <c r="G29" i="6"/>
  <c r="M34" i="6"/>
  <c r="G30" i="6"/>
  <c r="G48" i="6"/>
  <c r="O40" i="6"/>
  <c r="M40" i="6"/>
  <c r="I40" i="6"/>
  <c r="G44" i="6"/>
  <c r="H44" i="6" s="1"/>
  <c r="M44" i="6"/>
  <c r="N44" i="6" s="1"/>
  <c r="O44" i="6"/>
  <c r="P44" i="6" s="1"/>
  <c r="M52" i="6"/>
  <c r="N52" i="6" s="1"/>
  <c r="O52" i="6"/>
  <c r="P52" i="6" s="1"/>
  <c r="I44" i="6"/>
  <c r="J44" i="6" s="1"/>
  <c r="G52" i="6"/>
  <c r="H52" i="6" s="1"/>
  <c r="I52" i="6"/>
  <c r="J52" i="6" s="1"/>
  <c r="M36" i="6"/>
  <c r="G32" i="6"/>
  <c r="M32" i="6"/>
  <c r="G28" i="6"/>
  <c r="M31" i="6"/>
  <c r="G31" i="5"/>
  <c r="I47" i="5"/>
  <c r="G47" i="5"/>
  <c r="H47" i="5" s="1"/>
  <c r="O47" i="5"/>
  <c r="O39" i="5"/>
  <c r="M47" i="5"/>
  <c r="N47" i="5" s="1"/>
  <c r="M39" i="5"/>
  <c r="N39" i="5" s="1"/>
  <c r="I39" i="5"/>
  <c r="C19" i="7"/>
  <c r="C30" i="7"/>
  <c r="C20" i="7"/>
  <c r="O48" i="5"/>
  <c r="P48" i="5" s="1"/>
  <c r="O40" i="5"/>
  <c r="P40" i="5" s="1"/>
  <c r="G40" i="5"/>
  <c r="H40" i="5" s="1"/>
  <c r="G48" i="5"/>
  <c r="H48" i="5" s="1"/>
  <c r="I40" i="5"/>
  <c r="J40" i="5" s="1"/>
  <c r="M48" i="5"/>
  <c r="N48" i="5" s="1"/>
  <c r="I48" i="5"/>
  <c r="J48" i="5" s="1"/>
  <c r="M40" i="5"/>
  <c r="N40" i="5" s="1"/>
  <c r="D30" i="7"/>
  <c r="E30" i="7" s="1"/>
  <c r="J30" i="7"/>
  <c r="K30" i="7" s="1"/>
  <c r="H30" i="7"/>
  <c r="I30" i="7" s="1"/>
  <c r="P15" i="5"/>
  <c r="M31" i="5"/>
  <c r="M33" i="5"/>
  <c r="M36" i="5"/>
  <c r="P18" i="5"/>
  <c r="G30" i="5"/>
  <c r="M32" i="5"/>
  <c r="G32" i="5"/>
  <c r="G29" i="5"/>
  <c r="P16" i="5"/>
  <c r="M35" i="5"/>
  <c r="M34" i="5"/>
  <c r="M35" i="6"/>
  <c r="D20" i="7" l="1"/>
  <c r="E20" i="7" s="1"/>
  <c r="AM12" i="8"/>
  <c r="S12" i="8"/>
  <c r="AM35" i="8"/>
  <c r="U6" i="7"/>
  <c r="AC35" i="8"/>
  <c r="S35" i="8"/>
  <c r="AC12" i="8"/>
  <c r="O48" i="6"/>
  <c r="F30" i="7"/>
  <c r="G30" i="7" s="1"/>
  <c r="E44" i="7"/>
  <c r="G40" i="6"/>
  <c r="H40" i="6" s="1"/>
  <c r="I48" i="6"/>
  <c r="AM11" i="8"/>
  <c r="AC34" i="8"/>
  <c r="AM34" i="8"/>
  <c r="U5" i="7"/>
  <c r="S11" i="8"/>
  <c r="S34" i="8"/>
  <c r="AC11" i="8"/>
  <c r="D19" i="7"/>
  <c r="E19" i="7" s="1"/>
  <c r="G49" i="6"/>
  <c r="H49" i="6" s="1"/>
  <c r="M49" i="6"/>
  <c r="N49" i="6" s="1"/>
  <c r="I49" i="6"/>
  <c r="J49" i="6" s="1"/>
  <c r="O49" i="6"/>
  <c r="P49" i="6" s="1"/>
  <c r="G41" i="6"/>
  <c r="H41" i="6" s="1"/>
  <c r="I41" i="6"/>
  <c r="J41" i="6" s="1"/>
  <c r="M41" i="6"/>
  <c r="N41" i="6" s="1"/>
  <c r="O41" i="6"/>
  <c r="P41" i="6" s="1"/>
  <c r="G53" i="6"/>
  <c r="H53" i="6" s="1"/>
  <c r="M53" i="6"/>
  <c r="N53" i="6" s="1"/>
  <c r="I53" i="6"/>
  <c r="J53" i="6" s="1"/>
  <c r="O53" i="6"/>
  <c r="P53" i="6" s="1"/>
  <c r="G45" i="6"/>
  <c r="H45" i="6" s="1"/>
  <c r="I45" i="6"/>
  <c r="J45" i="6" s="1"/>
  <c r="M45" i="6"/>
  <c r="N45" i="6" s="1"/>
  <c r="O45" i="6"/>
  <c r="P45" i="6" s="1"/>
  <c r="G51" i="6"/>
  <c r="H51" i="6" s="1"/>
  <c r="M51" i="6"/>
  <c r="N51" i="6" s="1"/>
  <c r="M43" i="6"/>
  <c r="N43" i="6" s="1"/>
  <c r="O43" i="6"/>
  <c r="P43" i="6" s="1"/>
  <c r="I51" i="6"/>
  <c r="J51" i="6" s="1"/>
  <c r="O51" i="6"/>
  <c r="P51" i="6" s="1"/>
  <c r="G43" i="6"/>
  <c r="H43" i="6" s="1"/>
  <c r="I43" i="6"/>
  <c r="J43" i="6" s="1"/>
  <c r="G42" i="6"/>
  <c r="H42" i="6" s="1"/>
  <c r="M42" i="6"/>
  <c r="N42" i="6" s="1"/>
  <c r="I42" i="6"/>
  <c r="J42" i="6" s="1"/>
  <c r="G50" i="6"/>
  <c r="H50" i="6" s="1"/>
  <c r="I50" i="6"/>
  <c r="J50" i="6" s="1"/>
  <c r="O42" i="6"/>
  <c r="P42" i="6" s="1"/>
  <c r="M50" i="6"/>
  <c r="N50" i="6" s="1"/>
  <c r="O50" i="6"/>
  <c r="P50" i="6" s="1"/>
  <c r="C31" i="7"/>
  <c r="E45" i="7" s="1"/>
  <c r="G49" i="5"/>
  <c r="H49" i="5" s="1"/>
  <c r="I41" i="5"/>
  <c r="J41" i="5" s="1"/>
  <c r="M49" i="5"/>
  <c r="N49" i="5" s="1"/>
  <c r="I49" i="5"/>
  <c r="J49" i="5" s="1"/>
  <c r="M41" i="5"/>
  <c r="N41" i="5" s="1"/>
  <c r="O49" i="5"/>
  <c r="P49" i="5" s="1"/>
  <c r="O41" i="5"/>
  <c r="P41" i="5" s="1"/>
  <c r="C21" i="7"/>
  <c r="G41" i="5"/>
  <c r="H41" i="5" s="1"/>
  <c r="C34" i="7"/>
  <c r="E48" i="7" s="1"/>
  <c r="O52" i="5"/>
  <c r="P52" i="5" s="1"/>
  <c r="O44" i="5"/>
  <c r="P44" i="5" s="1"/>
  <c r="G44" i="5"/>
  <c r="H44" i="5" s="1"/>
  <c r="C24" i="7"/>
  <c r="G52" i="5"/>
  <c r="H52" i="5" s="1"/>
  <c r="I44" i="5"/>
  <c r="J44" i="5" s="1"/>
  <c r="M52" i="5"/>
  <c r="N52" i="5" s="1"/>
  <c r="I52" i="5"/>
  <c r="J52" i="5" s="1"/>
  <c r="M44" i="5"/>
  <c r="N44" i="5" s="1"/>
  <c r="D29" i="7"/>
  <c r="E29" i="7" s="1"/>
  <c r="J29" i="7"/>
  <c r="K29" i="7" s="1"/>
  <c r="H29" i="7"/>
  <c r="I29" i="7" s="1"/>
  <c r="F29" i="7"/>
  <c r="G29" i="7" s="1"/>
  <c r="C32" i="7"/>
  <c r="O50" i="5"/>
  <c r="P50" i="5" s="1"/>
  <c r="O42" i="5"/>
  <c r="P42" i="5" s="1"/>
  <c r="C22" i="7"/>
  <c r="G42" i="5"/>
  <c r="H42" i="5" s="1"/>
  <c r="G50" i="5"/>
  <c r="H50" i="5" s="1"/>
  <c r="M42" i="5"/>
  <c r="N42" i="5" s="1"/>
  <c r="I42" i="5"/>
  <c r="J42" i="5" s="1"/>
  <c r="M50" i="5"/>
  <c r="N50" i="5" s="1"/>
  <c r="I50" i="5"/>
  <c r="J50" i="5" s="1"/>
  <c r="C33" i="7"/>
  <c r="E47" i="7" s="1"/>
  <c r="G51" i="5"/>
  <c r="H51" i="5" s="1"/>
  <c r="I43" i="5"/>
  <c r="J43" i="5" s="1"/>
  <c r="M51" i="5"/>
  <c r="N51" i="5" s="1"/>
  <c r="I51" i="5"/>
  <c r="J51" i="5" s="1"/>
  <c r="M43" i="5"/>
  <c r="N43" i="5" s="1"/>
  <c r="C23" i="7"/>
  <c r="O51" i="5"/>
  <c r="P51" i="5" s="1"/>
  <c r="O43" i="5"/>
  <c r="P43" i="5" s="1"/>
  <c r="G43" i="5"/>
  <c r="H43" i="5" s="1"/>
  <c r="J34" i="7"/>
  <c r="K34" i="7" s="1"/>
  <c r="F34" i="7"/>
  <c r="G34" i="7" s="1"/>
  <c r="H34" i="7"/>
  <c r="I34" i="7" s="1"/>
  <c r="D34" i="7"/>
  <c r="E34" i="7" s="1"/>
  <c r="J32" i="7"/>
  <c r="K32" i="7" s="1"/>
  <c r="H31" i="7"/>
  <c r="I31" i="7" s="1"/>
  <c r="J31" i="7"/>
  <c r="K31" i="7" s="1"/>
  <c r="D31" i="7"/>
  <c r="E31" i="7" s="1"/>
  <c r="F31" i="7"/>
  <c r="G31" i="7" s="1"/>
  <c r="P47" i="5"/>
  <c r="P39" i="5"/>
  <c r="J39" i="5"/>
  <c r="H48" i="6"/>
  <c r="N40" i="6"/>
  <c r="N48" i="6"/>
  <c r="J47" i="5"/>
  <c r="J48" i="6"/>
  <c r="J40" i="6"/>
  <c r="P48" i="6"/>
  <c r="P40" i="6"/>
  <c r="D23" i="7" l="1"/>
  <c r="E23" i="7" s="1"/>
  <c r="AC38" i="8"/>
  <c r="S15" i="8"/>
  <c r="S38" i="8"/>
  <c r="AC15" i="8"/>
  <c r="AM15" i="8"/>
  <c r="AM38" i="8"/>
  <c r="U9" i="7"/>
  <c r="D32" i="7"/>
  <c r="E32" i="7" s="1"/>
  <c r="E46" i="7"/>
  <c r="D21" i="7"/>
  <c r="E21" i="7" s="1"/>
  <c r="S36" i="8"/>
  <c r="AC13" i="8"/>
  <c r="AM13" i="8"/>
  <c r="AM36" i="8"/>
  <c r="U7" i="7"/>
  <c r="AC36" i="8"/>
  <c r="S13" i="8"/>
  <c r="F54" i="7"/>
  <c r="F59" i="7" s="1"/>
  <c r="F64" i="7" s="1"/>
  <c r="F53" i="7"/>
  <c r="F58" i="7" s="1"/>
  <c r="F63" i="7" s="1"/>
  <c r="F52" i="7"/>
  <c r="F57" i="7" s="1"/>
  <c r="F62" i="7" s="1"/>
  <c r="F55" i="7"/>
  <c r="F60" i="7" s="1"/>
  <c r="F65" i="7" s="1"/>
  <c r="D24" i="7"/>
  <c r="E24" i="7" s="1"/>
  <c r="AC39" i="8"/>
  <c r="S16" i="8"/>
  <c r="S39" i="8"/>
  <c r="AC16" i="8"/>
  <c r="AM16" i="8"/>
  <c r="U10" i="7"/>
  <c r="AM39" i="8"/>
  <c r="E53" i="7"/>
  <c r="E58" i="7" s="1"/>
  <c r="E63" i="7" s="1"/>
  <c r="E54" i="7"/>
  <c r="E59" i="7" s="1"/>
  <c r="E64" i="7" s="1"/>
  <c r="E52" i="7"/>
  <c r="E57" i="7" s="1"/>
  <c r="E62" i="7" s="1"/>
  <c r="E55" i="7"/>
  <c r="E60" i="7" s="1"/>
  <c r="E65" i="7" s="1"/>
  <c r="D22" i="7"/>
  <c r="E22" i="7" s="1"/>
  <c r="S37" i="8"/>
  <c r="AC14" i="8"/>
  <c r="AM37" i="8"/>
  <c r="U8" i="7"/>
  <c r="AM14" i="8"/>
  <c r="AC37" i="8"/>
  <c r="S14" i="8"/>
  <c r="V35" i="8"/>
  <c r="V36" i="8" s="1"/>
  <c r="C7" i="8" s="1"/>
  <c r="V40" i="8"/>
  <c r="V41" i="8" s="1"/>
  <c r="D7" i="8" s="1"/>
  <c r="V50" i="8"/>
  <c r="V51" i="8" s="1"/>
  <c r="F7" i="8" s="1"/>
  <c r="V45" i="8"/>
  <c r="V46" i="8" s="1"/>
  <c r="E7" i="8" s="1"/>
  <c r="H55" i="7"/>
  <c r="H60" i="7" s="1"/>
  <c r="H65" i="7" s="1"/>
  <c r="H54" i="7"/>
  <c r="H59" i="7" s="1"/>
  <c r="H64" i="7" s="1"/>
  <c r="H53" i="7"/>
  <c r="H58" i="7" s="1"/>
  <c r="H63" i="7" s="1"/>
  <c r="H52" i="7"/>
  <c r="H57" i="7" s="1"/>
  <c r="H62" i="7" s="1"/>
  <c r="I55" i="7"/>
  <c r="I60" i="7" s="1"/>
  <c r="I65" i="7" s="1"/>
  <c r="I54" i="7"/>
  <c r="I59" i="7" s="1"/>
  <c r="I64" i="7" s="1"/>
  <c r="I53" i="7"/>
  <c r="I58" i="7" s="1"/>
  <c r="I63" i="7" s="1"/>
  <c r="I52" i="7"/>
  <c r="I57" i="7" s="1"/>
  <c r="I62" i="7" s="1"/>
  <c r="AF50" i="8"/>
  <c r="AF51" i="8" s="1"/>
  <c r="F6" i="8" s="1"/>
  <c r="AF40" i="8"/>
  <c r="AF41" i="8" s="1"/>
  <c r="D6" i="8" s="1"/>
  <c r="AF35" i="8"/>
  <c r="AF36" i="8" s="1"/>
  <c r="C6" i="8" s="1"/>
  <c r="AF45" i="8"/>
  <c r="AF46" i="8" s="1"/>
  <c r="E6" i="8" s="1"/>
  <c r="H32" i="7"/>
  <c r="I32" i="7" s="1"/>
  <c r="F32" i="7"/>
  <c r="G32" i="7" s="1"/>
  <c r="D33" i="7"/>
  <c r="E33" i="7" s="1"/>
  <c r="J33" i="7"/>
  <c r="K33" i="7" s="1"/>
  <c r="F33" i="7"/>
  <c r="G33" i="7" s="1"/>
  <c r="H33" i="7"/>
  <c r="I33" i="7" s="1"/>
  <c r="AF22" i="8" l="1"/>
  <c r="AF23" i="8" s="1"/>
  <c r="E9" i="8" s="1"/>
  <c r="AF27" i="8"/>
  <c r="AF28" i="8" s="1"/>
  <c r="F9" i="8" s="1"/>
  <c r="AF12" i="8"/>
  <c r="AF13" i="8" s="1"/>
  <c r="C9" i="8" s="1"/>
  <c r="AF17" i="8"/>
  <c r="AF18" i="8" s="1"/>
  <c r="D9" i="8" s="1"/>
  <c r="N16" i="7"/>
  <c r="N17" i="7" s="1"/>
  <c r="N11" i="7"/>
  <c r="N12" i="7" s="1"/>
  <c r="N6" i="7"/>
  <c r="N7" i="7" s="1"/>
  <c r="N21" i="7"/>
  <c r="N22" i="7" s="1"/>
  <c r="V12" i="8"/>
  <c r="V13" i="8" s="1"/>
  <c r="C10" i="8" s="1"/>
  <c r="V22" i="8"/>
  <c r="V23" i="8" s="1"/>
  <c r="E10" i="8" s="1"/>
  <c r="V27" i="8"/>
  <c r="V28" i="8" s="1"/>
  <c r="F10" i="8" s="1"/>
  <c r="V17" i="8"/>
  <c r="V18" i="8" s="1"/>
  <c r="D10" i="8" s="1"/>
  <c r="L40" i="8"/>
  <c r="L41" i="8" s="1"/>
  <c r="D8" i="8" s="1"/>
  <c r="L50" i="8"/>
  <c r="L51" i="8" s="1"/>
  <c r="F8" i="8" s="1"/>
  <c r="L45" i="8"/>
  <c r="L46" i="8" s="1"/>
  <c r="E8" i="8" s="1"/>
  <c r="L35" i="8"/>
  <c r="L36" i="8" s="1"/>
  <c r="C8" i="8" s="1"/>
  <c r="G54" i="7"/>
  <c r="G59" i="7" s="1"/>
  <c r="G64" i="7" s="1"/>
  <c r="G53" i="7"/>
  <c r="G58" i="7" s="1"/>
  <c r="G63" i="7" s="1"/>
  <c r="G55" i="7"/>
  <c r="G60" i="7" s="1"/>
  <c r="G65" i="7" s="1"/>
  <c r="G52" i="7"/>
  <c r="G57" i="7" s="1"/>
  <c r="G62" i="7" s="1"/>
  <c r="L12" i="8"/>
  <c r="L13" i="8" s="1"/>
  <c r="C11" i="8" s="1"/>
  <c r="L27" i="8"/>
  <c r="L28" i="8" s="1"/>
  <c r="F11" i="8" s="1"/>
  <c r="L22" i="8"/>
  <c r="L23" i="8" s="1"/>
  <c r="E11" i="8" s="1"/>
  <c r="L17" i="8"/>
  <c r="L18" i="8" s="1"/>
  <c r="D11" i="8" s="1"/>
  <c r="V26" i="3" l="1"/>
  <c r="J26" i="3"/>
  <c r="P36" i="3"/>
  <c r="Q36" i="3" s="1"/>
  <c r="P26" i="3"/>
  <c r="Q26" i="3" s="1"/>
  <c r="D26" i="3"/>
  <c r="Q9" i="3"/>
  <c r="Q35" i="3"/>
  <c r="W34" i="3"/>
  <c r="Q34" i="3"/>
  <c r="W33" i="3"/>
  <c r="Q33" i="3"/>
  <c r="W32" i="3"/>
  <c r="Q32" i="3"/>
  <c r="W31" i="3"/>
  <c r="Q31" i="3"/>
  <c r="W25" i="3"/>
  <c r="Q25" i="3"/>
  <c r="W24" i="3"/>
  <c r="Q24" i="3"/>
  <c r="W23" i="3"/>
  <c r="Q23" i="3"/>
  <c r="W22" i="3"/>
  <c r="Q22" i="3"/>
  <c r="W21" i="3"/>
  <c r="Q21" i="3"/>
  <c r="T13" i="3"/>
  <c r="S13" i="3"/>
  <c r="Q13" i="3"/>
  <c r="T12" i="3"/>
  <c r="S12" i="3"/>
  <c r="Q12" i="3"/>
  <c r="T11" i="3"/>
  <c r="S11" i="3"/>
  <c r="Q11" i="3"/>
  <c r="T10" i="3"/>
  <c r="S10" i="3"/>
  <c r="Q10" i="3"/>
  <c r="T9" i="3"/>
  <c r="S9" i="3"/>
  <c r="H10" i="3"/>
  <c r="H11" i="3"/>
  <c r="H12" i="3"/>
  <c r="H13" i="3"/>
  <c r="H14" i="3"/>
  <c r="H9" i="3"/>
  <c r="G10" i="3"/>
  <c r="G11" i="3"/>
  <c r="G12" i="3"/>
  <c r="G13" i="3"/>
  <c r="G14" i="3"/>
  <c r="G9" i="3"/>
  <c r="E11" i="3"/>
  <c r="E10" i="3"/>
  <c r="E12" i="3"/>
  <c r="E13" i="3"/>
  <c r="E14" i="3"/>
  <c r="E9" i="3"/>
  <c r="D36" i="3"/>
  <c r="E36" i="3" s="1"/>
  <c r="K36" i="3"/>
  <c r="K35" i="3"/>
  <c r="E35" i="3"/>
  <c r="K34" i="3"/>
  <c r="E34" i="3"/>
  <c r="K33" i="3"/>
  <c r="E33" i="3"/>
  <c r="K32" i="3"/>
  <c r="E32" i="3"/>
  <c r="K31" i="3"/>
  <c r="E31" i="3"/>
  <c r="I10" i="3" l="1"/>
  <c r="C40" i="3" s="1"/>
  <c r="M44" i="3"/>
  <c r="M40" i="3"/>
  <c r="M41" i="3"/>
  <c r="M45" i="3"/>
  <c r="M43" i="3"/>
  <c r="M42" i="3"/>
  <c r="G42" i="3" s="1"/>
  <c r="L41" i="3"/>
  <c r="L45" i="3"/>
  <c r="L42" i="3"/>
  <c r="L43" i="3"/>
  <c r="L40" i="3"/>
  <c r="L44" i="3"/>
  <c r="F12" i="3"/>
  <c r="E15" i="3"/>
  <c r="R10" i="3"/>
  <c r="R12" i="3"/>
  <c r="H15" i="3"/>
  <c r="G15" i="3"/>
  <c r="R13" i="3"/>
  <c r="R11" i="3"/>
  <c r="U10" i="3"/>
  <c r="F40" i="3" s="1"/>
  <c r="U13" i="3"/>
  <c r="F43" i="3" s="1"/>
  <c r="H43" i="3" s="1"/>
  <c r="U11" i="3"/>
  <c r="F41" i="3" s="1"/>
  <c r="U12" i="3"/>
  <c r="F42" i="3" s="1"/>
  <c r="W26" i="3"/>
  <c r="K25" i="3"/>
  <c r="K24" i="3"/>
  <c r="K23" i="3"/>
  <c r="K22" i="3"/>
  <c r="K21" i="3"/>
  <c r="E23" i="3"/>
  <c r="E24" i="3"/>
  <c r="E25" i="3"/>
  <c r="E22" i="3"/>
  <c r="E21" i="3"/>
  <c r="I11" i="3"/>
  <c r="C41" i="3" s="1"/>
  <c r="I13" i="3"/>
  <c r="C43" i="3" s="1"/>
  <c r="F14" i="3"/>
  <c r="I12" i="3"/>
  <c r="C42" i="3" s="1"/>
  <c r="E26" i="3"/>
  <c r="G43" i="3" l="1"/>
  <c r="E41" i="3"/>
  <c r="D41" i="3"/>
  <c r="J41" i="3"/>
  <c r="G40" i="3"/>
  <c r="H40" i="3"/>
  <c r="E42" i="3"/>
  <c r="J42" i="3"/>
  <c r="D42" i="3"/>
  <c r="H41" i="3"/>
  <c r="G41" i="3"/>
  <c r="J43" i="3"/>
  <c r="D43" i="3"/>
  <c r="E43" i="3"/>
  <c r="H42" i="3"/>
  <c r="E40" i="3"/>
  <c r="D40" i="3"/>
  <c r="J40" i="3"/>
  <c r="I41" i="3"/>
  <c r="I42" i="3"/>
  <c r="I43" i="3"/>
  <c r="I40" i="3"/>
  <c r="F13" i="3"/>
  <c r="I14" i="3"/>
  <c r="C44" i="3" s="1"/>
  <c r="I15" i="3"/>
  <c r="C45" i="3" s="1"/>
  <c r="K26" i="3"/>
  <c r="F10" i="3"/>
  <c r="F11" i="3"/>
  <c r="F15" i="3"/>
  <c r="D45" i="3" l="1"/>
  <c r="E45" i="3"/>
  <c r="D44" i="3"/>
  <c r="E44" i="3"/>
  <c r="Q14" i="3"/>
  <c r="R14" i="3" s="1"/>
  <c r="T14" i="3"/>
  <c r="W35" i="3"/>
  <c r="S14" i="3"/>
  <c r="U14" i="3" s="1"/>
  <c r="F44" i="3" s="1"/>
  <c r="V36" i="3"/>
  <c r="T15" i="3" s="1"/>
  <c r="H44" i="3" l="1"/>
  <c r="G44" i="3"/>
  <c r="J44" i="3"/>
  <c r="I44" i="3"/>
  <c r="S15" i="3"/>
  <c r="U15" i="3" s="1"/>
  <c r="F45" i="3" s="1"/>
  <c r="W36" i="3"/>
  <c r="Q15" i="3"/>
  <c r="R15" i="3" s="1"/>
  <c r="H45" i="3" l="1"/>
  <c r="G45" i="3"/>
  <c r="J45" i="3"/>
  <c r="I45" i="3"/>
</calcChain>
</file>

<file path=xl/comments1.xml><?xml version="1.0" encoding="utf-8"?>
<comments xmlns="http://schemas.openxmlformats.org/spreadsheetml/2006/main">
  <authors>
    <author>Windows User</author>
  </authors>
  <commentList>
    <comment ref="B8" authorId="0" shapeId="0">
      <text>
        <r>
          <rPr>
            <b/>
            <sz val="9"/>
            <color indexed="81"/>
            <rFont val="Tahoma"/>
            <family val="2"/>
          </rPr>
          <t>Windows User:</t>
        </r>
        <r>
          <rPr>
            <sz val="9"/>
            <color indexed="81"/>
            <rFont val="Tahoma"/>
            <family val="2"/>
          </rPr>
          <t xml:space="preserve">
Based on the Wentworth Grain Size Chart</t>
        </r>
      </text>
    </comment>
    <comment ref="N8" authorId="0" shapeId="0">
      <text>
        <r>
          <rPr>
            <b/>
            <sz val="9"/>
            <color indexed="81"/>
            <rFont val="Tahoma"/>
            <family val="2"/>
          </rPr>
          <t>Windows User:</t>
        </r>
        <r>
          <rPr>
            <sz val="9"/>
            <color indexed="81"/>
            <rFont val="Tahoma"/>
            <family val="2"/>
          </rPr>
          <t xml:space="preserve">
Based on the Wentworth Grain Size Chart</t>
        </r>
      </text>
    </comment>
    <comment ref="A19" authorId="0" shapeId="0">
      <text>
        <r>
          <rPr>
            <b/>
            <sz val="9"/>
            <color indexed="81"/>
            <rFont val="Tahoma"/>
            <family val="2"/>
          </rPr>
          <t>Windows User:</t>
        </r>
        <r>
          <rPr>
            <sz val="9"/>
            <color indexed="81"/>
            <rFont val="Tahoma"/>
            <family val="2"/>
          </rPr>
          <t xml:space="preserve">
Based on the Wentworth Grain Size Chart
</t>
        </r>
      </text>
    </comment>
    <comment ref="D19" authorId="0" shapeId="0">
      <text>
        <r>
          <rPr>
            <b/>
            <sz val="9"/>
            <color indexed="81"/>
            <rFont val="Tahoma"/>
            <family val="2"/>
          </rPr>
          <t>Windows User:</t>
        </r>
        <r>
          <rPr>
            <sz val="9"/>
            <color indexed="81"/>
            <rFont val="Tahoma"/>
            <family val="2"/>
          </rPr>
          <t xml:space="preserve">
Dry wieght after sitting in a 60C oven for 3 days.</t>
        </r>
      </text>
    </comment>
    <comment ref="G19" authorId="0" shapeId="0">
      <text>
        <r>
          <rPr>
            <b/>
            <sz val="9"/>
            <color indexed="81"/>
            <rFont val="Tahoma"/>
            <family val="2"/>
          </rPr>
          <t>Windows User:</t>
        </r>
        <r>
          <rPr>
            <sz val="9"/>
            <color indexed="81"/>
            <rFont val="Tahoma"/>
            <family val="2"/>
          </rPr>
          <t xml:space="preserve">
Based on the Wentworth Grain Size Chart</t>
        </r>
      </text>
    </comment>
    <comment ref="J19" authorId="0" shapeId="0">
      <text>
        <r>
          <rPr>
            <b/>
            <sz val="9"/>
            <color indexed="81"/>
            <rFont val="Tahoma"/>
            <family val="2"/>
          </rPr>
          <t>Windows User:</t>
        </r>
        <r>
          <rPr>
            <sz val="9"/>
            <color indexed="81"/>
            <rFont val="Tahoma"/>
            <family val="2"/>
          </rPr>
          <t xml:space="preserve">
Dry wieght after sitting in a 60C oven for 3 days.</t>
        </r>
      </text>
    </comment>
    <comment ref="M19" authorId="0" shapeId="0">
      <text>
        <r>
          <rPr>
            <b/>
            <sz val="9"/>
            <color indexed="81"/>
            <rFont val="Tahoma"/>
            <family val="2"/>
          </rPr>
          <t>Windows User:</t>
        </r>
        <r>
          <rPr>
            <sz val="9"/>
            <color indexed="81"/>
            <rFont val="Tahoma"/>
            <family val="2"/>
          </rPr>
          <t xml:space="preserve">
Based on the Wentworth Grain Size Chart
</t>
        </r>
      </text>
    </comment>
    <comment ref="P19" authorId="0" shapeId="0">
      <text>
        <r>
          <rPr>
            <b/>
            <sz val="9"/>
            <color indexed="81"/>
            <rFont val="Tahoma"/>
            <family val="2"/>
          </rPr>
          <t>Windows User:</t>
        </r>
        <r>
          <rPr>
            <sz val="9"/>
            <color indexed="81"/>
            <rFont val="Tahoma"/>
            <family val="2"/>
          </rPr>
          <t xml:space="preserve">
Dry wieght after sitting in a 60C oven for 3 days.</t>
        </r>
      </text>
    </comment>
    <comment ref="S19" authorId="0" shapeId="0">
      <text>
        <r>
          <rPr>
            <b/>
            <sz val="9"/>
            <color indexed="81"/>
            <rFont val="Tahoma"/>
            <family val="2"/>
          </rPr>
          <t>Windows User:</t>
        </r>
        <r>
          <rPr>
            <sz val="9"/>
            <color indexed="81"/>
            <rFont val="Tahoma"/>
            <family val="2"/>
          </rPr>
          <t xml:space="preserve">
Based on the Wentworth Grain Size Chart</t>
        </r>
      </text>
    </comment>
    <comment ref="V19" authorId="0" shapeId="0">
      <text>
        <r>
          <rPr>
            <b/>
            <sz val="9"/>
            <color indexed="81"/>
            <rFont val="Tahoma"/>
            <family val="2"/>
          </rPr>
          <t>Windows User:</t>
        </r>
        <r>
          <rPr>
            <sz val="9"/>
            <color indexed="81"/>
            <rFont val="Tahoma"/>
            <family val="2"/>
          </rPr>
          <t xml:space="preserve">
Dry wieght after sitting in a 60C oven for 3 days.</t>
        </r>
      </text>
    </comment>
    <comment ref="D26" authorId="0" shapeId="0">
      <text>
        <r>
          <rPr>
            <b/>
            <sz val="9"/>
            <color indexed="81"/>
            <rFont val="Tahoma"/>
            <charset val="1"/>
          </rPr>
          <t>Windows User:</t>
        </r>
        <r>
          <rPr>
            <sz val="9"/>
            <color indexed="81"/>
            <rFont val="Tahoma"/>
            <charset val="1"/>
          </rPr>
          <t xml:space="preserve">
Calculated based on the fact that any remaining weight would be lost due to static on the sieve or container and would not be included otherwise. This was suggested by the people in Earth Sciences who helped me with the sediment shaker. </t>
        </r>
      </text>
    </comment>
    <comment ref="J26" authorId="0" shapeId="0">
      <text>
        <r>
          <rPr>
            <b/>
            <sz val="9"/>
            <color indexed="81"/>
            <rFont val="Tahoma"/>
            <charset val="1"/>
          </rPr>
          <t>Windows User:</t>
        </r>
        <r>
          <rPr>
            <sz val="9"/>
            <color indexed="81"/>
            <rFont val="Tahoma"/>
            <charset val="1"/>
          </rPr>
          <t xml:space="preserve">
This was the 0.1842g plus the additional missing weight Calculated based on the fact that any remaining weight would be lost due to static on the sieve or container and would not be included otherwise. This was suggested by the people in Earth Sciences who helped me with the sediment shaker. </t>
        </r>
      </text>
    </comment>
    <comment ref="P26" authorId="0" shapeId="0">
      <text>
        <r>
          <rPr>
            <b/>
            <sz val="9"/>
            <color indexed="81"/>
            <rFont val="Tahoma"/>
            <charset val="1"/>
          </rPr>
          <t>Windows User:</t>
        </r>
        <r>
          <rPr>
            <sz val="9"/>
            <color indexed="81"/>
            <rFont val="Tahoma"/>
            <charset val="1"/>
          </rPr>
          <t xml:space="preserve">
This was the 0.1002g plus the additional missing weight Calculated based on the fact that any remaining weight would be lost due to static on the sieve or container and would not be included otherwise. This was suggested by the people in Earth Sciences who helped me with the sediment shaker. </t>
        </r>
      </text>
    </comment>
    <comment ref="V26" authorId="0" shapeId="0">
      <text>
        <r>
          <rPr>
            <b/>
            <sz val="9"/>
            <color indexed="81"/>
            <rFont val="Tahoma"/>
            <charset val="1"/>
          </rPr>
          <t>Windows User:</t>
        </r>
        <r>
          <rPr>
            <sz val="9"/>
            <color indexed="81"/>
            <rFont val="Tahoma"/>
            <charset val="1"/>
          </rPr>
          <t xml:space="preserve">
Calculated based on the fact that any remaining weight would be lost due to static on the sieve or container and would not be included otherwise. This was suggested by the people in Earth Sciences who helped me with the sediment shaker. </t>
        </r>
      </text>
    </comment>
    <comment ref="A29" authorId="0" shapeId="0">
      <text>
        <r>
          <rPr>
            <b/>
            <sz val="9"/>
            <color indexed="81"/>
            <rFont val="Tahoma"/>
            <family val="2"/>
          </rPr>
          <t>Windows User:</t>
        </r>
        <r>
          <rPr>
            <sz val="9"/>
            <color indexed="81"/>
            <rFont val="Tahoma"/>
            <family val="2"/>
          </rPr>
          <t xml:space="preserve">
Based on the Wentworth Grain Size Chart
</t>
        </r>
      </text>
    </comment>
    <comment ref="D29" authorId="0" shapeId="0">
      <text>
        <r>
          <rPr>
            <b/>
            <sz val="9"/>
            <color indexed="81"/>
            <rFont val="Tahoma"/>
            <family val="2"/>
          </rPr>
          <t>Windows User:</t>
        </r>
        <r>
          <rPr>
            <sz val="9"/>
            <color indexed="81"/>
            <rFont val="Tahoma"/>
            <family val="2"/>
          </rPr>
          <t xml:space="preserve">
Dry wieght after sitting in a 60C oven for 3 days.</t>
        </r>
      </text>
    </comment>
    <comment ref="G29" authorId="0" shapeId="0">
      <text>
        <r>
          <rPr>
            <b/>
            <sz val="9"/>
            <color indexed="81"/>
            <rFont val="Tahoma"/>
            <family val="2"/>
          </rPr>
          <t>Windows User:</t>
        </r>
        <r>
          <rPr>
            <sz val="9"/>
            <color indexed="81"/>
            <rFont val="Tahoma"/>
            <family val="2"/>
          </rPr>
          <t xml:space="preserve">
Based on the Wentworth Grain Size Chart</t>
        </r>
      </text>
    </comment>
    <comment ref="J29" authorId="0" shapeId="0">
      <text>
        <r>
          <rPr>
            <b/>
            <sz val="9"/>
            <color indexed="81"/>
            <rFont val="Tahoma"/>
            <family val="2"/>
          </rPr>
          <t>Windows User:</t>
        </r>
        <r>
          <rPr>
            <sz val="9"/>
            <color indexed="81"/>
            <rFont val="Tahoma"/>
            <family val="2"/>
          </rPr>
          <t xml:space="preserve">
Dry wieght after sitting in a 60C oven for 3 days.</t>
        </r>
      </text>
    </comment>
    <comment ref="M29" authorId="0" shapeId="0">
      <text>
        <r>
          <rPr>
            <b/>
            <sz val="9"/>
            <color indexed="81"/>
            <rFont val="Tahoma"/>
            <family val="2"/>
          </rPr>
          <t>Windows User:</t>
        </r>
        <r>
          <rPr>
            <sz val="9"/>
            <color indexed="81"/>
            <rFont val="Tahoma"/>
            <family val="2"/>
          </rPr>
          <t xml:space="preserve">
Based on the Wentworth Grain Size Chart
</t>
        </r>
      </text>
    </comment>
    <comment ref="P29" authorId="0" shapeId="0">
      <text>
        <r>
          <rPr>
            <b/>
            <sz val="9"/>
            <color indexed="81"/>
            <rFont val="Tahoma"/>
            <family val="2"/>
          </rPr>
          <t>Windows User:</t>
        </r>
        <r>
          <rPr>
            <sz val="9"/>
            <color indexed="81"/>
            <rFont val="Tahoma"/>
            <family val="2"/>
          </rPr>
          <t xml:space="preserve">
Dry wieght after sitting in a 60C oven for 3 days.</t>
        </r>
      </text>
    </comment>
    <comment ref="S29" authorId="0" shapeId="0">
      <text>
        <r>
          <rPr>
            <b/>
            <sz val="9"/>
            <color indexed="81"/>
            <rFont val="Tahoma"/>
            <family val="2"/>
          </rPr>
          <t>Windows User:</t>
        </r>
        <r>
          <rPr>
            <sz val="9"/>
            <color indexed="81"/>
            <rFont val="Tahoma"/>
            <family val="2"/>
          </rPr>
          <t xml:space="preserve">
Based on the Wentworth Grain Size Chart</t>
        </r>
      </text>
    </comment>
    <comment ref="V29" authorId="0" shapeId="0">
      <text>
        <r>
          <rPr>
            <b/>
            <sz val="9"/>
            <color indexed="81"/>
            <rFont val="Tahoma"/>
            <family val="2"/>
          </rPr>
          <t>Windows User:</t>
        </r>
        <r>
          <rPr>
            <sz val="9"/>
            <color indexed="81"/>
            <rFont val="Tahoma"/>
            <family val="2"/>
          </rPr>
          <t xml:space="preserve">
Dry wieght after sitting in a 60C oven for 3 days.</t>
        </r>
      </text>
    </comment>
    <comment ref="D36" authorId="0" shapeId="0">
      <text>
        <r>
          <rPr>
            <sz val="9"/>
            <color indexed="81"/>
            <rFont val="Tahoma"/>
            <family val="2"/>
          </rPr>
          <t xml:space="preserve">This was the 3.26g plus the additional missing weight Calculated based on the fact that any remaining weight would be lost due to static on the sieve or container and would not be included otherwise. This was suggested by the people in Earth Sciences who helped me with the sediment shaker. </t>
        </r>
      </text>
    </comment>
    <comment ref="P36" authorId="0" shapeId="0">
      <text>
        <r>
          <rPr>
            <b/>
            <sz val="9"/>
            <color indexed="81"/>
            <rFont val="Tahoma"/>
            <charset val="1"/>
          </rPr>
          <t>Windows User:</t>
        </r>
        <r>
          <rPr>
            <sz val="9"/>
            <color indexed="81"/>
            <rFont val="Tahoma"/>
            <charset val="1"/>
          </rPr>
          <t xml:space="preserve">
Calculated based on the fact that any remaining weight would be lost due to static on the sieve or container and would not be included otherwise. This was suggested by the people in Earth Sciences who helped me with the sediment shaker. </t>
        </r>
      </text>
    </comment>
    <comment ref="V36" authorId="0" shapeId="0">
      <text>
        <r>
          <rPr>
            <b/>
            <sz val="9"/>
            <color indexed="81"/>
            <rFont val="Tahoma"/>
            <charset val="1"/>
          </rPr>
          <t>Windows User:</t>
        </r>
        <r>
          <rPr>
            <sz val="9"/>
            <color indexed="81"/>
            <rFont val="Tahoma"/>
            <charset val="1"/>
          </rPr>
          <t xml:space="preserve">
Calculated based on the fact that any remaining weight would be lost due to static on the sieve or container and would not be included otherwise. This was suggested by the people in Earth Sciences who helped me with the sediment shaker. </t>
        </r>
      </text>
    </comment>
    <comment ref="K39" authorId="0" shapeId="0">
      <text>
        <r>
          <rPr>
            <b/>
            <sz val="9"/>
            <color indexed="81"/>
            <rFont val="Tahoma"/>
            <family val="2"/>
          </rPr>
          <t>Windows User:</t>
        </r>
        <r>
          <rPr>
            <sz val="9"/>
            <color indexed="81"/>
            <rFont val="Tahoma"/>
            <family val="2"/>
          </rPr>
          <t xml:space="preserve">
Taken using:
http://epitools.ausvet.com.au/content.php?page=z-test-2&amp;p1=0.69&amp;p2=0.52&amp;n1=4&amp;n2=4&amp;Conf=0.05&amp;tails=2&amp;samples=2</t>
        </r>
      </text>
    </comment>
  </commentList>
</comments>
</file>

<file path=xl/comments2.xml><?xml version="1.0" encoding="utf-8"?>
<comments xmlns="http://schemas.openxmlformats.org/spreadsheetml/2006/main">
  <authors>
    <author>Leys Lab</author>
    <author>Windows User</author>
  </authors>
  <commentList>
    <comment ref="O2" authorId="0" shapeId="0">
      <text>
        <r>
          <rPr>
            <b/>
            <sz val="12"/>
            <color indexed="81"/>
            <rFont val="Tahoma"/>
            <family val="2"/>
          </rPr>
          <t>Leys Lab:</t>
        </r>
        <r>
          <rPr>
            <sz val="12"/>
            <color indexed="81"/>
            <rFont val="Tahoma"/>
            <family val="2"/>
          </rPr>
          <t xml:space="preserve">
This does not include the water and pore space so the density will be higher. This density should be used when you are talking about sediments in suspension - as said by Lindsey Leighton
https://www.slideshare.net/agriyouthnepal/bulk-density-particle-density-definition-factors-affecting-bulk-density-and-particle-density</t>
        </r>
      </text>
    </comment>
    <comment ref="Q2" authorId="0" shapeId="0">
      <text>
        <r>
          <rPr>
            <b/>
            <sz val="12"/>
            <color indexed="81"/>
            <rFont val="Tahoma"/>
            <family val="2"/>
          </rPr>
          <t>Leys Lab:</t>
        </r>
        <r>
          <rPr>
            <sz val="12"/>
            <color indexed="81"/>
            <rFont val="Tahoma"/>
            <family val="2"/>
          </rPr>
          <t xml:space="preserve">
Bulk Density includes the water and pore space in the sample which decreases the density. - as said by Lindsey Leighton</t>
        </r>
      </text>
    </comment>
    <comment ref="G26" authorId="1" shapeId="0">
      <text>
        <r>
          <rPr>
            <b/>
            <sz val="9"/>
            <color indexed="81"/>
            <rFont val="Tahoma"/>
            <family val="2"/>
          </rPr>
          <t>Windows User:</t>
        </r>
        <r>
          <rPr>
            <sz val="9"/>
            <color indexed="81"/>
            <rFont val="Tahoma"/>
            <family val="2"/>
          </rPr>
          <t xml:space="preserve">
Calculated using formula from Boutillier et al (2013) which were verified using: https://www.ajdesigner.com/phpstokeslaw/stokes_law_terminal_velocity.php#ajscroll</t>
        </r>
      </text>
    </comment>
  </commentList>
</comments>
</file>

<file path=xl/comments3.xml><?xml version="1.0" encoding="utf-8"?>
<comments xmlns="http://schemas.openxmlformats.org/spreadsheetml/2006/main">
  <authors>
    <author>Leys Lab</author>
    <author>Windows User</author>
  </authors>
  <commentList>
    <comment ref="O2" authorId="0" shapeId="0">
      <text>
        <r>
          <rPr>
            <b/>
            <sz val="12"/>
            <color indexed="81"/>
            <rFont val="Tahoma"/>
            <family val="2"/>
          </rPr>
          <t>Leys Lab:</t>
        </r>
        <r>
          <rPr>
            <sz val="12"/>
            <color indexed="81"/>
            <rFont val="Tahoma"/>
            <family val="2"/>
          </rPr>
          <t xml:space="preserve">
This does not include the water and pore space so the density will be higher. This density should be used when you are talking about sediments in suspension - as said by Lindsey Leighton
https://www.slideshare.net/agriyouthnepal/bulk-density-particle-density-definition-factors-affecting-bulk-density-and-particle-density</t>
        </r>
      </text>
    </comment>
    <comment ref="Q2" authorId="0" shapeId="0">
      <text>
        <r>
          <rPr>
            <b/>
            <sz val="12"/>
            <color indexed="81"/>
            <rFont val="Tahoma"/>
            <family val="2"/>
          </rPr>
          <t>Leys Lab:</t>
        </r>
        <r>
          <rPr>
            <sz val="12"/>
            <color indexed="81"/>
            <rFont val="Tahoma"/>
            <family val="2"/>
          </rPr>
          <t xml:space="preserve">
Bulk Density includes the water and pore space in the sample which decreases the density. - as said by Lindsey Leighton</t>
        </r>
      </text>
    </comment>
    <comment ref="G26" authorId="1" shapeId="0">
      <text>
        <r>
          <rPr>
            <b/>
            <sz val="9"/>
            <color indexed="81"/>
            <rFont val="Tahoma"/>
            <family val="2"/>
          </rPr>
          <t>Windows User:</t>
        </r>
        <r>
          <rPr>
            <sz val="9"/>
            <color indexed="81"/>
            <rFont val="Tahoma"/>
            <family val="2"/>
          </rPr>
          <t xml:space="preserve">
Calculated using formula from Boutillier et al (2013) which were verified using: https://www.ajdesigner.com/phpstokeslaw/stokes_law_terminal_velocity.php#ajscroll</t>
        </r>
      </text>
    </comment>
  </commentList>
</comments>
</file>

<file path=xl/comments4.xml><?xml version="1.0" encoding="utf-8"?>
<comments xmlns="http://schemas.openxmlformats.org/spreadsheetml/2006/main">
  <authors>
    <author>Windows User</author>
  </authors>
  <commentList>
    <comment ref="C7" authorId="0" shapeId="0">
      <text>
        <r>
          <rPr>
            <b/>
            <sz val="9"/>
            <color indexed="81"/>
            <rFont val="Tahoma"/>
            <family val="2"/>
          </rPr>
          <t>Windows User:</t>
        </r>
        <r>
          <rPr>
            <sz val="9"/>
            <color indexed="81"/>
            <rFont val="Tahoma"/>
            <family val="2"/>
          </rPr>
          <t xml:space="preserve">
This will equate to half the tidal cycle as the tides only travel in one continuous direction for half the time. </t>
        </r>
      </text>
    </comment>
  </commentList>
</comments>
</file>

<file path=xl/sharedStrings.xml><?xml version="1.0" encoding="utf-8"?>
<sst xmlns="http://schemas.openxmlformats.org/spreadsheetml/2006/main" count="1210" uniqueCount="259">
  <si>
    <t>Prawn and Shrimp Trap</t>
  </si>
  <si>
    <t>Types of Fishing Activity in Hecate Strait</t>
  </si>
  <si>
    <t>Groundfish Trawl (Bottom-contact)</t>
  </si>
  <si>
    <t>Groundfish Trawl (Midwater)</t>
  </si>
  <si>
    <t>Pacific hake</t>
  </si>
  <si>
    <t>Spot Prawn (B.C. prawn)</t>
  </si>
  <si>
    <t>Main Target Species</t>
  </si>
  <si>
    <t>Pacific Ocean Perch</t>
  </si>
  <si>
    <t>Other species</t>
  </si>
  <si>
    <t>Pacific Halibut</t>
  </si>
  <si>
    <t>Lingcod, Quillback Rockfish</t>
  </si>
  <si>
    <t>Yellow Rockfish, Silvergray Rockfish, Yellowmouth Rochfish, Redstripe Rockfish, Dover Sole</t>
  </si>
  <si>
    <t># of events that intersected AMZ (over 2007-2011)</t>
  </si>
  <si>
    <t>Year</t>
  </si>
  <si>
    <t>Reef Complex</t>
  </si>
  <si>
    <t>Central</t>
  </si>
  <si>
    <t>Count of Trips</t>
  </si>
  <si>
    <t>Count of Vessels</t>
  </si>
  <si>
    <t>Count of Tows</t>
  </si>
  <si>
    <t>Northern</t>
  </si>
  <si>
    <t>Southern</t>
  </si>
  <si>
    <t>Calendar Fishing Days</t>
  </si>
  <si>
    <t>Total Tow Time (hours)</t>
  </si>
  <si>
    <t>Average Tows/Day Fished</t>
  </si>
  <si>
    <t>Groundfish Hook and Line &amp; Longline</t>
  </si>
  <si>
    <t>Count of Sets</t>
  </si>
  <si>
    <t>Average Sets/Day Fished</t>
  </si>
  <si>
    <t>Fishing Days</t>
  </si>
  <si>
    <t>Trap Fishing Within AMZ from 2007-2011</t>
  </si>
  <si>
    <t>Hook and Line &amp; Longline Fishing Within AMZ from 2007-2011</t>
  </si>
  <si>
    <t xml:space="preserve">Count of Vessels </t>
  </si>
  <si>
    <t>Midwater Trawl Fishing Within AMZ from 2007-2011</t>
  </si>
  <si>
    <t>Bottom-contact Trawl Fishing Within AMZ from 2007-2011</t>
  </si>
  <si>
    <t>The average tow length was 5.97 km for fishing events that occurred in the AMZ from 2007-2011.</t>
  </si>
  <si>
    <t xml:space="preserve">In studies carried out that measured the height of the remobilized material behind a trawl, the calculated sediment cloud was estimated to be 12 m off the bottom (Churchill et al. 1988; Churchill 1989; Dounas et al. 2007) </t>
  </si>
  <si>
    <t>The average grain size and proportion of sediment type of: 55% silt (3.9 to 63um), 30% clay (0 to 3.9um) and 15% sand (63um+).with a calculated D50 = 20um.</t>
  </si>
  <si>
    <t>The maximum current speed measured is at 3.5m from the bottom is 0.35m/s.</t>
  </si>
  <si>
    <t>The majority of particles smaller than 20um however likely act as cohesive aggregates. The settling rates calculations for cohesive aggregates are calculated using data from Lintern (2003). The clay-silt cohesion meant that overall equivalent spherical particle diameter of a floc was normally above 20um. The settling velocities achieved varied greatly, but majority of flocculated particles settled between 200 and 300um per second (=0.2 to 0.3mm/sec or 0.72 to 1.08m/hr). Due to the relatively lower effective density of the floc, this settling velocity is equivalent to a slightly smaller diameter non-cohesive particle of near 15um. In three hours, sediment ejected to 3.5m will have settled and reformed with the bottom at a distance of no more than 2 to 3 km while sediment ejected higher than this (up to 10m) could travel as far as 7-8 km.</t>
  </si>
  <si>
    <t>If resuspended through trawling activity, under a maximum current flow of 0.35m/s, a noncohesive material with a median particle size 0.02mm would settle in less than one hour (Figure 16Figure 16) and travel 1000m if ejected 3.5m or 10000m if ejected 10m into the water column (Figure 18). Larger non-cohesive particles will be deposited more quickly and closer than this to the original disturbed location. For instance, the largest silts (&gt;0.05mm) and sands will settle up to a maximum of 100m away (Figure 18), assuming they are ejected 10m into the water column. Note that these numbers for settling time and distance traveled double as the ejection height doubles.</t>
  </si>
  <si>
    <t>There are various types of sediment around the different reef complexes and if some of this sediment does not flocculate easily, which would be uncommon, the smallest particles could travel tens to hundreds of miles.</t>
  </si>
  <si>
    <r>
      <t xml:space="preserve">Sediment mobility based on Boutillier </t>
    </r>
    <r>
      <rPr>
        <b/>
        <i/>
        <sz val="24"/>
        <color theme="1"/>
        <rFont val="Calibri"/>
        <family val="2"/>
        <scheme val="minor"/>
      </rPr>
      <t>et al.</t>
    </r>
    <r>
      <rPr>
        <b/>
        <sz val="24"/>
        <color theme="1"/>
        <rFont val="Calibri"/>
        <family val="2"/>
        <scheme val="minor"/>
      </rPr>
      <t xml:space="preserve"> 2013 CSAS Report</t>
    </r>
  </si>
  <si>
    <t>• The majority of large silt to sand-sized particles will settle to the bottom within one tidal cycle
• The majority of cohesive-sized particles (small silt and clay), which is the most common particle size, are likely to be flocculated and will travel up to 8 km if ejected 10m into the water column. They will travel 4km if ejected 5m into the water column, 3.5km if ejected 3.5m, etc (linear relationship). Due to their cohesive nature, these will not likely be easily eroded again.
• There will be unflocculated grains that can travel much further (10s to 100s km), but material eroded from a stable cohesive bed is likely to be highly aggregated. Furthermore, the high concentration of remobilized material, as well as the turbulent nature of the trawl is likely to bring particles in contact so that they flocculate and settle at high rates as compared to individual particles.</t>
  </si>
  <si>
    <t>107 / ?</t>
  </si>
  <si>
    <t>43 / 115</t>
  </si>
  <si>
    <t>? / 596</t>
  </si>
  <si>
    <t>Radius (m)</t>
  </si>
  <si>
    <t>m</t>
  </si>
  <si>
    <t>um</t>
  </si>
  <si>
    <t xml:space="preserve">Temparature </t>
  </si>
  <si>
    <t>C</t>
  </si>
  <si>
    <t xml:space="preserve">Salinity </t>
  </si>
  <si>
    <t>g/kg</t>
  </si>
  <si>
    <t>Pressure</t>
  </si>
  <si>
    <t>dbar</t>
  </si>
  <si>
    <t>bars</t>
  </si>
  <si>
    <t>cm/s</t>
  </si>
  <si>
    <t>m/s</t>
  </si>
  <si>
    <t xml:space="preserve">Density of Seawater </t>
  </si>
  <si>
    <t>kg/m3</t>
  </si>
  <si>
    <t>Gravity</t>
  </si>
  <si>
    <t>m/s2</t>
  </si>
  <si>
    <t>Km</t>
  </si>
  <si>
    <t>psu</t>
  </si>
  <si>
    <t>Ambient Current Velocity  (Flood Tide)</t>
  </si>
  <si>
    <t>Ambient Current Velocity  (Slack Tide)</t>
  </si>
  <si>
    <t>Sediments from cores</t>
  </si>
  <si>
    <t>&gt;212</t>
  </si>
  <si>
    <t>Total Sample</t>
  </si>
  <si>
    <t xml:space="preserve">Yellow Core -  Hecate Strait </t>
  </si>
  <si>
    <t>212-106</t>
  </si>
  <si>
    <t>106-63</t>
  </si>
  <si>
    <t>Classification</t>
  </si>
  <si>
    <t>Breakdown by Grain Size (um)</t>
  </si>
  <si>
    <t>63-45</t>
  </si>
  <si>
    <t>45-20</t>
  </si>
  <si>
    <t>&gt;20</t>
  </si>
  <si>
    <t xml:space="preserve">Green Core -  Hecate Strait </t>
  </si>
  <si>
    <t>Breakdown by Grain Size (mm)</t>
  </si>
  <si>
    <t>&gt;0.212</t>
  </si>
  <si>
    <t>0.212-0.106</t>
  </si>
  <si>
    <t>0.106-0.063</t>
  </si>
  <si>
    <t>0.063-0.045</t>
  </si>
  <si>
    <t>0.045-0.02</t>
  </si>
  <si>
    <t>&lt;0.02</t>
  </si>
  <si>
    <t>&lt;20</t>
  </si>
  <si>
    <t xml:space="preserve">Max Depth </t>
  </si>
  <si>
    <t>Units</t>
  </si>
  <si>
    <t>Conversion</t>
  </si>
  <si>
    <t>Measurment</t>
  </si>
  <si>
    <t>Fine Sand</t>
  </si>
  <si>
    <t>Bigger than Fine Sand</t>
  </si>
  <si>
    <t>Very Fine Sand</t>
  </si>
  <si>
    <t>Coarse Silt</t>
  </si>
  <si>
    <t>Fine Silt</t>
  </si>
  <si>
    <t>Medium Silt</t>
  </si>
  <si>
    <t>Hecate Strait Total and Averages</t>
  </si>
  <si>
    <t>-</t>
  </si>
  <si>
    <t>Percent composition by weight (%)</t>
  </si>
  <si>
    <t>Standard Deviation of Average</t>
  </si>
  <si>
    <t>Percent composition by weight for total of all cores(%)</t>
  </si>
  <si>
    <t>Percent composition by weight for average between cores (%)</t>
  </si>
  <si>
    <t>Dry Weight (g)</t>
  </si>
  <si>
    <t>Total Dry Weight from all Cores (g)</t>
  </si>
  <si>
    <t>Average Dry Weight Between Cores (g)</t>
  </si>
  <si>
    <t>Settling Velocity</t>
  </si>
  <si>
    <t>Variable</t>
  </si>
  <si>
    <t>Value</t>
  </si>
  <si>
    <t>g' Bigger than Sand</t>
  </si>
  <si>
    <t>g' Fine Sand</t>
  </si>
  <si>
    <t>g' Very Fine Sand</t>
  </si>
  <si>
    <t>g' Coarse Silt</t>
  </si>
  <si>
    <t>g' Medium Silt</t>
  </si>
  <si>
    <t>g' Fine Silt</t>
  </si>
  <si>
    <t>Partile size</t>
  </si>
  <si>
    <t>Distance Travelled at 10mab suspension</t>
  </si>
  <si>
    <t>Distance Travelled at 20mab suspension</t>
  </si>
  <si>
    <t>Distance Travelled at 5mab suspension</t>
  </si>
  <si>
    <t>Distance Travelled at 1mab suspension</t>
  </si>
  <si>
    <t xml:space="preserve">Yellow/Orange Core -  Hecate Strait </t>
  </si>
  <si>
    <t xml:space="preserve">Black Core -  Hecate Strait </t>
  </si>
  <si>
    <t>All HS Cores (n=4)</t>
  </si>
  <si>
    <t>Fraser Ridge Reef Total and Averages</t>
  </si>
  <si>
    <t>All FR Sediment Traps (n=4)</t>
  </si>
  <si>
    <t xml:space="preserve">Sediment Trap # 8 - Fraser Ridge </t>
  </si>
  <si>
    <t xml:space="preserve">Sediment Trap # 12 - Fraser Ridge </t>
  </si>
  <si>
    <t xml:space="preserve">Sediment Trap # 1 - Fraser Ridge </t>
  </si>
  <si>
    <t xml:space="preserve">Sediment Trap #10 - Fraser Ridge </t>
  </si>
  <si>
    <t>Grain Size calculations taken from sediment cores and traps from Hecate Strait and Fraser Ridge Reef</t>
  </si>
  <si>
    <t xml:space="preserve">All sediment samples were dried in an oven (60 deg C) for 3 days and then broken apart using a flexible piece of plastic tubing as to crush the grain sizes but to break up large pieces. </t>
  </si>
  <si>
    <t xml:space="preserve">Grain size break down is done according to the sediment sieve sizes that were avaiable at the time. </t>
  </si>
  <si>
    <t>Samples were put through a sediment sharker (with the help of Darrin Molinaro) and shaken for 5min at a time. After 5 min the sediment was checked to determine if any more sediment would move through thte sieve</t>
  </si>
  <si>
    <t xml:space="preserve">Sieves were cleaned after each trial. </t>
  </si>
  <si>
    <t>df</t>
  </si>
  <si>
    <t>p</t>
  </si>
  <si>
    <t>Hecate Strait (Mean)</t>
  </si>
  <si>
    <t>Fraser Ridge Reef (Mean)</t>
  </si>
  <si>
    <t>Hecate Strait (n)</t>
  </si>
  <si>
    <t>Fraser Ridge Reef (n)</t>
  </si>
  <si>
    <t>Hecate Strait (St. Dev)</t>
  </si>
  <si>
    <t>Fraser Ridge Reef (St. Dev)</t>
  </si>
  <si>
    <r>
      <rPr>
        <b/>
        <i/>
        <sz val="10"/>
        <color indexed="8"/>
        <rFont val="Arial"/>
        <family val="2"/>
      </rPr>
      <t>t</t>
    </r>
    <r>
      <rPr>
        <b/>
        <sz val="10"/>
        <color indexed="8"/>
        <rFont val="Arial"/>
        <family val="2"/>
      </rPr>
      <t>-value</t>
    </r>
  </si>
  <si>
    <t>All info gather from CTD on ROPOS and Aquadopp</t>
  </si>
  <si>
    <r>
      <t xml:space="preserve">Ambient Current Velocities range as you get off the bottom. For </t>
    </r>
    <r>
      <rPr>
        <b/>
        <sz val="11"/>
        <color theme="1"/>
        <rFont val="Calibri"/>
        <family val="2"/>
        <scheme val="minor"/>
      </rPr>
      <t>flood tide</t>
    </r>
    <r>
      <rPr>
        <sz val="11"/>
        <color theme="1"/>
        <rFont val="Calibri"/>
        <family val="2"/>
        <scheme val="minor"/>
      </rPr>
      <t xml:space="preserve"> the ambient current range is </t>
    </r>
    <r>
      <rPr>
        <b/>
        <sz val="11"/>
        <color theme="1"/>
        <rFont val="Calibri"/>
        <family val="2"/>
        <scheme val="minor"/>
      </rPr>
      <t>12 cm/s at 0.5 mab</t>
    </r>
    <r>
      <rPr>
        <sz val="11"/>
        <color theme="1"/>
        <rFont val="Calibri"/>
        <family val="2"/>
        <scheme val="minor"/>
      </rPr>
      <t xml:space="preserve"> to </t>
    </r>
    <r>
      <rPr>
        <b/>
        <sz val="11"/>
        <color theme="1"/>
        <rFont val="Calibri"/>
        <family val="2"/>
        <scheme val="minor"/>
      </rPr>
      <t>30 cm/s at 5.25mab</t>
    </r>
    <r>
      <rPr>
        <sz val="11"/>
        <color theme="1"/>
        <rFont val="Calibri"/>
        <family val="2"/>
        <scheme val="minor"/>
      </rPr>
      <t xml:space="preserve">. For </t>
    </r>
    <r>
      <rPr>
        <b/>
        <sz val="11"/>
        <color theme="1"/>
        <rFont val="Calibri"/>
        <family val="2"/>
        <scheme val="minor"/>
      </rPr>
      <t>Slack tide</t>
    </r>
    <r>
      <rPr>
        <sz val="11"/>
        <color theme="1"/>
        <rFont val="Calibri"/>
        <family val="2"/>
        <scheme val="minor"/>
      </rPr>
      <t>, the range is</t>
    </r>
    <r>
      <rPr>
        <b/>
        <sz val="11"/>
        <color theme="1"/>
        <rFont val="Calibri"/>
        <family val="2"/>
        <scheme val="minor"/>
      </rPr>
      <t xml:space="preserve"> 6 cm/s at 0.5mab to 10 cm/s at 5.25mab.</t>
    </r>
    <r>
      <rPr>
        <sz val="11"/>
        <color theme="1"/>
        <rFont val="Calibri"/>
        <family val="2"/>
        <scheme val="minor"/>
      </rPr>
      <t xml:space="preserve"> There are no readings above this from our instruments.</t>
    </r>
  </si>
  <si>
    <r>
      <t xml:space="preserve">Ambient Current Velocities range as you get off the bottom. For </t>
    </r>
    <r>
      <rPr>
        <b/>
        <sz val="11"/>
        <color theme="1"/>
        <rFont val="Calibri"/>
        <family val="2"/>
        <scheme val="minor"/>
      </rPr>
      <t>flood tide</t>
    </r>
    <r>
      <rPr>
        <sz val="11"/>
        <color theme="1"/>
        <rFont val="Calibri"/>
        <family val="2"/>
        <scheme val="minor"/>
      </rPr>
      <t xml:space="preserve"> the ambient current is </t>
    </r>
    <r>
      <rPr>
        <b/>
        <sz val="11"/>
        <color theme="1"/>
        <rFont val="Calibri"/>
        <family val="2"/>
        <scheme val="minor"/>
      </rPr>
      <t>10 cm/s 0.5 mab</t>
    </r>
    <r>
      <rPr>
        <sz val="11"/>
        <color theme="1"/>
        <rFont val="Calibri"/>
        <family val="2"/>
        <scheme val="minor"/>
      </rPr>
      <t xml:space="preserve"> to </t>
    </r>
    <r>
      <rPr>
        <b/>
        <sz val="11"/>
        <color theme="1"/>
        <rFont val="Calibri"/>
        <family val="2"/>
        <scheme val="minor"/>
      </rPr>
      <t>38 cm/s at 5.25mab</t>
    </r>
    <r>
      <rPr>
        <sz val="11"/>
        <color theme="1"/>
        <rFont val="Calibri"/>
        <family val="2"/>
        <scheme val="minor"/>
      </rPr>
      <t xml:space="preserve">. For </t>
    </r>
    <r>
      <rPr>
        <b/>
        <sz val="11"/>
        <color theme="1"/>
        <rFont val="Calibri"/>
        <family val="2"/>
        <scheme val="minor"/>
      </rPr>
      <t>Slack tide</t>
    </r>
    <r>
      <rPr>
        <sz val="11"/>
        <color theme="1"/>
        <rFont val="Calibri"/>
        <family val="2"/>
        <scheme val="minor"/>
      </rPr>
      <t>, the range is</t>
    </r>
    <r>
      <rPr>
        <b/>
        <sz val="11"/>
        <color theme="1"/>
        <rFont val="Calibri"/>
        <family val="2"/>
        <scheme val="minor"/>
      </rPr>
      <t xml:space="preserve"> 4 cm/s at 0.5mab to 15 cm/s at 5.25mab.</t>
    </r>
    <r>
      <rPr>
        <sz val="11"/>
        <color theme="1"/>
        <rFont val="Calibri"/>
        <family val="2"/>
        <scheme val="minor"/>
      </rPr>
      <t xml:space="preserve"> There are no readings above this from our instruments.</t>
    </r>
  </si>
  <si>
    <t>Fraser Ridge Reef (Proportion)</t>
  </si>
  <si>
    <t>Hecate Strait (Proportion)</t>
  </si>
  <si>
    <r>
      <rPr>
        <b/>
        <i/>
        <sz val="10"/>
        <color indexed="8"/>
        <rFont val="Arial"/>
        <family val="2"/>
      </rPr>
      <t>Z</t>
    </r>
    <r>
      <rPr>
        <b/>
        <sz val="10"/>
        <color indexed="8"/>
        <rFont val="Arial"/>
        <family val="2"/>
      </rPr>
      <t>-Score</t>
    </r>
  </si>
  <si>
    <t>Positive 95% Confidence Interval HS</t>
  </si>
  <si>
    <t>Negative 95% Confidence Interval HS</t>
  </si>
  <si>
    <t>Positive 95% Confidence Interval FRR</t>
  </si>
  <si>
    <t>Negative 95% Confidence Interval of FRR</t>
  </si>
  <si>
    <r>
      <t xml:space="preserve">p - </t>
    </r>
    <r>
      <rPr>
        <b/>
        <sz val="10"/>
        <color indexed="8"/>
        <rFont val="Arial"/>
        <family val="2"/>
      </rPr>
      <t>value</t>
    </r>
  </si>
  <si>
    <t>Difference in proportions</t>
  </si>
  <si>
    <t>&lt;0.0001</t>
  </si>
  <si>
    <t>Statistical Results</t>
  </si>
  <si>
    <r>
      <rPr>
        <b/>
        <i/>
        <sz val="16"/>
        <color theme="1"/>
        <rFont val="Calibri"/>
        <family val="2"/>
        <scheme val="minor"/>
      </rPr>
      <t>Z</t>
    </r>
    <r>
      <rPr>
        <b/>
        <sz val="16"/>
        <color theme="1"/>
        <rFont val="Calibri"/>
        <family val="2"/>
        <scheme val="minor"/>
      </rPr>
      <t xml:space="preserve">-test for two proportions </t>
    </r>
  </si>
  <si>
    <r>
      <t xml:space="preserve">Statisitca </t>
    </r>
    <r>
      <rPr>
        <b/>
        <i/>
        <sz val="16"/>
        <color theme="1"/>
        <rFont val="Calibri"/>
        <family val="2"/>
        <scheme val="minor"/>
      </rPr>
      <t>t</t>
    </r>
    <r>
      <rPr>
        <b/>
        <sz val="16"/>
        <color theme="1"/>
        <rFont val="Calibri"/>
        <family val="2"/>
        <scheme val="minor"/>
      </rPr>
      <t xml:space="preserve">-test results - They don't show much as the samples were very different in terms of initial weight, need to compare proportions not means. </t>
    </r>
  </si>
  <si>
    <t>Average Particle Density - Bigger than Sand</t>
  </si>
  <si>
    <t>Average Particle Density - Fine Sand</t>
  </si>
  <si>
    <t>Average Particle Density - Very Fine Sand</t>
  </si>
  <si>
    <t>Average Particle Density - Coarse Silt</t>
  </si>
  <si>
    <t>Average Particle Density - Medium Silt</t>
  </si>
  <si>
    <t>Average Particle Density - Fine Silt</t>
  </si>
  <si>
    <t>g' Bigger than Fine Sand</t>
  </si>
  <si>
    <t>From:</t>
  </si>
  <si>
    <t>Northern Reef Complex in HS MPA - Hecate Strait</t>
  </si>
  <si>
    <t>Average of 4 Dives</t>
  </si>
  <si>
    <t>Hecate Strait Grain Sizes</t>
  </si>
  <si>
    <t>Depth (m)</t>
  </si>
  <si>
    <t>Temperature (deg C)</t>
  </si>
  <si>
    <t>Salinity (psu)</t>
  </si>
  <si>
    <t xml:space="preserve"> Water Density (kg/m^3)</t>
  </si>
  <si>
    <t>Hecate Strait - Stokes Settling Velocity and Distance Travelled for Grain Sizes</t>
  </si>
  <si>
    <t>mab - meters above bottom</t>
  </si>
  <si>
    <t>Flood Tide (m)</t>
  </si>
  <si>
    <t>Slack Tide (m)</t>
  </si>
  <si>
    <t>Fraser Ridge Reef - Strait of Georgia</t>
  </si>
  <si>
    <t>Fraser Ridge Reef Grain Sizes</t>
  </si>
  <si>
    <t>Average Temperature (deg C)</t>
  </si>
  <si>
    <t>Average Salinity (psu)</t>
  </si>
  <si>
    <t>Average Water Density (kg/m^3)</t>
  </si>
  <si>
    <t>Fraser Ridge Reef - Stokes Settling Velocity and Distance Travelled for Grain Sizes</t>
  </si>
  <si>
    <t>(2*π)/(12hrs +25min)</t>
  </si>
  <si>
    <t>12hrs +25min</t>
  </si>
  <si>
    <r>
      <t>M2 Tide at t</t>
    </r>
    <r>
      <rPr>
        <vertAlign val="subscript"/>
        <sz val="11"/>
        <color theme="1"/>
        <rFont val="Calibri"/>
        <family val="2"/>
        <scheme val="minor"/>
      </rPr>
      <t>0</t>
    </r>
    <r>
      <rPr>
        <sz val="11"/>
        <color theme="1"/>
        <rFont val="Calibri"/>
        <family val="2"/>
        <scheme val="minor"/>
      </rPr>
      <t xml:space="preserve"> = 0</t>
    </r>
  </si>
  <si>
    <t>s</t>
  </si>
  <si>
    <t>Phase of the tide</t>
  </si>
  <si>
    <t>Maximum time the particle will be falling</t>
  </si>
  <si>
    <t>Description</t>
  </si>
  <si>
    <t>Ambient current velocity</t>
  </si>
  <si>
    <r>
      <t>U</t>
    </r>
    <r>
      <rPr>
        <vertAlign val="subscript"/>
        <sz val="14"/>
        <color theme="1"/>
        <rFont val="Calibri"/>
        <family val="2"/>
        <scheme val="minor"/>
      </rPr>
      <t>T</t>
    </r>
    <r>
      <rPr>
        <sz val="14"/>
        <color theme="1"/>
        <rFont val="Calibri"/>
        <family val="2"/>
        <scheme val="minor"/>
      </rPr>
      <t xml:space="preserve"> = </t>
    </r>
  </si>
  <si>
    <t>Maximum suspension height needed to get particles to travel maximum distance</t>
  </si>
  <si>
    <t>Particle settlement velocity</t>
  </si>
  <si>
    <t>Settling Velocity (m/s)</t>
  </si>
  <si>
    <t>Particle</t>
  </si>
  <si>
    <t>Time spend in water column when suspended 20 mab (s)</t>
  </si>
  <si>
    <t>Time spend in water column when suspended 10mab (s)</t>
  </si>
  <si>
    <t>Time spend in water column when suspended 5 mab (s)</t>
  </si>
  <si>
    <t>Time spend in water column when suspended 1 mab (s)</t>
  </si>
  <si>
    <t>Time spent in water column when suspended at different heights</t>
  </si>
  <si>
    <t>kg/m-s</t>
  </si>
  <si>
    <t>Dynamic Viscosity</t>
  </si>
  <si>
    <r>
      <t>Max Height of suspension needed to meet max distance (X</t>
    </r>
    <r>
      <rPr>
        <vertAlign val="subscript"/>
        <sz val="11"/>
        <color theme="1"/>
        <rFont val="Calibri"/>
        <family val="2"/>
        <scheme val="minor"/>
      </rPr>
      <t>D</t>
    </r>
    <r>
      <rPr>
        <sz val="11"/>
        <color theme="1"/>
        <rFont val="Calibri"/>
        <family val="2"/>
        <scheme val="minor"/>
      </rPr>
      <t>) (m)</t>
    </r>
  </si>
  <si>
    <t>Time spend in water column when suspended 20 mab (hr)</t>
  </si>
  <si>
    <t>Time spend in water column when suspended 10mab (hr)</t>
  </si>
  <si>
    <t>Time spend in water column when suspended 5 mab (hr)</t>
  </si>
  <si>
    <t>Time spend in water column when suspended 1 mab (hr)</t>
  </si>
  <si>
    <r>
      <t>Max Height of suspension needed to meet max distance (X</t>
    </r>
    <r>
      <rPr>
        <vertAlign val="subscript"/>
        <sz val="11"/>
        <color theme="1"/>
        <rFont val="Calibri"/>
        <family val="2"/>
        <scheme val="minor"/>
      </rPr>
      <t>D</t>
    </r>
    <r>
      <rPr>
        <sz val="11"/>
        <color theme="1"/>
        <rFont val="Calibri"/>
        <family val="2"/>
        <scheme val="minor"/>
      </rPr>
      <t>) (km)</t>
    </r>
  </si>
  <si>
    <t>Max Height of suspension needed to reach max distance in single tidal flow</t>
  </si>
  <si>
    <r>
      <t>ω</t>
    </r>
    <r>
      <rPr>
        <vertAlign val="subscript"/>
        <sz val="14"/>
        <color theme="1"/>
        <rFont val="Calibri"/>
        <family val="2"/>
        <scheme val="minor"/>
      </rPr>
      <t>T</t>
    </r>
    <r>
      <rPr>
        <sz val="14"/>
        <color theme="1"/>
        <rFont val="Calibri"/>
        <family val="2"/>
        <scheme val="minor"/>
      </rPr>
      <t xml:space="preserve"> = </t>
    </r>
  </si>
  <si>
    <r>
      <t>T</t>
    </r>
    <r>
      <rPr>
        <vertAlign val="subscript"/>
        <sz val="14"/>
        <color theme="1"/>
        <rFont val="Calibri"/>
        <family val="2"/>
        <scheme val="minor"/>
      </rPr>
      <t>fall</t>
    </r>
    <r>
      <rPr>
        <sz val="14"/>
        <color theme="1"/>
        <rFont val="Calibri"/>
        <family val="2"/>
        <scheme val="minor"/>
      </rPr>
      <t xml:space="preserve"> max= </t>
    </r>
  </si>
  <si>
    <r>
      <t>W</t>
    </r>
    <r>
      <rPr>
        <vertAlign val="subscript"/>
        <sz val="14"/>
        <color theme="1"/>
        <rFont val="Calibri"/>
        <family val="2"/>
        <scheme val="minor"/>
      </rPr>
      <t>s</t>
    </r>
    <r>
      <rPr>
        <sz val="14"/>
        <color theme="1"/>
        <rFont val="Calibri"/>
        <family val="2"/>
        <scheme val="minor"/>
      </rPr>
      <t xml:space="preserve"> = </t>
    </r>
  </si>
  <si>
    <r>
      <t>X</t>
    </r>
    <r>
      <rPr>
        <vertAlign val="subscript"/>
        <sz val="14"/>
        <color theme="1"/>
        <rFont val="Calibri"/>
        <family val="2"/>
        <scheme val="minor"/>
      </rPr>
      <t>D</t>
    </r>
    <r>
      <rPr>
        <sz val="14"/>
        <color theme="1"/>
        <rFont val="Calibri"/>
        <family val="2"/>
        <scheme val="minor"/>
      </rPr>
      <t xml:space="preserve"> max = </t>
    </r>
  </si>
  <si>
    <r>
      <t>H</t>
    </r>
    <r>
      <rPr>
        <vertAlign val="subscript"/>
        <sz val="14"/>
        <color theme="1"/>
        <rFont val="Calibri"/>
        <family val="2"/>
        <scheme val="minor"/>
      </rPr>
      <t>0</t>
    </r>
    <r>
      <rPr>
        <sz val="14"/>
        <color theme="1"/>
        <rFont val="Calibri"/>
        <family val="2"/>
        <scheme val="minor"/>
      </rPr>
      <t xml:space="preserve"> max = </t>
    </r>
  </si>
  <si>
    <r>
      <t>π/ω</t>
    </r>
    <r>
      <rPr>
        <vertAlign val="subscript"/>
        <sz val="11"/>
        <color rgb="FF222222"/>
        <rFont val="Arial"/>
        <family val="2"/>
      </rPr>
      <t>T</t>
    </r>
  </si>
  <si>
    <r>
      <t>W</t>
    </r>
    <r>
      <rPr>
        <vertAlign val="subscript"/>
        <sz val="11"/>
        <color theme="1"/>
        <rFont val="Calibri"/>
        <family val="2"/>
        <scheme val="minor"/>
      </rPr>
      <t>s</t>
    </r>
    <r>
      <rPr>
        <sz val="11"/>
        <color theme="1"/>
        <rFont val="Calibri"/>
        <family val="2"/>
        <scheme val="minor"/>
      </rPr>
      <t xml:space="preserve"> * T</t>
    </r>
    <r>
      <rPr>
        <vertAlign val="subscript"/>
        <sz val="11"/>
        <color theme="1"/>
        <rFont val="Calibri"/>
        <family val="2"/>
        <scheme val="minor"/>
      </rPr>
      <t xml:space="preserve">fall </t>
    </r>
    <r>
      <rPr>
        <sz val="11"/>
        <color theme="1"/>
        <rFont val="Calibri"/>
        <family val="2"/>
        <scheme val="minor"/>
      </rPr>
      <t>max</t>
    </r>
  </si>
  <si>
    <t>Variables and equations from Bruce Sutherland</t>
  </si>
  <si>
    <t>Maximum distance that can be travelled in a single tidal cycle</t>
  </si>
  <si>
    <t>Value (cm)</t>
  </si>
  <si>
    <t>km</t>
  </si>
  <si>
    <t>Hecate Strait Average Weight (g)</t>
  </si>
  <si>
    <t>Fraser Ridge Reef Average Weight (g)</t>
  </si>
  <si>
    <r>
      <t>T</t>
    </r>
    <r>
      <rPr>
        <vertAlign val="subscript"/>
        <sz val="14"/>
        <color theme="1"/>
        <rFont val="Calibri"/>
        <family val="2"/>
        <scheme val="minor"/>
      </rPr>
      <t xml:space="preserve">fall </t>
    </r>
    <r>
      <rPr>
        <sz val="14"/>
        <color theme="1"/>
        <rFont val="Calibri"/>
        <family val="2"/>
        <scheme val="minor"/>
      </rPr>
      <t xml:space="preserve">= </t>
    </r>
  </si>
  <si>
    <r>
      <t>H</t>
    </r>
    <r>
      <rPr>
        <vertAlign val="subscript"/>
        <sz val="14"/>
        <color theme="1"/>
        <rFont val="Calibri"/>
        <family val="2"/>
        <scheme val="minor"/>
      </rPr>
      <t>0</t>
    </r>
    <r>
      <rPr>
        <sz val="14"/>
        <color theme="1"/>
        <rFont val="Calibri"/>
        <family val="2"/>
        <scheme val="minor"/>
      </rPr>
      <t xml:space="preserve"> / W</t>
    </r>
    <r>
      <rPr>
        <vertAlign val="subscript"/>
        <sz val="14"/>
        <color theme="1"/>
        <rFont val="Calibri"/>
        <family val="2"/>
        <scheme val="minor"/>
      </rPr>
      <t>s</t>
    </r>
  </si>
  <si>
    <r>
      <t>(1/ω</t>
    </r>
    <r>
      <rPr>
        <vertAlign val="subscript"/>
        <sz val="11"/>
        <color theme="1"/>
        <rFont val="Calibri"/>
        <family val="2"/>
        <scheme val="minor"/>
      </rPr>
      <t>T</t>
    </r>
    <r>
      <rPr>
        <sz val="11"/>
        <color theme="1"/>
        <rFont val="Calibri"/>
        <family val="2"/>
        <scheme val="minor"/>
      </rPr>
      <t>)*U</t>
    </r>
    <r>
      <rPr>
        <vertAlign val="subscript"/>
        <sz val="11"/>
        <color theme="1"/>
        <rFont val="Calibri"/>
        <family val="2"/>
        <scheme val="minor"/>
      </rPr>
      <t>T</t>
    </r>
    <r>
      <rPr>
        <sz val="11"/>
        <color theme="1"/>
        <rFont val="Calibri"/>
        <family val="2"/>
        <scheme val="minor"/>
      </rPr>
      <t>* [1 - cos(ω</t>
    </r>
    <r>
      <rPr>
        <vertAlign val="subscript"/>
        <sz val="11"/>
        <color theme="1"/>
        <rFont val="Calibri"/>
        <family val="2"/>
        <scheme val="minor"/>
      </rPr>
      <t>T</t>
    </r>
    <r>
      <rPr>
        <sz val="11"/>
        <color theme="1"/>
        <rFont val="Calibri"/>
        <family val="2"/>
        <scheme val="minor"/>
      </rPr>
      <t xml:space="preserve"> * T</t>
    </r>
    <r>
      <rPr>
        <vertAlign val="subscript"/>
        <sz val="11"/>
        <color theme="1"/>
        <rFont val="Calibri"/>
        <family val="2"/>
        <scheme val="minor"/>
      </rPr>
      <t>fall</t>
    </r>
    <r>
      <rPr>
        <sz val="11"/>
        <color theme="1"/>
        <rFont val="Calibri"/>
        <family val="2"/>
        <scheme val="minor"/>
      </rPr>
      <t xml:space="preserve"> max)]</t>
    </r>
  </si>
  <si>
    <t>Total amount of time the the particle will be falling for in stagnant water</t>
  </si>
  <si>
    <t>Bulk Density Taken from: http://www.dtic.mil/dtic/tr/fulltext/u2/466981.pdf</t>
  </si>
  <si>
    <t>Density</t>
  </si>
  <si>
    <t xml:space="preserve">AMZ Extents out from CPZ </t>
  </si>
  <si>
    <t>~600m at the shortest distance</t>
  </si>
  <si>
    <t>~4.5km at the farthest points</t>
  </si>
  <si>
    <t>Grain Size</t>
  </si>
  <si>
    <t>x velocity (m/s)</t>
  </si>
  <si>
    <t>y velocity (m/s)</t>
  </si>
  <si>
    <t>Time spent falling (s)</t>
  </si>
  <si>
    <t>Horizontal distance travelled (m) when suspended 20m</t>
  </si>
  <si>
    <t>Horizontal distance travelled (m) when suspended 10m</t>
  </si>
  <si>
    <t>Horizontal distance travelled (m) when suspended 5m</t>
  </si>
  <si>
    <t>Horizontal distance travelled (m) when suspended 1m</t>
  </si>
  <si>
    <t>Horizontal distance travelled (km) when suspended 20m</t>
  </si>
  <si>
    <t>Horizontal distance travelled (km) when suspended 10m</t>
  </si>
  <si>
    <t>Horizontal distance travelled (km) when suspended 5m</t>
  </si>
  <si>
    <t>Horizontal distance travelled (km) when suspended 1m</t>
  </si>
  <si>
    <t>Distance Travelled by farthest Particle</t>
  </si>
  <si>
    <t>When Suspended 1 mab</t>
  </si>
  <si>
    <t>mab</t>
  </si>
  <si>
    <t>Ambient Current is</t>
  </si>
  <si>
    <t>Time spent falling</t>
  </si>
  <si>
    <t>Horizontal Distance covered</t>
  </si>
  <si>
    <t>Ambient current (cm/s)</t>
  </si>
  <si>
    <t xml:space="preserve"> Height in water column(mab)</t>
  </si>
  <si>
    <t>Distance travelled (km)</t>
  </si>
  <si>
    <t>Composition</t>
  </si>
  <si>
    <t>Distance (km)</t>
  </si>
  <si>
    <t>Concentration (starting from 500 mg/l)</t>
  </si>
  <si>
    <t>Concentration (starting from 100 mg/l)</t>
  </si>
  <si>
    <t>Concentration (starting from 50 mg/l)</t>
  </si>
  <si>
    <t>Concentration (starting from 200 mg/l)</t>
  </si>
  <si>
    <t>Concentration (starting from 20 mg/l)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</si>
</sst>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F400]h:mm:ss\ AM/PM"/>
    <numFmt numFmtId="165" formatCode="0.000"/>
    <numFmt numFmtId="166" formatCode="0.0000"/>
    <numFmt numFmtId="167" formatCode="0.000000"/>
    <numFmt numFmtId="168" formatCode="0.00000"/>
    <numFmt numFmtId="169" formatCode="0.000000000"/>
  </numFmts>
  <fonts count="36" x14ac:knownFonts="1">
    <font>
      <sz val="11"/>
      <color theme="1"/>
      <name val="Calibri"/>
      <family val="2"/>
      <scheme val="minor"/>
    </font>
    <font>
      <b/>
      <sz val="11"/>
      <color theme="1"/>
      <name val="Calibri"/>
      <family val="2"/>
      <scheme val="minor"/>
    </font>
    <font>
      <sz val="8"/>
      <color theme="1"/>
      <name val="Calibri"/>
      <family val="2"/>
      <scheme val="minor"/>
    </font>
    <font>
      <b/>
      <sz val="24"/>
      <color theme="1"/>
      <name val="Calibri"/>
      <family val="2"/>
      <scheme val="minor"/>
    </font>
    <font>
      <b/>
      <i/>
      <sz val="24"/>
      <color theme="1"/>
      <name val="Calibri"/>
      <family val="2"/>
      <scheme val="minor"/>
    </font>
    <font>
      <b/>
      <sz val="20"/>
      <color theme="1"/>
      <name val="Calibri"/>
      <family val="2"/>
      <scheme val="minor"/>
    </font>
    <font>
      <sz val="11"/>
      <name val="Calibri"/>
      <family val="2"/>
      <scheme val="minor"/>
    </font>
    <font>
      <sz val="11"/>
      <color rgb="FF373A3E"/>
      <name val="Calibri"/>
      <family val="2"/>
      <scheme val="minor"/>
    </font>
    <font>
      <u/>
      <sz val="11"/>
      <color theme="10"/>
      <name val="Calibri"/>
      <family val="2"/>
      <scheme val="minor"/>
    </font>
    <font>
      <sz val="9"/>
      <color indexed="81"/>
      <name val="Tahoma"/>
      <charset val="1"/>
    </font>
    <font>
      <b/>
      <sz val="9"/>
      <color indexed="81"/>
      <name val="Tahoma"/>
      <charset val="1"/>
    </font>
    <font>
      <b/>
      <sz val="14"/>
      <color theme="1"/>
      <name val="Calibri"/>
      <family val="2"/>
      <scheme val="minor"/>
    </font>
    <font>
      <sz val="9"/>
      <color indexed="81"/>
      <name val="Tahoma"/>
      <family val="2"/>
    </font>
    <font>
      <b/>
      <sz val="9"/>
      <color indexed="81"/>
      <name val="Tahoma"/>
      <family val="2"/>
    </font>
    <font>
      <b/>
      <sz val="16"/>
      <color theme="1"/>
      <name val="Calibri"/>
      <family val="2"/>
      <scheme val="minor"/>
    </font>
    <font>
      <sz val="11"/>
      <color theme="0"/>
      <name val="Calibri"/>
      <family val="2"/>
      <scheme val="minor"/>
    </font>
    <font>
      <b/>
      <sz val="28"/>
      <color theme="1"/>
      <name val="Calibri"/>
      <family val="2"/>
      <scheme val="minor"/>
    </font>
    <font>
      <sz val="10"/>
      <name val="Arial"/>
      <family val="2"/>
    </font>
    <font>
      <sz val="10"/>
      <color indexed="10"/>
      <name val="Arial"/>
      <family val="2"/>
    </font>
    <font>
      <sz val="10"/>
      <color indexed="8"/>
      <name val="Arial"/>
      <family val="2"/>
    </font>
    <font>
      <b/>
      <sz val="10"/>
      <color indexed="8"/>
      <name val="Arial"/>
      <family val="2"/>
    </font>
    <font>
      <b/>
      <i/>
      <sz val="10"/>
      <color indexed="8"/>
      <name val="Arial"/>
      <family val="2"/>
    </font>
    <font>
      <sz val="11"/>
      <color rgb="FFFF0000"/>
      <name val="Calibri"/>
      <family val="2"/>
      <scheme val="minor"/>
    </font>
    <font>
      <sz val="10"/>
      <color rgb="FFFF0000"/>
      <name val="Arial"/>
      <family val="2"/>
    </font>
    <font>
      <b/>
      <i/>
      <sz val="16"/>
      <color theme="1"/>
      <name val="Calibri"/>
      <family val="2"/>
      <scheme val="minor"/>
    </font>
    <font>
      <b/>
      <sz val="22"/>
      <color theme="1"/>
      <name val="Calibri"/>
      <family val="2"/>
      <scheme val="minor"/>
    </font>
    <font>
      <b/>
      <sz val="18"/>
      <color theme="1"/>
      <name val="Calibri"/>
      <family val="2"/>
      <scheme val="minor"/>
    </font>
    <font>
      <sz val="14"/>
      <color theme="1"/>
      <name val="Calibri"/>
      <family val="2"/>
      <scheme val="minor"/>
    </font>
    <font>
      <vertAlign val="subscript"/>
      <sz val="14"/>
      <color theme="1"/>
      <name val="Calibri"/>
      <family val="2"/>
      <scheme val="minor"/>
    </font>
    <font>
      <vertAlign val="subscript"/>
      <sz val="11"/>
      <color theme="1"/>
      <name val="Calibri"/>
      <family val="2"/>
      <scheme val="minor"/>
    </font>
    <font>
      <sz val="11"/>
      <color rgb="FF222222"/>
      <name val="Arial"/>
      <family val="2"/>
    </font>
    <font>
      <vertAlign val="subscript"/>
      <sz val="11"/>
      <color rgb="FF222222"/>
      <name val="Arial"/>
      <family val="2"/>
    </font>
    <font>
      <b/>
      <sz val="12"/>
      <color indexed="81"/>
      <name val="Tahoma"/>
      <family val="2"/>
    </font>
    <font>
      <sz val="12"/>
      <color indexed="81"/>
      <name val="Tahoma"/>
      <family val="2"/>
    </font>
    <font>
      <b/>
      <sz val="11"/>
      <color rgb="FFFF0000"/>
      <name val="Calibri"/>
      <family val="2"/>
      <scheme val="minor"/>
    </font>
    <font>
      <b/>
      <sz val="11"/>
      <name val="Calibri"/>
      <family val="2"/>
      <scheme val="minor"/>
    </font>
  </fonts>
  <fills count="16">
    <fill>
      <patternFill patternType="none"/>
    </fill>
    <fill>
      <patternFill patternType="gray125"/>
    </fill>
    <fill>
      <patternFill patternType="solid">
        <fgColor theme="1"/>
        <bgColor indexed="64"/>
      </patternFill>
    </fill>
    <fill>
      <patternFill patternType="solid">
        <fgColor rgb="FF92D05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0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17" fillId="0" borderId="0"/>
  </cellStyleXfs>
  <cellXfs count="363">
    <xf numFmtId="0" fontId="0" fillId="0" borderId="0" xfId="0"/>
    <xf numFmtId="0" fontId="0" fillId="0" borderId="0" xfId="0" applyAlignment="1">
      <alignment wrapText="1"/>
    </xf>
    <xf numFmtId="0" fontId="0" fillId="2" borderId="0" xfId="0" applyFill="1"/>
    <xf numFmtId="0" fontId="0" fillId="0" borderId="1" xfId="0" applyBorder="1"/>
    <xf numFmtId="0" fontId="0" fillId="2" borderId="1" xfId="0" applyFill="1" applyBorder="1"/>
    <xf numFmtId="0" fontId="0" fillId="0" borderId="0" xfId="0" applyFill="1"/>
    <xf numFmtId="0" fontId="0" fillId="0" borderId="1" xfId="0" applyFill="1" applyBorder="1"/>
    <xf numFmtId="0" fontId="0" fillId="0" borderId="3" xfId="0" applyBorder="1"/>
    <xf numFmtId="0" fontId="0" fillId="0" borderId="0" xfId="0" applyBorder="1"/>
    <xf numFmtId="0" fontId="0" fillId="0" borderId="0" xfId="0" applyFill="1" applyBorder="1"/>
    <xf numFmtId="0" fontId="0" fillId="0" borderId="0" xfId="0" applyFill="1" applyBorder="1" applyAlignment="1"/>
    <xf numFmtId="0" fontId="1" fillId="0" borderId="1" xfId="0" applyFont="1" applyBorder="1" applyAlignment="1">
      <alignment wrapText="1"/>
    </xf>
    <xf numFmtId="0" fontId="1" fillId="0" borderId="1" xfId="0" applyFont="1" applyFill="1" applyBorder="1" applyAlignment="1">
      <alignment wrapText="1"/>
    </xf>
    <xf numFmtId="0" fontId="3" fillId="0" borderId="0" xfId="0" applyFont="1"/>
    <xf numFmtId="0" fontId="0" fillId="0" borderId="0" xfId="0" applyAlignment="1">
      <alignment horizontal="right" wrapText="1"/>
    </xf>
    <xf numFmtId="0" fontId="1" fillId="0" borderId="13" xfId="0" applyFont="1" applyBorder="1" applyAlignment="1">
      <alignment wrapText="1"/>
    </xf>
    <xf numFmtId="0" fontId="0" fillId="0" borderId="0" xfId="0" applyBorder="1" applyAlignment="1">
      <alignment wrapText="1"/>
    </xf>
    <xf numFmtId="11" fontId="0" fillId="0" borderId="0" xfId="0" applyNumberFormat="1" applyBorder="1" applyAlignment="1">
      <alignment wrapText="1"/>
    </xf>
    <xf numFmtId="0" fontId="0" fillId="0" borderId="14" xfId="0" applyBorder="1" applyAlignment="1">
      <alignment wrapText="1"/>
    </xf>
    <xf numFmtId="0" fontId="6" fillId="0" borderId="0" xfId="0" applyFont="1" applyBorder="1" applyAlignment="1">
      <alignment wrapText="1"/>
    </xf>
    <xf numFmtId="0" fontId="0" fillId="0" borderId="13" xfId="0" applyBorder="1" applyAlignment="1">
      <alignment wrapText="1"/>
    </xf>
    <xf numFmtId="0" fontId="1" fillId="0" borderId="15" xfId="0" applyFont="1" applyBorder="1" applyAlignment="1">
      <alignment wrapText="1"/>
    </xf>
    <xf numFmtId="0" fontId="0" fillId="0" borderId="16" xfId="0" applyBorder="1" applyAlignment="1">
      <alignment wrapText="1"/>
    </xf>
    <xf numFmtId="0" fontId="0" fillId="0" borderId="0" xfId="0" applyBorder="1" applyAlignment="1"/>
    <xf numFmtId="0" fontId="8" fillId="0" borderId="0" xfId="1" applyBorder="1" applyAlignment="1">
      <alignment wrapText="1"/>
    </xf>
    <xf numFmtId="0" fontId="0" fillId="0" borderId="1" xfId="0" applyBorder="1" applyAlignment="1"/>
    <xf numFmtId="0" fontId="0" fillId="0" borderId="1" xfId="0" applyBorder="1" applyAlignment="1">
      <alignment wrapText="1"/>
    </xf>
    <xf numFmtId="165" fontId="0" fillId="0" borderId="1" xfId="0" applyNumberFormat="1" applyBorder="1"/>
    <xf numFmtId="165" fontId="0" fillId="0" borderId="1" xfId="0" applyNumberFormat="1" applyBorder="1" applyAlignment="1"/>
    <xf numFmtId="10" fontId="0" fillId="0" borderId="1" xfId="0" applyNumberFormat="1" applyBorder="1" applyAlignment="1"/>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11" fontId="0" fillId="0" borderId="1" xfId="0" applyNumberFormat="1" applyBorder="1" applyAlignment="1">
      <alignment wrapText="1"/>
    </xf>
    <xf numFmtId="167" fontId="0" fillId="0" borderId="14" xfId="0" applyNumberFormat="1" applyBorder="1" applyAlignment="1">
      <alignment wrapText="1"/>
    </xf>
    <xf numFmtId="167" fontId="0" fillId="0" borderId="20" xfId="0" applyNumberFormat="1" applyBorder="1" applyAlignment="1">
      <alignment wrapText="1"/>
    </xf>
    <xf numFmtId="167" fontId="0" fillId="0" borderId="0" xfId="0" applyNumberFormat="1" applyBorder="1" applyAlignment="1">
      <alignment wrapText="1"/>
    </xf>
    <xf numFmtId="167" fontId="0" fillId="0" borderId="1" xfId="0" applyNumberFormat="1" applyBorder="1" applyAlignment="1">
      <alignment wrapText="1"/>
    </xf>
    <xf numFmtId="0" fontId="0" fillId="0" borderId="13" xfId="0" applyBorder="1" applyAlignment="1"/>
    <xf numFmtId="0" fontId="0" fillId="0" borderId="15" xfId="0" applyBorder="1" applyAlignment="1"/>
    <xf numFmtId="0" fontId="0" fillId="0" borderId="7" xfId="0" applyBorder="1" applyAlignment="1">
      <alignment wrapText="1"/>
    </xf>
    <xf numFmtId="0" fontId="1" fillId="0" borderId="24" xfId="0" applyFont="1" applyBorder="1" applyAlignment="1">
      <alignment wrapText="1"/>
    </xf>
    <xf numFmtId="0" fontId="0" fillId="0" borderId="13" xfId="0" applyBorder="1"/>
    <xf numFmtId="0" fontId="1" fillId="0" borderId="2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0" fontId="1" fillId="5" borderId="19"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5" xfId="0" applyFont="1" applyBorder="1" applyAlignment="1">
      <alignment horizontal="center" vertical="center" wrapText="1"/>
    </xf>
    <xf numFmtId="165" fontId="0" fillId="0" borderId="0" xfId="0" applyNumberFormat="1" applyBorder="1" applyAlignment="1"/>
    <xf numFmtId="10" fontId="0" fillId="0" borderId="0" xfId="0" applyNumberFormat="1" applyBorder="1" applyAlignment="1"/>
    <xf numFmtId="0" fontId="0" fillId="0" borderId="10" xfId="0" applyBorder="1"/>
    <xf numFmtId="0" fontId="0" fillId="0" borderId="11" xfId="0" applyBorder="1"/>
    <xf numFmtId="0" fontId="0" fillId="0" borderId="12" xfId="0" applyBorder="1"/>
    <xf numFmtId="0" fontId="0" fillId="0" borderId="14" xfId="0" applyBorder="1"/>
    <xf numFmtId="165" fontId="0" fillId="0" borderId="0" xfId="0" applyNumberFormat="1" applyBorder="1"/>
    <xf numFmtId="165" fontId="0" fillId="0" borderId="0" xfId="0" applyNumberFormat="1" applyBorder="1" applyAlignment="1">
      <alignment horizontal="center" vertical="center"/>
    </xf>
    <xf numFmtId="0" fontId="0" fillId="2" borderId="0" xfId="0" applyFill="1" applyBorder="1"/>
    <xf numFmtId="0" fontId="0" fillId="0" borderId="31" xfId="0" applyBorder="1" applyAlignment="1">
      <alignment horizontal="center" vertical="center" wrapText="1"/>
    </xf>
    <xf numFmtId="0" fontId="0" fillId="0" borderId="25" xfId="0" applyBorder="1" applyAlignment="1">
      <alignment horizontal="center" vertical="center" wrapText="1"/>
    </xf>
    <xf numFmtId="165" fontId="0" fillId="0" borderId="14" xfId="0" applyNumberFormat="1" applyBorder="1" applyAlignment="1">
      <alignment horizontal="center" vertical="center"/>
    </xf>
    <xf numFmtId="10" fontId="0" fillId="0" borderId="14" xfId="0" applyNumberFormat="1" applyBorder="1" applyAlignment="1"/>
    <xf numFmtId="165" fontId="0" fillId="0" borderId="0" xfId="0" applyNumberFormat="1" applyBorder="1" applyAlignment="1">
      <alignment wrapText="1"/>
    </xf>
    <xf numFmtId="0" fontId="0" fillId="0" borderId="21" xfId="0" applyBorder="1" applyAlignment="1"/>
    <xf numFmtId="10" fontId="0" fillId="0" borderId="20" xfId="0" applyNumberFormat="1" applyBorder="1" applyAlignment="1"/>
    <xf numFmtId="0" fontId="0" fillId="0" borderId="16" xfId="0" applyBorder="1" applyAlignment="1"/>
    <xf numFmtId="165" fontId="0" fillId="0" borderId="16" xfId="0" applyNumberFormat="1" applyBorder="1" applyAlignment="1"/>
    <xf numFmtId="10" fontId="0" fillId="0" borderId="16" xfId="0" applyNumberFormat="1" applyBorder="1" applyAlignment="1"/>
    <xf numFmtId="0" fontId="0" fillId="2" borderId="16" xfId="0" applyFill="1" applyBorder="1"/>
    <xf numFmtId="10" fontId="0" fillId="0" borderId="17" xfId="0" applyNumberFormat="1" applyBorder="1" applyAlignment="1"/>
    <xf numFmtId="0" fontId="0" fillId="2" borderId="12" xfId="0" applyFill="1" applyBorder="1"/>
    <xf numFmtId="0" fontId="0" fillId="2" borderId="14" xfId="0" applyFill="1" applyBorder="1"/>
    <xf numFmtId="0" fontId="0" fillId="2" borderId="17" xfId="0" applyFill="1" applyBorder="1"/>
    <xf numFmtId="0" fontId="16" fillId="0" borderId="0" xfId="0" applyFont="1"/>
    <xf numFmtId="0" fontId="19" fillId="0" borderId="0" xfId="2" applyNumberFormat="1" applyFont="1" applyAlignment="1">
      <alignment horizontal="left" vertical="center"/>
    </xf>
    <xf numFmtId="0" fontId="20" fillId="0" borderId="19" xfId="2" applyNumberFormat="1" applyFont="1" applyBorder="1" applyAlignment="1">
      <alignment horizontal="center" vertical="center" wrapText="1"/>
    </xf>
    <xf numFmtId="0" fontId="21" fillId="0" borderId="19" xfId="2" applyNumberFormat="1" applyFont="1" applyBorder="1" applyAlignment="1">
      <alignment horizontal="center" vertical="center" wrapText="1"/>
    </xf>
    <xf numFmtId="166" fontId="18" fillId="0" borderId="0" xfId="2" applyNumberFormat="1" applyFont="1" applyBorder="1" applyAlignment="1">
      <alignment horizontal="right" vertical="center"/>
    </xf>
    <xf numFmtId="168" fontId="18" fillId="0" borderId="0" xfId="2" applyNumberFormat="1" applyFont="1" applyBorder="1" applyAlignment="1">
      <alignment horizontal="right" vertical="center"/>
    </xf>
    <xf numFmtId="167" fontId="18" fillId="0" borderId="0" xfId="2" applyNumberFormat="1" applyFont="1" applyBorder="1" applyAlignment="1">
      <alignment horizontal="right" vertical="center"/>
    </xf>
    <xf numFmtId="1" fontId="18" fillId="0" borderId="0" xfId="2" applyNumberFormat="1" applyFont="1" applyBorder="1" applyAlignment="1">
      <alignment horizontal="right" vertical="center"/>
    </xf>
    <xf numFmtId="168" fontId="19" fillId="0" borderId="0" xfId="2" applyNumberFormat="1" applyFont="1" applyBorder="1" applyAlignment="1">
      <alignment horizontal="right" vertical="center"/>
    </xf>
    <xf numFmtId="167" fontId="19" fillId="0" borderId="0" xfId="2" applyNumberFormat="1" applyFont="1" applyBorder="1" applyAlignment="1">
      <alignment horizontal="right" vertical="center"/>
    </xf>
    <xf numFmtId="1" fontId="19" fillId="0" borderId="0" xfId="2" applyNumberFormat="1" applyFont="1" applyBorder="1" applyAlignment="1">
      <alignment horizontal="right" vertical="center"/>
    </xf>
    <xf numFmtId="0" fontId="0" fillId="0" borderId="0" xfId="0"/>
    <xf numFmtId="0" fontId="0" fillId="0" borderId="22" xfId="0" applyBorder="1"/>
    <xf numFmtId="0" fontId="20" fillId="0" borderId="23" xfId="2" applyNumberFormat="1" applyFont="1" applyBorder="1" applyAlignment="1">
      <alignment horizontal="center" vertical="center" wrapText="1"/>
    </xf>
    <xf numFmtId="168" fontId="18" fillId="0" borderId="14" xfId="2" applyNumberFormat="1" applyFont="1" applyBorder="1" applyAlignment="1">
      <alignment horizontal="right" vertical="center"/>
    </xf>
    <xf numFmtId="167" fontId="18" fillId="0" borderId="14" xfId="2" applyNumberFormat="1" applyFont="1" applyBorder="1" applyAlignment="1">
      <alignment horizontal="right" vertical="center"/>
    </xf>
    <xf numFmtId="167" fontId="19" fillId="0" borderId="14" xfId="2" applyNumberFormat="1" applyFont="1" applyBorder="1" applyAlignment="1">
      <alignment horizontal="right" vertical="center"/>
    </xf>
    <xf numFmtId="2" fontId="0" fillId="0" borderId="0" xfId="0" applyNumberFormat="1" applyBorder="1"/>
    <xf numFmtId="1" fontId="19" fillId="0" borderId="0" xfId="2" applyNumberFormat="1" applyFont="1" applyFill="1" applyBorder="1" applyAlignment="1">
      <alignment horizontal="right" vertical="center"/>
    </xf>
    <xf numFmtId="0" fontId="0" fillId="0" borderId="16" xfId="0" applyBorder="1"/>
    <xf numFmtId="1" fontId="19" fillId="0" borderId="16" xfId="2" applyNumberFormat="1" applyFont="1" applyFill="1" applyBorder="1" applyAlignment="1">
      <alignment horizontal="right" vertical="center"/>
    </xf>
    <xf numFmtId="0" fontId="0" fillId="0" borderId="17" xfId="0" applyBorder="1"/>
    <xf numFmtId="166" fontId="0" fillId="0" borderId="0" xfId="0" applyNumberFormat="1"/>
    <xf numFmtId="166" fontId="19" fillId="0" borderId="0" xfId="2" applyNumberFormat="1" applyFont="1" applyFill="1" applyBorder="1" applyAlignment="1">
      <alignment horizontal="right" vertical="center"/>
    </xf>
    <xf numFmtId="165" fontId="0" fillId="0" borderId="16" xfId="0" applyNumberFormat="1" applyBorder="1"/>
    <xf numFmtId="1" fontId="19" fillId="0" borderId="14" xfId="2" applyNumberFormat="1" applyFont="1" applyFill="1" applyBorder="1" applyAlignment="1">
      <alignment horizontal="right" vertical="center"/>
    </xf>
    <xf numFmtId="1" fontId="19" fillId="0" borderId="17" xfId="2" applyNumberFormat="1" applyFont="1" applyFill="1" applyBorder="1" applyAlignment="1">
      <alignment horizontal="right" vertical="center"/>
    </xf>
    <xf numFmtId="0" fontId="20" fillId="0" borderId="0" xfId="2" applyNumberFormat="1" applyFont="1" applyFill="1" applyBorder="1" applyAlignment="1">
      <alignment horizontal="center" vertical="center" wrapText="1"/>
    </xf>
    <xf numFmtId="1" fontId="0" fillId="0" borderId="0" xfId="0" applyNumberFormat="1"/>
    <xf numFmtId="166" fontId="19" fillId="0" borderId="16" xfId="2" applyNumberFormat="1" applyFont="1" applyFill="1" applyBorder="1" applyAlignment="1">
      <alignment horizontal="right" vertical="center"/>
    </xf>
    <xf numFmtId="0" fontId="0" fillId="0" borderId="13" xfId="0" applyBorder="1" applyAlignment="1">
      <alignment vertical="center" wrapText="1"/>
    </xf>
    <xf numFmtId="166" fontId="0" fillId="0" borderId="0" xfId="0" applyNumberFormat="1" applyBorder="1" applyAlignment="1">
      <alignment vertical="center"/>
    </xf>
    <xf numFmtId="0" fontId="0" fillId="0" borderId="15" xfId="0" applyBorder="1" applyAlignment="1">
      <alignment vertical="center"/>
    </xf>
    <xf numFmtId="166" fontId="0" fillId="0" borderId="16" xfId="0" applyNumberFormat="1" applyBorder="1" applyAlignment="1">
      <alignment vertical="center"/>
    </xf>
    <xf numFmtId="166" fontId="23" fillId="0" borderId="0" xfId="2" applyNumberFormat="1" applyFont="1" applyFill="1" applyBorder="1" applyAlignment="1">
      <alignment horizontal="right" vertical="center"/>
    </xf>
    <xf numFmtId="166" fontId="22" fillId="0" borderId="0" xfId="0" applyNumberFormat="1" applyFont="1" applyBorder="1" applyAlignment="1">
      <alignment horizontal="right" vertical="center"/>
    </xf>
    <xf numFmtId="1" fontId="23" fillId="0" borderId="0" xfId="2" applyNumberFormat="1" applyFont="1" applyFill="1" applyBorder="1" applyAlignment="1">
      <alignment horizontal="right" vertical="center"/>
    </xf>
    <xf numFmtId="1" fontId="23" fillId="0" borderId="14" xfId="2" applyNumberFormat="1" applyFont="1" applyFill="1" applyBorder="1" applyAlignment="1">
      <alignment horizontal="right" vertical="center"/>
    </xf>
    <xf numFmtId="0" fontId="0" fillId="9" borderId="19" xfId="0" applyFill="1" applyBorder="1" applyAlignment="1">
      <alignment horizontal="center" vertical="center" wrapText="1"/>
    </xf>
    <xf numFmtId="0" fontId="1" fillId="0" borderId="10" xfId="0" applyFont="1" applyBorder="1" applyAlignment="1">
      <alignment wrapText="1"/>
    </xf>
    <xf numFmtId="0" fontId="6" fillId="0" borderId="1" xfId="0" applyFont="1" applyBorder="1" applyAlignment="1">
      <alignment wrapText="1"/>
    </xf>
    <xf numFmtId="0" fontId="6" fillId="0" borderId="3" xfId="0" applyFont="1" applyBorder="1" applyAlignment="1">
      <alignment wrapText="1"/>
    </xf>
    <xf numFmtId="0" fontId="1" fillId="0" borderId="38" xfId="0" applyFont="1" applyBorder="1" applyAlignment="1">
      <alignment wrapText="1"/>
    </xf>
    <xf numFmtId="0" fontId="1" fillId="0" borderId="2" xfId="0" applyFont="1" applyBorder="1"/>
    <xf numFmtId="0" fontId="1" fillId="0" borderId="39" xfId="0" applyFont="1" applyFill="1" applyBorder="1" applyAlignment="1">
      <alignment wrapText="1"/>
    </xf>
    <xf numFmtId="0" fontId="1" fillId="0" borderId="6" xfId="0" applyFont="1" applyBorder="1" applyAlignment="1">
      <alignment wrapText="1"/>
    </xf>
    <xf numFmtId="0" fontId="1" fillId="0" borderId="4" xfId="0" applyFont="1" applyBorder="1" applyAlignment="1">
      <alignment wrapText="1"/>
    </xf>
    <xf numFmtId="0" fontId="0" fillId="0" borderId="5" xfId="0" applyBorder="1" applyAlignment="1">
      <alignment wrapText="1"/>
    </xf>
    <xf numFmtId="0" fontId="1" fillId="0" borderId="8" xfId="0" applyFont="1" applyBorder="1" applyAlignment="1">
      <alignment wrapText="1"/>
    </xf>
    <xf numFmtId="0" fontId="0" fillId="0" borderId="9" xfId="0" applyBorder="1" applyAlignment="1">
      <alignment wrapText="1"/>
    </xf>
    <xf numFmtId="0" fontId="0" fillId="0" borderId="7" xfId="0" applyBorder="1"/>
    <xf numFmtId="0" fontId="0" fillId="0" borderId="9" xfId="0" applyBorder="1"/>
    <xf numFmtId="0" fontId="0" fillId="0" borderId="5" xfId="0" applyBorder="1"/>
    <xf numFmtId="0" fontId="25" fillId="0" borderId="0" xfId="0" applyFont="1"/>
    <xf numFmtId="0" fontId="1" fillId="0" borderId="0" xfId="0" applyFont="1" applyAlignment="1">
      <alignment wrapText="1"/>
    </xf>
    <xf numFmtId="0" fontId="0" fillId="2" borderId="11" xfId="0" applyFill="1" applyBorder="1" applyAlignment="1">
      <alignment horizontal="center" vertical="center"/>
    </xf>
    <xf numFmtId="0" fontId="1" fillId="2" borderId="13" xfId="0" applyFont="1" applyFill="1" applyBorder="1" applyAlignment="1">
      <alignment wrapText="1"/>
    </xf>
    <xf numFmtId="0" fontId="11" fillId="0" borderId="0" xfId="0" applyFont="1" applyAlignment="1"/>
    <xf numFmtId="0" fontId="0" fillId="0" borderId="0" xfId="0" applyFont="1" applyBorder="1"/>
    <xf numFmtId="14"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1" fillId="0" borderId="39" xfId="0" applyFont="1" applyBorder="1" applyAlignment="1">
      <alignment horizontal="center" vertical="center" wrapText="1"/>
    </xf>
    <xf numFmtId="0" fontId="27" fillId="0" borderId="0" xfId="0" applyFont="1"/>
    <xf numFmtId="0" fontId="0" fillId="0" borderId="0" xfId="0" applyFont="1" applyAlignment="1">
      <alignment wrapText="1"/>
    </xf>
    <xf numFmtId="2" fontId="0" fillId="0" borderId="0" xfId="0" applyNumberFormat="1" applyBorder="1" applyAlignment="1">
      <alignment wrapText="1"/>
    </xf>
    <xf numFmtId="168" fontId="0" fillId="0" borderId="0" xfId="0" applyNumberFormat="1" applyBorder="1" applyAlignment="1">
      <alignment wrapText="1"/>
    </xf>
    <xf numFmtId="169" fontId="7" fillId="0" borderId="0" xfId="0" applyNumberFormat="1" applyFont="1" applyBorder="1" applyAlignment="1">
      <alignment wrapText="1"/>
    </xf>
    <xf numFmtId="2" fontId="0" fillId="0" borderId="16" xfId="0" applyNumberFormat="1" applyBorder="1" applyAlignment="1">
      <alignment wrapText="1"/>
    </xf>
    <xf numFmtId="2" fontId="0" fillId="0" borderId="0" xfId="0" applyNumberFormat="1"/>
    <xf numFmtId="0" fontId="0" fillId="0" borderId="20" xfId="0" applyBorder="1" applyAlignment="1">
      <alignment wrapText="1"/>
    </xf>
    <xf numFmtId="2" fontId="0" fillId="0" borderId="14" xfId="0" applyNumberFormat="1" applyBorder="1"/>
    <xf numFmtId="168" fontId="0" fillId="0" borderId="16" xfId="0" applyNumberFormat="1" applyBorder="1" applyAlignment="1">
      <alignment wrapText="1"/>
    </xf>
    <xf numFmtId="2" fontId="0" fillId="0" borderId="16" xfId="0" applyNumberFormat="1" applyBorder="1"/>
    <xf numFmtId="2" fontId="0" fillId="0" borderId="17" xfId="0" applyNumberFormat="1" applyBorder="1"/>
    <xf numFmtId="0" fontId="1" fillId="0" borderId="1" xfId="0" applyFont="1" applyBorder="1"/>
    <xf numFmtId="2" fontId="0" fillId="0" borderId="0" xfId="0" applyNumberFormat="1" applyFont="1"/>
    <xf numFmtId="2" fontId="0" fillId="0" borderId="16" xfId="0" applyNumberFormat="1" applyFont="1" applyBorder="1"/>
    <xf numFmtId="0" fontId="1" fillId="0" borderId="21" xfId="0" applyFont="1" applyBorder="1"/>
    <xf numFmtId="0" fontId="1" fillId="0" borderId="20" xfId="0" applyFont="1" applyBorder="1"/>
    <xf numFmtId="0" fontId="0" fillId="0" borderId="0" xfId="0" applyFont="1" applyBorder="1" applyAlignment="1">
      <alignment wrapText="1"/>
    </xf>
    <xf numFmtId="0" fontId="30" fillId="0" borderId="0" xfId="0" applyFont="1" applyBorder="1"/>
    <xf numFmtId="0" fontId="0" fillId="0" borderId="16" xfId="0" applyFont="1" applyBorder="1"/>
    <xf numFmtId="0" fontId="0" fillId="0" borderId="2" xfId="0" applyFont="1" applyBorder="1" applyAlignment="1">
      <alignment vertical="center" wrapText="1"/>
    </xf>
    <xf numFmtId="0" fontId="0" fillId="0" borderId="25" xfId="0" applyBorder="1" applyAlignment="1">
      <alignment vertical="center"/>
    </xf>
    <xf numFmtId="2" fontId="0" fillId="0" borderId="0" xfId="0" applyNumberFormat="1" applyFill="1" applyBorder="1" applyAlignment="1">
      <alignment wrapText="1"/>
    </xf>
    <xf numFmtId="2" fontId="0" fillId="2" borderId="0" xfId="0" applyNumberFormat="1" applyFill="1" applyBorder="1" applyAlignment="1">
      <alignment wrapText="1"/>
    </xf>
    <xf numFmtId="2" fontId="1" fillId="0" borderId="19" xfId="0" applyNumberFormat="1" applyFont="1" applyBorder="1" applyAlignment="1">
      <alignment horizontal="center" vertical="center" wrapText="1"/>
    </xf>
    <xf numFmtId="2" fontId="0" fillId="0" borderId="16" xfId="0" applyNumberFormat="1" applyFill="1" applyBorder="1" applyAlignment="1">
      <alignment wrapText="1"/>
    </xf>
    <xf numFmtId="2" fontId="0" fillId="5" borderId="0" xfId="0" applyNumberFormat="1" applyFill="1" applyBorder="1" applyAlignment="1">
      <alignment wrapText="1"/>
    </xf>
    <xf numFmtId="2" fontId="0" fillId="2" borderId="0" xfId="0" applyNumberFormat="1" applyFill="1" applyBorder="1"/>
    <xf numFmtId="2" fontId="0" fillId="5" borderId="14" xfId="0" applyNumberFormat="1" applyFill="1" applyBorder="1" applyAlignment="1">
      <alignment wrapText="1"/>
    </xf>
    <xf numFmtId="2" fontId="0" fillId="0" borderId="0" xfId="0" applyNumberFormat="1" applyFill="1" applyBorder="1" applyAlignment="1"/>
    <xf numFmtId="2" fontId="0" fillId="2" borderId="14" xfId="0" applyNumberFormat="1" applyFill="1" applyBorder="1" applyAlignment="1">
      <alignment wrapText="1"/>
    </xf>
    <xf numFmtId="2" fontId="1" fillId="5" borderId="19" xfId="0" applyNumberFormat="1" applyFont="1" applyFill="1" applyBorder="1" applyAlignment="1">
      <alignment horizontal="center" vertical="center" wrapText="1"/>
    </xf>
    <xf numFmtId="2" fontId="0" fillId="2" borderId="1" xfId="0" applyNumberFormat="1" applyFill="1" applyBorder="1" applyAlignment="1">
      <alignment horizontal="center" vertical="center"/>
    </xf>
    <xf numFmtId="2" fontId="1" fillId="0" borderId="1" xfId="0" applyNumberFormat="1" applyFont="1" applyFill="1" applyBorder="1" applyAlignment="1">
      <alignment horizontal="center" vertical="center" wrapText="1"/>
    </xf>
    <xf numFmtId="2" fontId="1" fillId="5" borderId="23" xfId="0" applyNumberFormat="1" applyFont="1" applyFill="1" applyBorder="1" applyAlignment="1">
      <alignment horizontal="center" vertical="center" wrapText="1"/>
    </xf>
    <xf numFmtId="2" fontId="0" fillId="5" borderId="16" xfId="0" applyNumberFormat="1" applyFill="1" applyBorder="1" applyAlignment="1">
      <alignment wrapText="1"/>
    </xf>
    <xf numFmtId="2" fontId="0" fillId="2" borderId="16" xfId="0" applyNumberFormat="1" applyFill="1" applyBorder="1"/>
    <xf numFmtId="2" fontId="0" fillId="0" borderId="16" xfId="0" applyNumberFormat="1" applyFill="1" applyBorder="1" applyAlignment="1"/>
    <xf numFmtId="2" fontId="0" fillId="5" borderId="17" xfId="0" applyNumberFormat="1" applyFill="1" applyBorder="1" applyAlignment="1">
      <alignment wrapText="1"/>
    </xf>
    <xf numFmtId="0" fontId="0" fillId="12" borderId="1" xfId="0" applyFill="1" applyBorder="1" applyAlignment="1">
      <alignment wrapText="1"/>
    </xf>
    <xf numFmtId="2" fontId="0" fillId="12" borderId="0" xfId="0" applyNumberFormat="1" applyFill="1" applyBorder="1"/>
    <xf numFmtId="2" fontId="0" fillId="12" borderId="16" xfId="0" applyNumberFormat="1" applyFill="1" applyBorder="1"/>
    <xf numFmtId="0" fontId="0" fillId="13" borderId="1" xfId="0" applyFill="1" applyBorder="1" applyAlignment="1">
      <alignment wrapText="1"/>
    </xf>
    <xf numFmtId="2" fontId="0" fillId="13" borderId="0" xfId="0" applyNumberFormat="1" applyFill="1" applyBorder="1"/>
    <xf numFmtId="2" fontId="0" fillId="13" borderId="16" xfId="0" applyNumberFormat="1" applyFill="1" applyBorder="1"/>
    <xf numFmtId="0" fontId="0" fillId="14" borderId="1" xfId="0" applyFill="1" applyBorder="1" applyAlignment="1">
      <alignment wrapText="1"/>
    </xf>
    <xf numFmtId="2" fontId="0" fillId="14" borderId="0" xfId="0" applyNumberFormat="1" applyFill="1" applyBorder="1"/>
    <xf numFmtId="2" fontId="0" fillId="14" borderId="16" xfId="0" applyNumberFormat="1" applyFill="1" applyBorder="1"/>
    <xf numFmtId="0" fontId="0" fillId="9" borderId="1" xfId="0" applyFill="1" applyBorder="1" applyAlignment="1">
      <alignment wrapText="1"/>
    </xf>
    <xf numFmtId="2" fontId="0" fillId="9" borderId="0" xfId="0" applyNumberFormat="1" applyFill="1" applyBorder="1"/>
    <xf numFmtId="2" fontId="0" fillId="9" borderId="16" xfId="0" applyNumberFormat="1" applyFill="1" applyBorder="1"/>
    <xf numFmtId="0" fontId="0" fillId="13" borderId="20" xfId="0" applyFill="1" applyBorder="1" applyAlignment="1">
      <alignment wrapText="1"/>
    </xf>
    <xf numFmtId="2" fontId="0" fillId="13" borderId="14" xfId="0" applyNumberFormat="1" applyFill="1" applyBorder="1"/>
    <xf numFmtId="2" fontId="0" fillId="13" borderId="17" xfId="0" applyNumberFormat="1" applyFill="1" applyBorder="1"/>
    <xf numFmtId="167" fontId="0" fillId="0" borderId="0" xfId="0" applyNumberFormat="1"/>
    <xf numFmtId="10" fontId="22" fillId="0" borderId="0" xfId="0" applyNumberFormat="1" applyFont="1" applyBorder="1" applyAlignment="1">
      <alignment vertical="center"/>
    </xf>
    <xf numFmtId="10" fontId="0" fillId="0" borderId="0" xfId="0" applyNumberFormat="1" applyBorder="1" applyAlignment="1">
      <alignment vertical="center"/>
    </xf>
    <xf numFmtId="10" fontId="0" fillId="0" borderId="16" xfId="0" applyNumberFormat="1" applyBorder="1" applyAlignment="1">
      <alignment vertical="center"/>
    </xf>
    <xf numFmtId="10" fontId="22" fillId="9" borderId="0" xfId="0" applyNumberFormat="1" applyFont="1" applyFill="1" applyAlignment="1">
      <alignment vertical="center"/>
    </xf>
    <xf numFmtId="10" fontId="0" fillId="9" borderId="0" xfId="0" applyNumberFormat="1" applyFill="1" applyAlignment="1">
      <alignment vertical="center"/>
    </xf>
    <xf numFmtId="10" fontId="0" fillId="9" borderId="16" xfId="0" applyNumberFormat="1" applyFill="1" applyBorder="1" applyAlignment="1">
      <alignment vertical="center"/>
    </xf>
    <xf numFmtId="167" fontId="19" fillId="0" borderId="16" xfId="2" applyNumberFormat="1" applyFont="1" applyBorder="1" applyAlignment="1">
      <alignment horizontal="right" vertical="center"/>
    </xf>
    <xf numFmtId="1" fontId="19" fillId="0" borderId="16" xfId="2" applyNumberFormat="1" applyFont="1" applyBorder="1" applyAlignment="1">
      <alignment horizontal="right" vertical="center"/>
    </xf>
    <xf numFmtId="167" fontId="19" fillId="0" borderId="17" xfId="2" applyNumberFormat="1" applyFont="1" applyBorder="1" applyAlignment="1">
      <alignment horizontal="right" vertical="center"/>
    </xf>
    <xf numFmtId="0" fontId="0" fillId="0" borderId="24" xfId="0" applyBorder="1"/>
    <xf numFmtId="0" fontId="27" fillId="0" borderId="3" xfId="0" applyFont="1" applyBorder="1" applyAlignment="1">
      <alignment horizontal="center" vertical="center"/>
    </xf>
    <xf numFmtId="0" fontId="27" fillId="0" borderId="0" xfId="0" applyFont="1" applyBorder="1" applyAlignment="1">
      <alignment horizontal="center" vertical="center"/>
    </xf>
    <xf numFmtId="0" fontId="0" fillId="0" borderId="2" xfId="0" applyFont="1" applyBorder="1" applyAlignment="1">
      <alignment horizontal="center" vertical="center"/>
    </xf>
    <xf numFmtId="0" fontId="0" fillId="0" borderId="16" xfId="0" applyFont="1" applyBorder="1" applyAlignment="1">
      <alignment horizontal="center" vertical="center" wrapText="1"/>
    </xf>
    <xf numFmtId="0" fontId="0"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31" xfId="0" applyFont="1" applyBorder="1" applyAlignment="1">
      <alignment horizontal="center" vertical="center"/>
    </xf>
    <xf numFmtId="0" fontId="0" fillId="0" borderId="11" xfId="0" applyBorder="1" applyAlignment="1">
      <alignment wrapText="1"/>
    </xf>
    <xf numFmtId="0" fontId="6" fillId="0" borderId="11" xfId="1" applyFont="1" applyBorder="1"/>
    <xf numFmtId="0" fontId="0" fillId="0" borderId="16" xfId="0" applyFill="1" applyBorder="1"/>
    <xf numFmtId="0" fontId="1" fillId="0" borderId="0" xfId="0" applyFont="1"/>
    <xf numFmtId="168" fontId="0" fillId="0" borderId="0" xfId="0" applyNumberFormat="1" applyBorder="1"/>
    <xf numFmtId="0" fontId="0" fillId="0" borderId="0" xfId="0" applyFill="1" applyBorder="1" applyAlignment="1">
      <alignment wrapText="1"/>
    </xf>
    <xf numFmtId="0" fontId="0" fillId="0" borderId="0" xfId="0"/>
    <xf numFmtId="0" fontId="0" fillId="0" borderId="13" xfId="0" applyBorder="1"/>
    <xf numFmtId="0" fontId="0" fillId="0" borderId="0" xfId="0" applyBorder="1"/>
    <xf numFmtId="0" fontId="0" fillId="0" borderId="0" xfId="0" applyFont="1" applyBorder="1"/>
    <xf numFmtId="0" fontId="0" fillId="0" borderId="16" xfId="0" applyBorder="1"/>
    <xf numFmtId="2" fontId="0" fillId="0" borderId="0" xfId="0" applyNumberFormat="1"/>
    <xf numFmtId="2" fontId="0" fillId="0" borderId="0" xfId="0" applyNumberFormat="1" applyBorder="1"/>
    <xf numFmtId="0" fontId="1" fillId="2" borderId="13" xfId="0" applyFont="1" applyFill="1" applyBorder="1"/>
    <xf numFmtId="0" fontId="1" fillId="2" borderId="0" xfId="0" applyFont="1" applyFill="1" applyBorder="1"/>
    <xf numFmtId="0" fontId="1" fillId="15" borderId="19" xfId="0" applyFont="1" applyFill="1" applyBorder="1" applyAlignment="1"/>
    <xf numFmtId="0" fontId="1" fillId="15" borderId="11" xfId="0" applyFont="1" applyFill="1" applyBorder="1"/>
    <xf numFmtId="0" fontId="1" fillId="15" borderId="12" xfId="0" applyFont="1" applyFill="1" applyBorder="1"/>
    <xf numFmtId="0" fontId="1" fillId="15" borderId="13" xfId="0" applyFont="1" applyFill="1" applyBorder="1"/>
    <xf numFmtId="0" fontId="1" fillId="15" borderId="0" xfId="0" applyFont="1" applyFill="1" applyBorder="1"/>
    <xf numFmtId="0" fontId="1" fillId="15" borderId="14" xfId="0" applyFont="1" applyFill="1" applyBorder="1"/>
    <xf numFmtId="0" fontId="1" fillId="15" borderId="0" xfId="0" applyFont="1" applyFill="1" applyBorder="1" applyAlignment="1">
      <alignment wrapText="1"/>
    </xf>
    <xf numFmtId="0" fontId="1" fillId="15" borderId="0" xfId="0" applyFont="1" applyFill="1" applyBorder="1" applyAlignment="1"/>
    <xf numFmtId="168" fontId="1" fillId="15" borderId="14" xfId="0" applyNumberFormat="1" applyFont="1" applyFill="1" applyBorder="1"/>
    <xf numFmtId="0" fontId="1" fillId="15" borderId="16" xfId="0" applyFont="1" applyFill="1" applyBorder="1"/>
    <xf numFmtId="0" fontId="1" fillId="15" borderId="17" xfId="0" applyFont="1" applyFill="1" applyBorder="1"/>
    <xf numFmtId="0" fontId="34" fillId="15" borderId="13" xfId="0" applyFont="1" applyFill="1" applyBorder="1"/>
    <xf numFmtId="0" fontId="34" fillId="4" borderId="13" xfId="0" applyFont="1" applyFill="1" applyBorder="1"/>
    <xf numFmtId="0" fontId="34" fillId="4" borderId="0" xfId="0" applyFont="1" applyFill="1" applyBorder="1"/>
    <xf numFmtId="0" fontId="34" fillId="4" borderId="15" xfId="0" applyFont="1" applyFill="1" applyBorder="1"/>
    <xf numFmtId="0" fontId="34" fillId="4" borderId="16" xfId="0" applyFont="1" applyFill="1" applyBorder="1"/>
    <xf numFmtId="0" fontId="34" fillId="4" borderId="0" xfId="0" applyFont="1" applyFill="1" applyBorder="1" applyAlignment="1"/>
    <xf numFmtId="0" fontId="34" fillId="4" borderId="0" xfId="0" applyFont="1" applyFill="1" applyBorder="1" applyAlignment="1">
      <alignment wrapText="1"/>
    </xf>
    <xf numFmtId="168" fontId="34" fillId="4" borderId="14" xfId="0" applyNumberFormat="1" applyFont="1" applyFill="1" applyBorder="1"/>
    <xf numFmtId="0" fontId="34" fillId="15" borderId="0" xfId="0" applyFont="1" applyFill="1" applyBorder="1"/>
    <xf numFmtId="0" fontId="1" fillId="15" borderId="19" xfId="0" applyFont="1" applyFill="1" applyBorder="1" applyAlignment="1">
      <alignment wrapText="1"/>
    </xf>
    <xf numFmtId="0" fontId="1" fillId="15" borderId="11" xfId="0" applyFont="1" applyFill="1" applyBorder="1" applyAlignment="1">
      <alignment wrapText="1"/>
    </xf>
    <xf numFmtId="0" fontId="1" fillId="15" borderId="12" xfId="0" applyFont="1" applyFill="1" applyBorder="1" applyAlignment="1">
      <alignment wrapText="1"/>
    </xf>
    <xf numFmtId="0" fontId="34" fillId="15" borderId="13" xfId="0" applyFont="1" applyFill="1" applyBorder="1" applyAlignment="1">
      <alignment wrapText="1"/>
    </xf>
    <xf numFmtId="0" fontId="1" fillId="15" borderId="14" xfId="0" applyFont="1" applyFill="1" applyBorder="1" applyAlignment="1">
      <alignment wrapText="1"/>
    </xf>
    <xf numFmtId="0" fontId="1" fillId="15" borderId="13" xfId="0" applyFont="1" applyFill="1" applyBorder="1" applyAlignment="1">
      <alignment wrapText="1"/>
    </xf>
    <xf numFmtId="168" fontId="1" fillId="15" borderId="14" xfId="0" applyNumberFormat="1" applyFont="1" applyFill="1" applyBorder="1" applyAlignment="1">
      <alignment wrapText="1"/>
    </xf>
    <xf numFmtId="0" fontId="34" fillId="4" borderId="13" xfId="0" applyFont="1" applyFill="1" applyBorder="1" applyAlignment="1">
      <alignment wrapText="1"/>
    </xf>
    <xf numFmtId="0" fontId="1" fillId="2" borderId="0" xfId="0" applyFont="1" applyFill="1" applyBorder="1" applyAlignment="1">
      <alignment wrapText="1"/>
    </xf>
    <xf numFmtId="168" fontId="34" fillId="4" borderId="14" xfId="0" applyNumberFormat="1" applyFont="1" applyFill="1" applyBorder="1" applyAlignment="1">
      <alignment wrapText="1"/>
    </xf>
    <xf numFmtId="0" fontId="34" fillId="4" borderId="15" xfId="0" applyFont="1" applyFill="1" applyBorder="1" applyAlignment="1">
      <alignment wrapText="1"/>
    </xf>
    <xf numFmtId="0" fontId="34" fillId="4" borderId="16" xfId="0" applyFont="1" applyFill="1" applyBorder="1" applyAlignment="1">
      <alignment wrapText="1"/>
    </xf>
    <xf numFmtId="0" fontId="1" fillId="15" borderId="16" xfId="0" applyFont="1" applyFill="1" applyBorder="1" applyAlignment="1">
      <alignment wrapText="1"/>
    </xf>
    <xf numFmtId="0" fontId="1" fillId="15" borderId="17" xfId="0" applyFont="1" applyFill="1" applyBorder="1" applyAlignment="1">
      <alignment wrapText="1"/>
    </xf>
    <xf numFmtId="0" fontId="1" fillId="0" borderId="0" xfId="0" applyFont="1" applyBorder="1" applyAlignment="1">
      <alignment horizontal="center"/>
    </xf>
    <xf numFmtId="0" fontId="35" fillId="15" borderId="0" xfId="0" applyFont="1" applyFill="1" applyBorder="1" applyAlignment="1">
      <alignment wrapText="1"/>
    </xf>
    <xf numFmtId="168" fontId="35" fillId="15" borderId="14" xfId="0" applyNumberFormat="1" applyFont="1" applyFill="1" applyBorder="1" applyAlignment="1">
      <alignment wrapText="1"/>
    </xf>
    <xf numFmtId="0" fontId="35" fillId="0" borderId="0" xfId="0" applyFont="1" applyFill="1" applyBorder="1" applyAlignment="1">
      <alignment wrapText="1"/>
    </xf>
    <xf numFmtId="0" fontId="1" fillId="0" borderId="16" xfId="0" applyFont="1" applyBorder="1" applyAlignment="1">
      <alignment wrapText="1"/>
    </xf>
    <xf numFmtId="0" fontId="0" fillId="0" borderId="33" xfId="0" applyBorder="1"/>
    <xf numFmtId="0" fontId="35" fillId="0" borderId="16" xfId="0" applyFont="1" applyFill="1" applyBorder="1" applyAlignment="1">
      <alignment wrapText="1"/>
    </xf>
    <xf numFmtId="166" fontId="0" fillId="0" borderId="16" xfId="0" applyNumberFormat="1" applyBorder="1"/>
    <xf numFmtId="10" fontId="0" fillId="0" borderId="16" xfId="0" applyNumberFormat="1" applyBorder="1"/>
    <xf numFmtId="165" fontId="6" fillId="0" borderId="0" xfId="0" applyNumberFormat="1" applyFont="1" applyFill="1" applyBorder="1"/>
    <xf numFmtId="0" fontId="6" fillId="0" borderId="0" xfId="0" applyFont="1" applyFill="1" applyBorder="1" applyAlignment="1">
      <alignment wrapText="1"/>
    </xf>
    <xf numFmtId="0" fontId="6" fillId="0" borderId="0" xfId="0" applyFont="1" applyFill="1" applyBorder="1" applyAlignment="1"/>
    <xf numFmtId="10" fontId="6" fillId="0" borderId="0" xfId="0" applyNumberFormat="1" applyFont="1" applyFill="1" applyBorder="1" applyAlignment="1"/>
    <xf numFmtId="10" fontId="0" fillId="0" borderId="0" xfId="0" applyNumberFormat="1" applyBorder="1"/>
    <xf numFmtId="0" fontId="1" fillId="0" borderId="36" xfId="0" applyFont="1" applyFill="1" applyBorder="1" applyAlignment="1">
      <alignment wrapText="1"/>
    </xf>
    <xf numFmtId="0" fontId="1" fillId="0" borderId="15" xfId="0" applyFont="1" applyBorder="1" applyAlignment="1"/>
    <xf numFmtId="0" fontId="1" fillId="0" borderId="33" xfId="0" applyFont="1" applyFill="1" applyBorder="1" applyAlignment="1">
      <alignment wrapText="1"/>
    </xf>
    <xf numFmtId="0" fontId="1" fillId="0" borderId="0" xfId="0" applyFont="1" applyBorder="1"/>
    <xf numFmtId="0" fontId="0" fillId="0" borderId="3" xfId="0" applyBorder="1" applyAlignment="1">
      <alignment horizontal="center" wrapText="1"/>
    </xf>
    <xf numFmtId="0" fontId="14" fillId="0" borderId="36" xfId="0" applyFont="1" applyBorder="1" applyAlignment="1">
      <alignment horizontal="center"/>
    </xf>
    <xf numFmtId="0" fontId="14" fillId="0" borderId="33" xfId="0" applyFont="1" applyBorder="1" applyAlignment="1">
      <alignment horizontal="center"/>
    </xf>
    <xf numFmtId="0" fontId="14" fillId="0" borderId="37" xfId="0" applyFont="1" applyBorder="1" applyAlignment="1">
      <alignment horizontal="center"/>
    </xf>
    <xf numFmtId="0" fontId="0" fillId="4" borderId="22" xfId="0" applyFill="1" applyBorder="1" applyAlignment="1">
      <alignment horizontal="center"/>
    </xf>
    <xf numFmtId="0" fontId="0" fillId="4" borderId="19" xfId="0" applyFill="1" applyBorder="1" applyAlignment="1">
      <alignment horizontal="center"/>
    </xf>
    <xf numFmtId="0" fontId="0" fillId="6" borderId="21" xfId="0" applyFill="1" applyBorder="1" applyAlignment="1">
      <alignment horizontal="center"/>
    </xf>
    <xf numFmtId="0" fontId="0" fillId="6" borderId="1" xfId="0" applyFill="1" applyBorder="1" applyAlignment="1">
      <alignment horizontal="center"/>
    </xf>
    <xf numFmtId="0" fontId="14" fillId="0" borderId="35" xfId="0" applyFont="1" applyBorder="1" applyAlignment="1">
      <alignment horizontal="center"/>
    </xf>
    <xf numFmtId="0" fontId="14" fillId="0" borderId="26" xfId="0" applyFont="1" applyBorder="1" applyAlignment="1">
      <alignment horizontal="center"/>
    </xf>
    <xf numFmtId="0" fontId="14" fillId="0" borderId="27" xfId="0" applyFont="1" applyBorder="1" applyAlignment="1">
      <alignment horizontal="center"/>
    </xf>
    <xf numFmtId="0" fontId="0" fillId="0" borderId="24" xfId="0" applyBorder="1" applyAlignment="1">
      <alignment horizontal="center" wrapText="1"/>
    </xf>
    <xf numFmtId="0" fontId="15" fillId="2" borderId="19" xfId="0" applyFont="1" applyFill="1" applyBorder="1" applyAlignment="1">
      <alignment horizontal="center"/>
    </xf>
    <xf numFmtId="0" fontId="5" fillId="0" borderId="36" xfId="0" applyFont="1" applyBorder="1" applyAlignment="1">
      <alignment horizontal="center"/>
    </xf>
    <xf numFmtId="0" fontId="5" fillId="0" borderId="33" xfId="0" applyFont="1" applyBorder="1" applyAlignment="1">
      <alignment horizontal="center"/>
    </xf>
    <xf numFmtId="0" fontId="5" fillId="0" borderId="37" xfId="0" applyFont="1" applyBorder="1" applyAlignment="1">
      <alignment horizontal="center"/>
    </xf>
    <xf numFmtId="0" fontId="14" fillId="0" borderId="36"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7" xfId="0" applyFont="1" applyBorder="1" applyAlignment="1">
      <alignment horizontal="center" vertical="center" wrapText="1"/>
    </xf>
    <xf numFmtId="0" fontId="14" fillId="8" borderId="32" xfId="0" applyFont="1" applyFill="1" applyBorder="1" applyAlignment="1">
      <alignment horizontal="center"/>
    </xf>
    <xf numFmtId="0" fontId="14" fillId="8" borderId="33" xfId="0" applyFont="1" applyFill="1" applyBorder="1" applyAlignment="1">
      <alignment horizontal="center"/>
    </xf>
    <xf numFmtId="0" fontId="14" fillId="8" borderId="34" xfId="0" applyFont="1" applyFill="1" applyBorder="1" applyAlignment="1">
      <alignment horizontal="center"/>
    </xf>
    <xf numFmtId="0" fontId="0" fillId="0" borderId="19" xfId="0" applyBorder="1" applyAlignment="1">
      <alignment horizontal="center"/>
    </xf>
    <xf numFmtId="0" fontId="0" fillId="3" borderId="19" xfId="0" applyFill="1" applyBorder="1" applyAlignment="1">
      <alignment horizontal="center"/>
    </xf>
    <xf numFmtId="0" fontId="14" fillId="7" borderId="28" xfId="0" applyFont="1" applyFill="1" applyBorder="1" applyAlignment="1">
      <alignment horizontal="center"/>
    </xf>
    <xf numFmtId="0" fontId="14" fillId="0" borderId="29" xfId="0" applyFont="1" applyBorder="1" applyAlignment="1">
      <alignment horizontal="center"/>
    </xf>
    <xf numFmtId="0" fontId="14" fillId="0" borderId="18" xfId="0" applyFont="1" applyBorder="1" applyAlignment="1">
      <alignment horizontal="center"/>
    </xf>
    <xf numFmtId="0" fontId="14" fillId="0" borderId="30" xfId="0" applyFont="1" applyBorder="1" applyAlignment="1">
      <alignment horizontal="center"/>
    </xf>
    <xf numFmtId="0" fontId="0" fillId="7" borderId="22" xfId="0" applyFill="1" applyBorder="1" applyAlignment="1">
      <alignment horizontal="center"/>
    </xf>
    <xf numFmtId="0" fontId="0" fillId="7" borderId="19" xfId="0" applyFill="1" applyBorder="1" applyAlignment="1">
      <alignment horizontal="center"/>
    </xf>
    <xf numFmtId="0" fontId="0" fillId="7" borderId="23" xfId="0" applyFill="1" applyBorder="1" applyAlignment="1">
      <alignment horizont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26" fillId="10" borderId="36" xfId="0" applyFont="1" applyFill="1" applyBorder="1" applyAlignment="1">
      <alignment horizontal="center" vertical="center"/>
    </xf>
    <xf numFmtId="0" fontId="26" fillId="10" borderId="33" xfId="0" applyFont="1" applyFill="1" applyBorder="1" applyAlignment="1">
      <alignment horizontal="center" vertical="center"/>
    </xf>
    <xf numFmtId="0" fontId="26" fillId="10" borderId="37" xfId="0" applyFont="1" applyFill="1" applyBorder="1" applyAlignment="1">
      <alignment horizontal="center" vertical="center"/>
    </xf>
    <xf numFmtId="0" fontId="0" fillId="10" borderId="22" xfId="0" applyFill="1" applyBorder="1" applyAlignment="1">
      <alignment horizontal="center" vertical="center"/>
    </xf>
    <xf numFmtId="0" fontId="0" fillId="10" borderId="19" xfId="0" applyFill="1" applyBorder="1" applyAlignment="1">
      <alignment horizontal="center" vertical="center"/>
    </xf>
    <xf numFmtId="0" fontId="0" fillId="10" borderId="23" xfId="0" applyFill="1" applyBorder="1" applyAlignment="1">
      <alignment horizontal="center" vertical="center"/>
    </xf>
    <xf numFmtId="0" fontId="26" fillId="0" borderId="22" xfId="0" applyFont="1" applyBorder="1" applyAlignment="1">
      <alignment horizontal="center" vertical="center"/>
    </xf>
    <xf numFmtId="0" fontId="26" fillId="0" borderId="19" xfId="0" applyFont="1" applyBorder="1" applyAlignment="1">
      <alignment horizontal="center" vertical="center"/>
    </xf>
    <xf numFmtId="0" fontId="26" fillId="0" borderId="23" xfId="0" applyFont="1" applyBorder="1" applyAlignment="1">
      <alignment horizontal="center" vertical="center"/>
    </xf>
    <xf numFmtId="0" fontId="1" fillId="0" borderId="21" xfId="0" applyFont="1" applyBorder="1" applyAlignment="1">
      <alignment horizontal="center" wrapText="1"/>
    </xf>
    <xf numFmtId="0" fontId="1" fillId="0" borderId="1" xfId="0" applyFont="1" applyBorder="1" applyAlignment="1">
      <alignment horizontal="center" wrapText="1"/>
    </xf>
    <xf numFmtId="0" fontId="1" fillId="0" borderId="9" xfId="0" applyFont="1" applyBorder="1" applyAlignment="1">
      <alignment horizontal="center" wrapText="1"/>
    </xf>
    <xf numFmtId="0" fontId="26" fillId="11" borderId="40" xfId="0" applyFont="1" applyFill="1" applyBorder="1" applyAlignment="1">
      <alignment horizontal="center" vertical="center"/>
    </xf>
    <xf numFmtId="0" fontId="26" fillId="11" borderId="28" xfId="0" applyFont="1" applyFill="1" applyBorder="1" applyAlignment="1">
      <alignment horizontal="center" vertical="center"/>
    </xf>
    <xf numFmtId="0" fontId="26" fillId="11" borderId="41" xfId="0" applyFont="1" applyFill="1" applyBorder="1" applyAlignment="1">
      <alignment horizontal="center" vertical="center"/>
    </xf>
    <xf numFmtId="0" fontId="0" fillId="11" borderId="22" xfId="0" applyFill="1" applyBorder="1" applyAlignment="1">
      <alignment horizontal="center" vertical="center"/>
    </xf>
    <xf numFmtId="0" fontId="0" fillId="11" borderId="19" xfId="0" applyFill="1" applyBorder="1" applyAlignment="1">
      <alignment horizontal="center" vertical="center"/>
    </xf>
    <xf numFmtId="0" fontId="0" fillId="11" borderId="23" xfId="0" applyFill="1" applyBorder="1" applyAlignment="1">
      <alignment horizontal="center" vertical="center"/>
    </xf>
    <xf numFmtId="0" fontId="14" fillId="0" borderId="22" xfId="0" applyFont="1" applyBorder="1" applyAlignment="1">
      <alignment horizontal="center" vertical="center"/>
    </xf>
    <xf numFmtId="0" fontId="14" fillId="0" borderId="19"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3" xfId="0" applyFont="1" applyBorder="1" applyAlignment="1">
      <alignment horizontal="center" vertical="center" wrapText="1"/>
    </xf>
    <xf numFmtId="0" fontId="1" fillId="15" borderId="22" xfId="0" applyFont="1" applyFill="1" applyBorder="1" applyAlignment="1">
      <alignment horizontal="center"/>
    </xf>
    <xf numFmtId="0" fontId="1" fillId="15" borderId="19" xfId="0" applyFont="1" applyFill="1" applyBorder="1" applyAlignment="1">
      <alignment horizontal="center"/>
    </xf>
    <xf numFmtId="0" fontId="1" fillId="0" borderId="33" xfId="0" applyFont="1" applyBorder="1" applyAlignment="1">
      <alignment horizontal="center"/>
    </xf>
    <xf numFmtId="0" fontId="1" fillId="0" borderId="36" xfId="0" applyFont="1" applyBorder="1" applyAlignment="1">
      <alignment horizontal="center"/>
    </xf>
    <xf numFmtId="0" fontId="1" fillId="0" borderId="37" xfId="0" applyFont="1" applyBorder="1" applyAlignment="1">
      <alignment horizontal="center"/>
    </xf>
    <xf numFmtId="0" fontId="1" fillId="15" borderId="22" xfId="0" applyFont="1" applyFill="1" applyBorder="1" applyAlignment="1">
      <alignment horizontal="center" wrapText="1"/>
    </xf>
    <xf numFmtId="0" fontId="1" fillId="15" borderId="19" xfId="0" applyFont="1" applyFill="1" applyBorder="1" applyAlignment="1">
      <alignment horizontal="center"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1" fillId="0" borderId="2" xfId="0" applyFont="1" applyBorder="1" applyAlignment="1">
      <alignment horizontal="center"/>
    </xf>
    <xf numFmtId="0" fontId="2" fillId="0" borderId="4" xfId="0" applyFont="1" applyFill="1" applyBorder="1" applyAlignment="1">
      <alignment horizontal="left" wrapText="1"/>
    </xf>
    <xf numFmtId="0" fontId="2" fillId="0" borderId="3"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0" fontId="2" fillId="0" borderId="1" xfId="0" applyFont="1" applyFill="1" applyBorder="1" applyAlignment="1">
      <alignment horizontal="left" wrapText="1"/>
    </xf>
    <xf numFmtId="0" fontId="2" fillId="0" borderId="9" xfId="0" applyFont="1" applyFill="1" applyBorder="1" applyAlignment="1">
      <alignment horizontal="left" wrapText="1"/>
    </xf>
  </cellXfs>
  <cellStyles count="3">
    <cellStyle name="Hyperlink" xfId="1" builtinId="8"/>
    <cellStyle name="Normal" xfId="0" builtinId="0"/>
    <cellStyle name="Normal_Grain Sizes from Tube Core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2"/>
          <c:order val="2"/>
          <c:spPr>
            <a:ln w="28575">
              <a:noFill/>
            </a:ln>
          </c:spPr>
          <c:xVal>
            <c:numRef>
              <c:f>'Distance&amp;Height&amp;Time with Tide'!$C$36:$C$41</c:f>
              <c:numCache>
                <c:formatCode>General</c:formatCode>
                <c:ptCount val="6"/>
                <c:pt idx="0">
                  <c:v>212</c:v>
                </c:pt>
                <c:pt idx="1">
                  <c:v>159</c:v>
                </c:pt>
                <c:pt idx="2">
                  <c:v>84.5</c:v>
                </c:pt>
                <c:pt idx="3">
                  <c:v>54</c:v>
                </c:pt>
                <c:pt idx="4">
                  <c:v>32.5</c:v>
                </c:pt>
                <c:pt idx="5">
                  <c:v>20</c:v>
                </c:pt>
              </c:numCache>
            </c:numRef>
          </c:xVal>
          <c:yVal>
            <c:numRef>
              <c:f>'Distance&amp;Height&amp;Time with Tide'!$D$36:$D$41</c:f>
              <c:numCache>
                <c:formatCode>0.00</c:formatCode>
                <c:ptCount val="6"/>
                <c:pt idx="0">
                  <c:v>0.21307448222849917</c:v>
                </c:pt>
                <c:pt idx="1">
                  <c:v>0.37787055323426039</c:v>
                </c:pt>
                <c:pt idx="2">
                  <c:v>1.3379006976387855</c:v>
                </c:pt>
                <c:pt idx="3">
                  <c:v>3.0188935833407791</c:v>
                </c:pt>
                <c:pt idx="4">
                  <c:v>8.3342898830974814</c:v>
                </c:pt>
                <c:pt idx="5">
                  <c:v>22.00773422255428</c:v>
                </c:pt>
              </c:numCache>
            </c:numRef>
          </c:yVal>
          <c:smooth val="0"/>
          <c:extLst>
            <c:ext xmlns:c16="http://schemas.microsoft.com/office/drawing/2014/chart" uri="{C3380CC4-5D6E-409C-BE32-E72D297353CC}">
              <c16:uniqueId val="{00000000-E778-429B-8237-CC4DA4C04AA1}"/>
            </c:ext>
          </c:extLst>
        </c:ser>
        <c:ser>
          <c:idx val="3"/>
          <c:order val="3"/>
          <c:spPr>
            <a:ln w="28575">
              <a:noFill/>
            </a:ln>
          </c:spPr>
          <c:xVal>
            <c:numRef>
              <c:f>'Distance&amp;Height&amp;Time with Tide'!$C$36:$C$41</c:f>
              <c:numCache>
                <c:formatCode>General</c:formatCode>
                <c:ptCount val="6"/>
                <c:pt idx="0">
                  <c:v>212</c:v>
                </c:pt>
                <c:pt idx="1">
                  <c:v>159</c:v>
                </c:pt>
                <c:pt idx="2">
                  <c:v>84.5</c:v>
                </c:pt>
                <c:pt idx="3">
                  <c:v>54</c:v>
                </c:pt>
                <c:pt idx="4">
                  <c:v>32.5</c:v>
                </c:pt>
                <c:pt idx="5">
                  <c:v>20</c:v>
                </c:pt>
              </c:numCache>
            </c:numRef>
          </c:xVal>
          <c:yVal>
            <c:numRef>
              <c:f>'Distance&amp;Height&amp;Time with Tide'!$E$36:$E$41</c:f>
              <c:numCache>
                <c:formatCode>General</c:formatCode>
                <c:ptCount val="6"/>
                <c:pt idx="0">
                  <c:v>0.10653724111424959</c:v>
                </c:pt>
                <c:pt idx="1">
                  <c:v>0.18893527661713019</c:v>
                </c:pt>
                <c:pt idx="2">
                  <c:v>0.66895034881939275</c:v>
                </c:pt>
                <c:pt idx="3">
                  <c:v>1.5094467916703895</c:v>
                </c:pt>
                <c:pt idx="4">
                  <c:v>4.1671449415487407</c:v>
                </c:pt>
                <c:pt idx="5">
                  <c:v>11.00386711127714</c:v>
                </c:pt>
              </c:numCache>
            </c:numRef>
          </c:yVal>
          <c:smooth val="0"/>
          <c:extLst>
            <c:ext xmlns:c16="http://schemas.microsoft.com/office/drawing/2014/chart" uri="{C3380CC4-5D6E-409C-BE32-E72D297353CC}">
              <c16:uniqueId val="{00000001-E778-429B-8237-CC4DA4C04AA1}"/>
            </c:ext>
          </c:extLst>
        </c:ser>
        <c:ser>
          <c:idx val="1"/>
          <c:order val="1"/>
          <c:spPr>
            <a:ln w="28575">
              <a:noFill/>
            </a:ln>
          </c:spPr>
          <c:xVal>
            <c:numRef>
              <c:f>'Distance&amp;Height&amp;Time with Tide'!$C$36:$C$41</c:f>
              <c:numCache>
                <c:formatCode>General</c:formatCode>
                <c:ptCount val="6"/>
                <c:pt idx="0">
                  <c:v>212</c:v>
                </c:pt>
                <c:pt idx="1">
                  <c:v>159</c:v>
                </c:pt>
                <c:pt idx="2">
                  <c:v>84.5</c:v>
                </c:pt>
                <c:pt idx="3">
                  <c:v>54</c:v>
                </c:pt>
                <c:pt idx="4">
                  <c:v>32.5</c:v>
                </c:pt>
                <c:pt idx="5">
                  <c:v>20</c:v>
                </c:pt>
              </c:numCache>
            </c:numRef>
          </c:xVal>
          <c:yVal>
            <c:numRef>
              <c:f>'Distance&amp;Height&amp;Time with Tide'!$F$36:$F$41</c:f>
              <c:numCache>
                <c:formatCode>General</c:formatCode>
                <c:ptCount val="6"/>
                <c:pt idx="0">
                  <c:v>5.3268620557124793E-2</c:v>
                </c:pt>
                <c:pt idx="1">
                  <c:v>9.4467638308565097E-2</c:v>
                </c:pt>
                <c:pt idx="2">
                  <c:v>0.33447517440969637</c:v>
                </c:pt>
                <c:pt idx="3">
                  <c:v>0.75472339583519477</c:v>
                </c:pt>
                <c:pt idx="4">
                  <c:v>2.0835724707743704</c:v>
                </c:pt>
                <c:pt idx="5">
                  <c:v>5.50193355563857</c:v>
                </c:pt>
              </c:numCache>
            </c:numRef>
          </c:yVal>
          <c:smooth val="0"/>
          <c:extLst>
            <c:ext xmlns:c16="http://schemas.microsoft.com/office/drawing/2014/chart" uri="{C3380CC4-5D6E-409C-BE32-E72D297353CC}">
              <c16:uniqueId val="{00000002-E778-429B-8237-CC4DA4C04AA1}"/>
            </c:ext>
          </c:extLst>
        </c:ser>
        <c:ser>
          <c:idx val="0"/>
          <c:order val="0"/>
          <c:spPr>
            <a:ln w="28575">
              <a:noFill/>
            </a:ln>
          </c:spPr>
          <c:xVal>
            <c:numRef>
              <c:f>'Distance&amp;Height&amp;Time with Tide'!$C$36:$C$41</c:f>
              <c:numCache>
                <c:formatCode>General</c:formatCode>
                <c:ptCount val="6"/>
                <c:pt idx="0">
                  <c:v>212</c:v>
                </c:pt>
                <c:pt idx="1">
                  <c:v>159</c:v>
                </c:pt>
                <c:pt idx="2">
                  <c:v>84.5</c:v>
                </c:pt>
                <c:pt idx="3">
                  <c:v>54</c:v>
                </c:pt>
                <c:pt idx="4">
                  <c:v>32.5</c:v>
                </c:pt>
                <c:pt idx="5">
                  <c:v>20</c:v>
                </c:pt>
              </c:numCache>
            </c:numRef>
          </c:xVal>
          <c:yVal>
            <c:numRef>
              <c:f>('Distance&amp;Height&amp;Time with Tide'!$G$36:$G$41,'Distance&amp;Height&amp;Time with Tide'!$C$43:$C$48)</c:f>
              <c:numCache>
                <c:formatCode>General</c:formatCode>
                <c:ptCount val="12"/>
                <c:pt idx="0">
                  <c:v>1.0653724111424958E-2</c:v>
                </c:pt>
                <c:pt idx="1">
                  <c:v>1.8893527661713021E-2</c:v>
                </c:pt>
                <c:pt idx="2">
                  <c:v>6.6895034881939278E-2</c:v>
                </c:pt>
                <c:pt idx="3">
                  <c:v>0.15094467916703896</c:v>
                </c:pt>
                <c:pt idx="4">
                  <c:v>0.4167144941548741</c:v>
                </c:pt>
                <c:pt idx="5">
                  <c:v>1.1003867111277141</c:v>
                </c:pt>
                <c:pt idx="6">
                  <c:v>212</c:v>
                </c:pt>
                <c:pt idx="7">
                  <c:v>159</c:v>
                </c:pt>
                <c:pt idx="8">
                  <c:v>84.5</c:v>
                </c:pt>
                <c:pt idx="9">
                  <c:v>54</c:v>
                </c:pt>
                <c:pt idx="10">
                  <c:v>32.5</c:v>
                </c:pt>
                <c:pt idx="11">
                  <c:v>20</c:v>
                </c:pt>
              </c:numCache>
            </c:numRef>
          </c:yVal>
          <c:smooth val="0"/>
          <c:extLst>
            <c:ext xmlns:c16="http://schemas.microsoft.com/office/drawing/2014/chart" uri="{C3380CC4-5D6E-409C-BE32-E72D297353CC}">
              <c16:uniqueId val="{00000003-E778-429B-8237-CC4DA4C04AA1}"/>
            </c:ext>
          </c:extLst>
        </c:ser>
        <c:dLbls>
          <c:showLegendKey val="0"/>
          <c:showVal val="0"/>
          <c:showCatName val="0"/>
          <c:showSerName val="0"/>
          <c:showPercent val="0"/>
          <c:showBubbleSize val="0"/>
        </c:dLbls>
        <c:axId val="128870272"/>
        <c:axId val="128872448"/>
      </c:scatterChart>
      <c:valAx>
        <c:axId val="128870272"/>
        <c:scaling>
          <c:orientation val="minMax"/>
        </c:scaling>
        <c:delete val="0"/>
        <c:axPos val="b"/>
        <c:title>
          <c:tx>
            <c:rich>
              <a:bodyPr/>
              <a:lstStyle/>
              <a:p>
                <a:pPr>
                  <a:defRPr/>
                </a:pPr>
                <a:r>
                  <a:rPr lang="en-US"/>
                  <a:t>grain size</a:t>
                </a:r>
              </a:p>
            </c:rich>
          </c:tx>
          <c:overlay val="0"/>
        </c:title>
        <c:numFmt formatCode="General" sourceLinked="1"/>
        <c:majorTickMark val="out"/>
        <c:minorTickMark val="none"/>
        <c:tickLblPos val="nextTo"/>
        <c:crossAx val="128872448"/>
        <c:crosses val="autoZero"/>
        <c:crossBetween val="midCat"/>
      </c:valAx>
      <c:valAx>
        <c:axId val="128872448"/>
        <c:scaling>
          <c:logBase val="10"/>
          <c:orientation val="minMax"/>
        </c:scaling>
        <c:delete val="0"/>
        <c:axPos val="l"/>
        <c:majorGridlines/>
        <c:title>
          <c:tx>
            <c:rich>
              <a:bodyPr rot="-5400000" vert="horz"/>
              <a:lstStyle/>
              <a:p>
                <a:pPr>
                  <a:defRPr/>
                </a:pPr>
                <a:r>
                  <a:rPr lang="en-US"/>
                  <a:t>Time (hr)</a:t>
                </a:r>
              </a:p>
            </c:rich>
          </c:tx>
          <c:overlay val="0"/>
        </c:title>
        <c:numFmt formatCode="0.00" sourceLinked="1"/>
        <c:majorTickMark val="out"/>
        <c:minorTickMark val="none"/>
        <c:tickLblPos val="nextTo"/>
        <c:crossAx val="128870272"/>
        <c:crossesAt val="1.0000000000000002E-2"/>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'Distance&amp;Height&amp;Time with Tide'!$C$57</c:f>
              <c:strCache>
                <c:ptCount val="1"/>
                <c:pt idx="0">
                  <c:v>Horizontal distance travelled (m) when suspended 20m</c:v>
                </c:pt>
              </c:strCache>
            </c:strRef>
          </c:tx>
          <c:spPr>
            <a:ln w="28575">
              <a:noFill/>
            </a:ln>
          </c:spPr>
          <c:xVal>
            <c:numRef>
              <c:f>'Distance&amp;Height&amp;Time with Tide'!$C$43:$C$48</c:f>
              <c:numCache>
                <c:formatCode>General</c:formatCode>
                <c:ptCount val="6"/>
                <c:pt idx="0">
                  <c:v>212</c:v>
                </c:pt>
                <c:pt idx="1">
                  <c:v>159</c:v>
                </c:pt>
                <c:pt idx="2">
                  <c:v>84.5</c:v>
                </c:pt>
                <c:pt idx="3">
                  <c:v>54</c:v>
                </c:pt>
                <c:pt idx="4">
                  <c:v>32.5</c:v>
                </c:pt>
                <c:pt idx="5">
                  <c:v>20</c:v>
                </c:pt>
              </c:numCache>
            </c:numRef>
          </c:xVal>
          <c:yVal>
            <c:numRef>
              <c:f>'Distance&amp;Height&amp;Time with Tide'!$D$57:$I$57</c:f>
              <c:numCache>
                <c:formatCode>General</c:formatCode>
                <c:ptCount val="6"/>
                <c:pt idx="0">
                  <c:v>230.1204408067791</c:v>
                </c:pt>
                <c:pt idx="1">
                  <c:v>408.10019749300119</c:v>
                </c:pt>
                <c:pt idx="2">
                  <c:v>1444.9327534498882</c:v>
                </c:pt>
                <c:pt idx="3">
                  <c:v>3260.4050700080415</c:v>
                </c:pt>
                <c:pt idx="4">
                  <c:v>9001.0330737452805</c:v>
                </c:pt>
                <c:pt idx="5">
                  <c:v>23768.352960358628</c:v>
                </c:pt>
              </c:numCache>
            </c:numRef>
          </c:yVal>
          <c:smooth val="0"/>
          <c:extLst>
            <c:ext xmlns:c16="http://schemas.microsoft.com/office/drawing/2014/chart" uri="{C3380CC4-5D6E-409C-BE32-E72D297353CC}">
              <c16:uniqueId val="{00000000-0EEA-41FD-B9B7-B82D14CD2D63}"/>
            </c:ext>
          </c:extLst>
        </c:ser>
        <c:ser>
          <c:idx val="1"/>
          <c:order val="1"/>
          <c:tx>
            <c:strRef>
              <c:f>'Distance&amp;Height&amp;Time with Tide'!$C$58</c:f>
              <c:strCache>
                <c:ptCount val="1"/>
                <c:pt idx="0">
                  <c:v>Horizontal distance travelled (m) when suspended 10m</c:v>
                </c:pt>
              </c:strCache>
            </c:strRef>
          </c:tx>
          <c:spPr>
            <a:ln w="28575">
              <a:noFill/>
            </a:ln>
          </c:spPr>
          <c:xVal>
            <c:numRef>
              <c:f>'Distance&amp;Height&amp;Time with Tide'!$C$43:$C$48</c:f>
              <c:numCache>
                <c:formatCode>General</c:formatCode>
                <c:ptCount val="6"/>
                <c:pt idx="0">
                  <c:v>212</c:v>
                </c:pt>
                <c:pt idx="1">
                  <c:v>159</c:v>
                </c:pt>
                <c:pt idx="2">
                  <c:v>84.5</c:v>
                </c:pt>
                <c:pt idx="3">
                  <c:v>54</c:v>
                </c:pt>
                <c:pt idx="4">
                  <c:v>32.5</c:v>
                </c:pt>
                <c:pt idx="5">
                  <c:v>20</c:v>
                </c:pt>
              </c:numCache>
            </c:numRef>
          </c:xVal>
          <c:yVal>
            <c:numRef>
              <c:f>'Distance&amp;Height&amp;Time with Tide'!$D$58:$I$58</c:f>
              <c:numCache>
                <c:formatCode>General</c:formatCode>
                <c:ptCount val="6"/>
                <c:pt idx="0">
                  <c:v>115.06022040338955</c:v>
                </c:pt>
                <c:pt idx="1">
                  <c:v>204.05009874650059</c:v>
                </c:pt>
                <c:pt idx="2">
                  <c:v>722.4663767249441</c:v>
                </c:pt>
                <c:pt idx="3">
                  <c:v>1630.2025350040208</c:v>
                </c:pt>
                <c:pt idx="4">
                  <c:v>4500.5165368726402</c:v>
                </c:pt>
                <c:pt idx="5">
                  <c:v>11884.176480179314</c:v>
                </c:pt>
              </c:numCache>
            </c:numRef>
          </c:yVal>
          <c:smooth val="0"/>
          <c:extLst>
            <c:ext xmlns:c16="http://schemas.microsoft.com/office/drawing/2014/chart" uri="{C3380CC4-5D6E-409C-BE32-E72D297353CC}">
              <c16:uniqueId val="{00000001-0EEA-41FD-B9B7-B82D14CD2D63}"/>
            </c:ext>
          </c:extLst>
        </c:ser>
        <c:ser>
          <c:idx val="2"/>
          <c:order val="2"/>
          <c:tx>
            <c:strRef>
              <c:f>'Distance&amp;Height&amp;Time with Tide'!$C$59</c:f>
              <c:strCache>
                <c:ptCount val="1"/>
                <c:pt idx="0">
                  <c:v>Horizontal distance travelled (m) when suspended 5m</c:v>
                </c:pt>
              </c:strCache>
            </c:strRef>
          </c:tx>
          <c:spPr>
            <a:ln w="28575">
              <a:noFill/>
            </a:ln>
          </c:spPr>
          <c:xVal>
            <c:numRef>
              <c:f>'Distance&amp;Height&amp;Time with Tide'!$C$43:$C$48</c:f>
              <c:numCache>
                <c:formatCode>General</c:formatCode>
                <c:ptCount val="6"/>
                <c:pt idx="0">
                  <c:v>212</c:v>
                </c:pt>
                <c:pt idx="1">
                  <c:v>159</c:v>
                </c:pt>
                <c:pt idx="2">
                  <c:v>84.5</c:v>
                </c:pt>
                <c:pt idx="3">
                  <c:v>54</c:v>
                </c:pt>
                <c:pt idx="4">
                  <c:v>32.5</c:v>
                </c:pt>
                <c:pt idx="5">
                  <c:v>20</c:v>
                </c:pt>
              </c:numCache>
            </c:numRef>
          </c:xVal>
          <c:yVal>
            <c:numRef>
              <c:f>'Distance&amp;Height&amp;Time with Tide'!$D$59:$I$59</c:f>
              <c:numCache>
                <c:formatCode>General</c:formatCode>
                <c:ptCount val="6"/>
                <c:pt idx="0">
                  <c:v>57.530110201694775</c:v>
                </c:pt>
                <c:pt idx="1">
                  <c:v>102.0250493732503</c:v>
                </c:pt>
                <c:pt idx="2">
                  <c:v>361.23318836247205</c:v>
                </c:pt>
                <c:pt idx="3">
                  <c:v>815.10126750201039</c:v>
                </c:pt>
                <c:pt idx="4">
                  <c:v>2250.2582684363201</c:v>
                </c:pt>
                <c:pt idx="5">
                  <c:v>5942.0882400896571</c:v>
                </c:pt>
              </c:numCache>
            </c:numRef>
          </c:yVal>
          <c:smooth val="0"/>
          <c:extLst>
            <c:ext xmlns:c16="http://schemas.microsoft.com/office/drawing/2014/chart" uri="{C3380CC4-5D6E-409C-BE32-E72D297353CC}">
              <c16:uniqueId val="{00000002-0EEA-41FD-B9B7-B82D14CD2D63}"/>
            </c:ext>
          </c:extLst>
        </c:ser>
        <c:ser>
          <c:idx val="3"/>
          <c:order val="3"/>
          <c:tx>
            <c:strRef>
              <c:f>'Distance&amp;Height&amp;Time with Tide'!$C$60</c:f>
              <c:strCache>
                <c:ptCount val="1"/>
                <c:pt idx="0">
                  <c:v>Horizontal distance travelled (m) when suspended 1m</c:v>
                </c:pt>
              </c:strCache>
            </c:strRef>
          </c:tx>
          <c:spPr>
            <a:ln w="28575">
              <a:noFill/>
            </a:ln>
          </c:spPr>
          <c:xVal>
            <c:numRef>
              <c:f>'Distance&amp;Height&amp;Time with Tide'!$C$43:$C$48</c:f>
              <c:numCache>
                <c:formatCode>General</c:formatCode>
                <c:ptCount val="6"/>
                <c:pt idx="0">
                  <c:v>212</c:v>
                </c:pt>
                <c:pt idx="1">
                  <c:v>159</c:v>
                </c:pt>
                <c:pt idx="2">
                  <c:v>84.5</c:v>
                </c:pt>
                <c:pt idx="3">
                  <c:v>54</c:v>
                </c:pt>
                <c:pt idx="4">
                  <c:v>32.5</c:v>
                </c:pt>
                <c:pt idx="5">
                  <c:v>20</c:v>
                </c:pt>
              </c:numCache>
            </c:numRef>
          </c:xVal>
          <c:yVal>
            <c:numRef>
              <c:f>'Distance&amp;Height&amp;Time with Tide'!$D$60:$I$60</c:f>
              <c:numCache>
                <c:formatCode>General</c:formatCode>
                <c:ptCount val="6"/>
                <c:pt idx="0">
                  <c:v>11.506022040338955</c:v>
                </c:pt>
                <c:pt idx="1">
                  <c:v>20.405009874650062</c:v>
                </c:pt>
                <c:pt idx="2">
                  <c:v>72.246637672494415</c:v>
                </c:pt>
                <c:pt idx="3">
                  <c:v>163.02025350040208</c:v>
                </c:pt>
                <c:pt idx="4">
                  <c:v>450.05165368726404</c:v>
                </c:pt>
                <c:pt idx="5">
                  <c:v>1188.4176480179315</c:v>
                </c:pt>
              </c:numCache>
            </c:numRef>
          </c:yVal>
          <c:smooth val="0"/>
          <c:extLst>
            <c:ext xmlns:c16="http://schemas.microsoft.com/office/drawing/2014/chart" uri="{C3380CC4-5D6E-409C-BE32-E72D297353CC}">
              <c16:uniqueId val="{00000003-0EEA-41FD-B9B7-B82D14CD2D63}"/>
            </c:ext>
          </c:extLst>
        </c:ser>
        <c:dLbls>
          <c:showLegendKey val="0"/>
          <c:showVal val="0"/>
          <c:showCatName val="0"/>
          <c:showSerName val="0"/>
          <c:showPercent val="0"/>
          <c:showBubbleSize val="0"/>
        </c:dLbls>
        <c:axId val="128997632"/>
        <c:axId val="129008000"/>
      </c:scatterChart>
      <c:valAx>
        <c:axId val="128997632"/>
        <c:scaling>
          <c:orientation val="minMax"/>
        </c:scaling>
        <c:delete val="0"/>
        <c:axPos val="b"/>
        <c:title>
          <c:tx>
            <c:rich>
              <a:bodyPr/>
              <a:lstStyle/>
              <a:p>
                <a:pPr>
                  <a:defRPr/>
                </a:pPr>
                <a:r>
                  <a:rPr lang="en-US"/>
                  <a:t>Grain Size</a:t>
                </a:r>
              </a:p>
            </c:rich>
          </c:tx>
          <c:overlay val="0"/>
        </c:title>
        <c:numFmt formatCode="General" sourceLinked="1"/>
        <c:majorTickMark val="out"/>
        <c:minorTickMark val="none"/>
        <c:tickLblPos val="nextTo"/>
        <c:crossAx val="129008000"/>
        <c:crosses val="autoZero"/>
        <c:crossBetween val="midCat"/>
      </c:valAx>
      <c:valAx>
        <c:axId val="129008000"/>
        <c:scaling>
          <c:logBase val="10"/>
          <c:orientation val="minMax"/>
        </c:scaling>
        <c:delete val="0"/>
        <c:axPos val="l"/>
        <c:title>
          <c:tx>
            <c:rich>
              <a:bodyPr rot="-5400000" vert="horz"/>
              <a:lstStyle/>
              <a:p>
                <a:pPr>
                  <a:defRPr/>
                </a:pPr>
                <a:r>
                  <a:rPr lang="en-US"/>
                  <a:t>Distance traveled (m)</a:t>
                </a:r>
              </a:p>
            </c:rich>
          </c:tx>
          <c:overlay val="0"/>
        </c:title>
        <c:numFmt formatCode="General" sourceLinked="1"/>
        <c:majorTickMark val="out"/>
        <c:minorTickMark val="none"/>
        <c:tickLblPos val="nextTo"/>
        <c:crossAx val="1289976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845344</xdr:colOff>
      <xdr:row>34</xdr:row>
      <xdr:rowOff>140492</xdr:rowOff>
    </xdr:from>
    <xdr:to>
      <xdr:col>10</xdr:col>
      <xdr:colOff>988219</xdr:colOff>
      <xdr:row>49</xdr:row>
      <xdr:rowOff>14286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214313</xdr:colOff>
      <xdr:row>49</xdr:row>
      <xdr:rowOff>152399</xdr:rowOff>
    </xdr:from>
    <xdr:to>
      <xdr:col>20</xdr:col>
      <xdr:colOff>166688</xdr:colOff>
      <xdr:row>67</xdr:row>
      <xdr:rowOff>154780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21</xdr:row>
      <xdr:rowOff>10886</xdr:rowOff>
    </xdr:from>
    <xdr:to>
      <xdr:col>16</xdr:col>
      <xdr:colOff>571500</xdr:colOff>
      <xdr:row>26</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9666514" y="5192486"/>
          <a:ext cx="4838700" cy="1175657"/>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64"/>
  <sheetViews>
    <sheetView tabSelected="1" zoomScale="80" zoomScaleNormal="80" workbookViewId="0">
      <selection activeCell="I11" sqref="I11"/>
    </sheetView>
  </sheetViews>
  <sheetFormatPr defaultRowHeight="15" x14ac:dyDescent="0.25"/>
  <cols>
    <col min="1" max="2" width="17.140625" customWidth="1"/>
    <col min="3" max="3" width="14.85546875" customWidth="1"/>
    <col min="4" max="5" width="17.140625" customWidth="1"/>
    <col min="6" max="6" width="15.28515625" customWidth="1"/>
    <col min="7" max="8" width="17.140625" customWidth="1"/>
    <col min="9" max="9" width="15.5703125" customWidth="1"/>
    <col min="10" max="11" width="16.5703125" customWidth="1"/>
    <col min="12" max="12" width="14.28515625" customWidth="1"/>
    <col min="13" max="23" width="17.7109375" customWidth="1"/>
  </cols>
  <sheetData>
    <row r="1" spans="1:23" s="74" customFormat="1" ht="36" x14ac:dyDescent="0.55000000000000004">
      <c r="A1" s="74" t="s">
        <v>127</v>
      </c>
    </row>
    <row r="2" spans="1:23" x14ac:dyDescent="0.25">
      <c r="A2" t="s">
        <v>128</v>
      </c>
    </row>
    <row r="3" spans="1:23" x14ac:dyDescent="0.25">
      <c r="A3" t="s">
        <v>130</v>
      </c>
    </row>
    <row r="4" spans="1:23" x14ac:dyDescent="0.25">
      <c r="A4" t="s">
        <v>129</v>
      </c>
    </row>
    <row r="5" spans="1:23" ht="15.75" thickBot="1" x14ac:dyDescent="0.3">
      <c r="A5" t="s">
        <v>131</v>
      </c>
    </row>
    <row r="6" spans="1:23" ht="26.25" customHeight="1" thickBot="1" x14ac:dyDescent="0.4">
      <c r="A6" s="52"/>
      <c r="B6" s="295" t="s">
        <v>95</v>
      </c>
      <c r="C6" s="296"/>
      <c r="D6" s="296"/>
      <c r="E6" s="296"/>
      <c r="F6" s="296"/>
      <c r="G6" s="296"/>
      <c r="H6" s="296"/>
      <c r="I6" s="297"/>
      <c r="J6" s="53"/>
      <c r="K6" s="53"/>
      <c r="L6" s="71"/>
      <c r="M6" s="52"/>
      <c r="N6" s="300" t="s">
        <v>121</v>
      </c>
      <c r="O6" s="300"/>
      <c r="P6" s="300"/>
      <c r="Q6" s="300"/>
      <c r="R6" s="300"/>
      <c r="S6" s="300"/>
      <c r="T6" s="300"/>
      <c r="U6" s="300"/>
      <c r="V6" s="53"/>
      <c r="W6" s="54"/>
    </row>
    <row r="7" spans="1:23" x14ac:dyDescent="0.25">
      <c r="A7" s="41"/>
      <c r="B7" s="298" t="s">
        <v>120</v>
      </c>
      <c r="C7" s="298"/>
      <c r="D7" s="298"/>
      <c r="E7" s="298"/>
      <c r="F7" s="298"/>
      <c r="G7" s="298"/>
      <c r="H7" s="298"/>
      <c r="I7" s="298"/>
      <c r="J7" s="8"/>
      <c r="K7" s="8"/>
      <c r="L7" s="72"/>
      <c r="M7" s="41"/>
      <c r="N7" s="298" t="s">
        <v>122</v>
      </c>
      <c r="O7" s="298"/>
      <c r="P7" s="298"/>
      <c r="Q7" s="298"/>
      <c r="R7" s="298"/>
      <c r="S7" s="298"/>
      <c r="T7" s="298"/>
      <c r="U7" s="298"/>
      <c r="V7" s="8"/>
      <c r="W7" s="55"/>
    </row>
    <row r="8" spans="1:23" ht="90" x14ac:dyDescent="0.25">
      <c r="A8" s="41"/>
      <c r="B8" s="30" t="s">
        <v>71</v>
      </c>
      <c r="C8" s="30" t="s">
        <v>77</v>
      </c>
      <c r="D8" s="30" t="s">
        <v>72</v>
      </c>
      <c r="E8" s="31" t="s">
        <v>102</v>
      </c>
      <c r="F8" s="30" t="s">
        <v>99</v>
      </c>
      <c r="G8" s="31" t="s">
        <v>103</v>
      </c>
      <c r="H8" s="31" t="s">
        <v>98</v>
      </c>
      <c r="I8" s="30" t="s">
        <v>100</v>
      </c>
      <c r="J8" s="8"/>
      <c r="K8" s="8"/>
      <c r="L8" s="72"/>
      <c r="M8" s="41"/>
      <c r="N8" s="30" t="s">
        <v>71</v>
      </c>
      <c r="O8" s="30" t="s">
        <v>77</v>
      </c>
      <c r="P8" s="30" t="s">
        <v>72</v>
      </c>
      <c r="Q8" s="31" t="s">
        <v>102</v>
      </c>
      <c r="R8" s="30" t="s">
        <v>99</v>
      </c>
      <c r="S8" s="31" t="s">
        <v>103</v>
      </c>
      <c r="T8" s="31" t="s">
        <v>98</v>
      </c>
      <c r="U8" s="30" t="s">
        <v>100</v>
      </c>
      <c r="V8" s="8"/>
      <c r="W8" s="55"/>
    </row>
    <row r="9" spans="1:23" x14ac:dyDescent="0.25">
      <c r="A9" s="41"/>
      <c r="B9" s="276" t="s">
        <v>67</v>
      </c>
      <c r="C9" s="276"/>
      <c r="D9" s="276"/>
      <c r="E9" s="56">
        <f t="shared" ref="E9:E15" si="0">SUM(J20,D20,D30,J30)</f>
        <v>1150.4459999999999</v>
      </c>
      <c r="F9" s="57" t="s">
        <v>96</v>
      </c>
      <c r="G9" s="56">
        <f>AVERAGE(D20,J20,D30,J30)</f>
        <v>287.61149999999998</v>
      </c>
      <c r="H9" s="56">
        <f>_xlfn.STDEV.S(J20,D20,D30,J30)</f>
        <v>101.64704013890425</v>
      </c>
      <c r="I9" s="57" t="s">
        <v>96</v>
      </c>
      <c r="J9" s="8"/>
      <c r="K9" s="8"/>
      <c r="L9" s="72"/>
      <c r="M9" s="41"/>
      <c r="N9" s="276" t="s">
        <v>67</v>
      </c>
      <c r="O9" s="276"/>
      <c r="P9" s="276"/>
      <c r="Q9" s="56">
        <f>SUM(V20,P20,P30,V30)</f>
        <v>432.28000000000003</v>
      </c>
      <c r="R9" s="57" t="s">
        <v>96</v>
      </c>
      <c r="S9" s="56">
        <f>AVERAGE(P20,V20,P30,V30)</f>
        <v>108.07000000000001</v>
      </c>
      <c r="T9" s="56">
        <f>_xlfn.STDEV.S(V20,P20,P30,V30)</f>
        <v>23.456406374378862</v>
      </c>
      <c r="U9" s="57" t="s">
        <v>96</v>
      </c>
      <c r="V9" s="8"/>
      <c r="W9" s="55"/>
    </row>
    <row r="10" spans="1:23" ht="30" x14ac:dyDescent="0.25">
      <c r="A10" s="41"/>
      <c r="B10" s="16" t="s">
        <v>90</v>
      </c>
      <c r="C10" s="17" t="s">
        <v>78</v>
      </c>
      <c r="D10" s="23" t="s">
        <v>66</v>
      </c>
      <c r="E10" s="56">
        <f t="shared" si="0"/>
        <v>799.1</v>
      </c>
      <c r="F10" s="51">
        <f t="shared" ref="F10:F15" si="1">E10/E$9</f>
        <v>0.69460018114713784</v>
      </c>
      <c r="G10" s="56">
        <f t="shared" ref="G10:G15" si="2">AVERAGE(D21,J21,D31,J31)</f>
        <v>199.77500000000001</v>
      </c>
      <c r="H10" s="56">
        <f t="shared" ref="H10:H15" si="3">_xlfn.STDEV.S(J21,D21,D31,J31)</f>
        <v>72.732451033450843</v>
      </c>
      <c r="I10" s="51">
        <f>G10/G$9</f>
        <v>0.69460018114713784</v>
      </c>
      <c r="J10" s="91"/>
      <c r="K10" s="8"/>
      <c r="L10" s="72"/>
      <c r="M10" s="41"/>
      <c r="N10" s="16" t="s">
        <v>90</v>
      </c>
      <c r="O10" s="17" t="s">
        <v>78</v>
      </c>
      <c r="P10" s="23" t="s">
        <v>66</v>
      </c>
      <c r="Q10" s="56">
        <f>SUM(V21,P21,P31,V31)</f>
        <v>224.25</v>
      </c>
      <c r="R10" s="51">
        <f t="shared" ref="R10:R15" si="4">Q10/Q$9</f>
        <v>0.51876098824835748</v>
      </c>
      <c r="S10" s="56">
        <f t="shared" ref="S10:S15" si="5">AVERAGE(P21,V21,P31,V31)</f>
        <v>56.0625</v>
      </c>
      <c r="T10" s="56">
        <f t="shared" ref="T10:T15" si="6">_xlfn.STDEV.S(V21,P21,P31,V31)</f>
        <v>10.831790787615255</v>
      </c>
      <c r="U10" s="51">
        <f t="shared" ref="U10:U15" si="7">S10/S$9</f>
        <v>0.51876098824835748</v>
      </c>
      <c r="V10" s="91"/>
      <c r="W10" s="55"/>
    </row>
    <row r="11" spans="1:23" x14ac:dyDescent="0.25">
      <c r="A11" s="41"/>
      <c r="B11" s="16" t="s">
        <v>89</v>
      </c>
      <c r="C11" s="16" t="s">
        <v>79</v>
      </c>
      <c r="D11" s="16" t="s">
        <v>69</v>
      </c>
      <c r="E11" s="56">
        <f t="shared" si="0"/>
        <v>181.79000000000002</v>
      </c>
      <c r="F11" s="51">
        <f t="shared" si="1"/>
        <v>0.15801697776340656</v>
      </c>
      <c r="G11" s="56">
        <f t="shared" si="2"/>
        <v>45.447500000000005</v>
      </c>
      <c r="H11" s="56">
        <f t="shared" si="3"/>
        <v>22.056942028909326</v>
      </c>
      <c r="I11" s="51">
        <f t="shared" ref="I11:I15" si="8">G11/G$9</f>
        <v>0.15801697776340656</v>
      </c>
      <c r="J11" s="91"/>
      <c r="K11" s="8"/>
      <c r="L11" s="72"/>
      <c r="M11" s="41"/>
      <c r="N11" s="16" t="s">
        <v>89</v>
      </c>
      <c r="O11" s="16" t="s">
        <v>79</v>
      </c>
      <c r="P11" s="16" t="s">
        <v>69</v>
      </c>
      <c r="Q11" s="56">
        <f>SUM(V22,P22,P32,V32)</f>
        <v>40.159999999999997</v>
      </c>
      <c r="R11" s="51">
        <f t="shared" si="4"/>
        <v>9.2902748218747097E-2</v>
      </c>
      <c r="S11" s="56">
        <f t="shared" si="5"/>
        <v>10.039999999999999</v>
      </c>
      <c r="T11" s="56">
        <f t="shared" si="6"/>
        <v>2.265288796893977</v>
      </c>
      <c r="U11" s="51">
        <f t="shared" si="7"/>
        <v>9.2902748218747097E-2</v>
      </c>
      <c r="V11" s="91"/>
      <c r="W11" s="55"/>
    </row>
    <row r="12" spans="1:23" x14ac:dyDescent="0.25">
      <c r="A12" s="41"/>
      <c r="B12" s="16" t="s">
        <v>91</v>
      </c>
      <c r="C12" s="16" t="s">
        <v>80</v>
      </c>
      <c r="D12" s="16" t="s">
        <v>70</v>
      </c>
      <c r="E12" s="56">
        <f t="shared" si="0"/>
        <v>61.769999999999996</v>
      </c>
      <c r="F12" s="51">
        <f>E12/E$9</f>
        <v>5.3692220234587279E-2</v>
      </c>
      <c r="G12" s="56">
        <f t="shared" si="2"/>
        <v>15.442499999999999</v>
      </c>
      <c r="H12" s="56">
        <f t="shared" si="3"/>
        <v>5.5479207816983163</v>
      </c>
      <c r="I12" s="51">
        <f t="shared" si="8"/>
        <v>5.3692220234587279E-2</v>
      </c>
      <c r="J12" s="91"/>
      <c r="K12" s="8"/>
      <c r="L12" s="72"/>
      <c r="M12" s="41"/>
      <c r="N12" s="16" t="s">
        <v>91</v>
      </c>
      <c r="O12" s="16" t="s">
        <v>80</v>
      </c>
      <c r="P12" s="16" t="s">
        <v>70</v>
      </c>
      <c r="Q12" s="56">
        <f t="shared" ref="Q12:Q15" si="9">SUM(V23,P23,P33,V33)</f>
        <v>35.68</v>
      </c>
      <c r="R12" s="51">
        <f t="shared" si="4"/>
        <v>8.2539095030998419E-2</v>
      </c>
      <c r="S12" s="56">
        <f t="shared" si="5"/>
        <v>8.92</v>
      </c>
      <c r="T12" s="56">
        <f t="shared" si="6"/>
        <v>2.1787305172202132</v>
      </c>
      <c r="U12" s="51">
        <f t="shared" si="7"/>
        <v>8.2539095030998419E-2</v>
      </c>
      <c r="V12" s="91"/>
      <c r="W12" s="55"/>
    </row>
    <row r="13" spans="1:23" x14ac:dyDescent="0.25">
      <c r="A13" s="41"/>
      <c r="B13" s="16" t="s">
        <v>92</v>
      </c>
      <c r="C13" s="16" t="s">
        <v>81</v>
      </c>
      <c r="D13" s="16" t="s">
        <v>73</v>
      </c>
      <c r="E13" s="56">
        <f t="shared" si="0"/>
        <v>33.848599999999998</v>
      </c>
      <c r="F13" s="51">
        <f t="shared" si="1"/>
        <v>2.9422154538326875E-2</v>
      </c>
      <c r="G13" s="56">
        <f t="shared" si="2"/>
        <v>8.4621499999999994</v>
      </c>
      <c r="H13" s="56">
        <f t="shared" si="3"/>
        <v>3.9846109082318208</v>
      </c>
      <c r="I13" s="51">
        <f t="shared" si="8"/>
        <v>2.9422154538326875E-2</v>
      </c>
      <c r="J13" s="91"/>
      <c r="K13" s="8"/>
      <c r="L13" s="72"/>
      <c r="M13" s="41"/>
      <c r="N13" s="16" t="s">
        <v>92</v>
      </c>
      <c r="O13" s="16" t="s">
        <v>81</v>
      </c>
      <c r="P13" s="16" t="s">
        <v>73</v>
      </c>
      <c r="Q13" s="56">
        <f t="shared" si="9"/>
        <v>29.11</v>
      </c>
      <c r="R13" s="51">
        <f t="shared" si="4"/>
        <v>6.7340612565929478E-2</v>
      </c>
      <c r="S13" s="56">
        <f t="shared" si="5"/>
        <v>7.2774999999999999</v>
      </c>
      <c r="T13" s="56">
        <f t="shared" si="6"/>
        <v>1.818614399297813</v>
      </c>
      <c r="U13" s="51">
        <f t="shared" si="7"/>
        <v>6.7340612565929478E-2</v>
      </c>
      <c r="V13" s="91"/>
      <c r="W13" s="55"/>
    </row>
    <row r="14" spans="1:23" x14ac:dyDescent="0.25">
      <c r="A14" s="41"/>
      <c r="B14" s="16" t="s">
        <v>94</v>
      </c>
      <c r="C14" s="16" t="s">
        <v>82</v>
      </c>
      <c r="D14" s="16" t="s">
        <v>74</v>
      </c>
      <c r="E14" s="56">
        <f t="shared" si="0"/>
        <v>70.210800000000006</v>
      </c>
      <c r="F14" s="51">
        <f t="shared" si="1"/>
        <v>6.1029200849062028E-2</v>
      </c>
      <c r="G14" s="56">
        <f t="shared" si="2"/>
        <v>17.552700000000002</v>
      </c>
      <c r="H14" s="56">
        <f t="shared" si="3"/>
        <v>6.5631231457794961</v>
      </c>
      <c r="I14" s="51">
        <f t="shared" si="8"/>
        <v>6.1029200849062028E-2</v>
      </c>
      <c r="J14" s="91"/>
      <c r="K14" s="8"/>
      <c r="L14" s="72"/>
      <c r="M14" s="41"/>
      <c r="N14" s="16" t="s">
        <v>94</v>
      </c>
      <c r="O14" s="16" t="s">
        <v>82</v>
      </c>
      <c r="P14" s="16" t="s">
        <v>74</v>
      </c>
      <c r="Q14" s="56">
        <f t="shared" si="9"/>
        <v>102.86000000000001</v>
      </c>
      <c r="R14" s="51">
        <f t="shared" si="4"/>
        <v>0.23794762653835477</v>
      </c>
      <c r="S14" s="56">
        <f t="shared" si="5"/>
        <v>25.715000000000003</v>
      </c>
      <c r="T14" s="56">
        <f t="shared" si="6"/>
        <v>8.334580573330193</v>
      </c>
      <c r="U14" s="51">
        <f t="shared" si="7"/>
        <v>0.23794762653835477</v>
      </c>
      <c r="V14" s="91"/>
      <c r="W14" s="55"/>
    </row>
    <row r="15" spans="1:23" x14ac:dyDescent="0.25">
      <c r="A15" s="41"/>
      <c r="B15" s="25" t="s">
        <v>93</v>
      </c>
      <c r="C15" s="25" t="s">
        <v>83</v>
      </c>
      <c r="D15" s="26" t="s">
        <v>75</v>
      </c>
      <c r="E15" s="27">
        <f t="shared" si="0"/>
        <v>8.2909999999999471</v>
      </c>
      <c r="F15" s="29">
        <f t="shared" si="1"/>
        <v>7.206770243887977E-3</v>
      </c>
      <c r="G15" s="27">
        <f t="shared" si="2"/>
        <v>2.0727499999999868</v>
      </c>
      <c r="H15" s="27">
        <f t="shared" si="3"/>
        <v>2.2711393110066851</v>
      </c>
      <c r="I15" s="29">
        <f t="shared" si="8"/>
        <v>7.206770243887977E-3</v>
      </c>
      <c r="J15" s="91"/>
      <c r="K15" s="8"/>
      <c r="L15" s="72"/>
      <c r="M15" s="41"/>
      <c r="N15" s="25" t="s">
        <v>93</v>
      </c>
      <c r="O15" s="25" t="s">
        <v>83</v>
      </c>
      <c r="P15" s="26" t="s">
        <v>75</v>
      </c>
      <c r="Q15" s="27">
        <f t="shared" si="9"/>
        <v>0.32020000000001309</v>
      </c>
      <c r="R15" s="29">
        <f t="shared" si="4"/>
        <v>7.4072360507081766E-4</v>
      </c>
      <c r="S15" s="27">
        <f t="shared" si="5"/>
        <v>8.0050000000003271E-2</v>
      </c>
      <c r="T15" s="27">
        <f t="shared" si="6"/>
        <v>0.16010000000000654</v>
      </c>
      <c r="U15" s="29">
        <f t="shared" si="7"/>
        <v>7.4072360507081766E-4</v>
      </c>
      <c r="V15" s="91"/>
      <c r="W15" s="55"/>
    </row>
    <row r="16" spans="1:23" ht="20.25" customHeight="1" x14ac:dyDescent="0.25">
      <c r="A16" s="41"/>
      <c r="B16" s="8"/>
      <c r="C16" s="8"/>
      <c r="D16" s="8"/>
      <c r="E16" s="8"/>
      <c r="F16" s="8"/>
      <c r="G16" s="8"/>
      <c r="H16" s="8"/>
      <c r="I16" s="8"/>
      <c r="J16" s="8"/>
      <c r="K16" s="8"/>
      <c r="L16" s="72"/>
      <c r="M16" s="41"/>
      <c r="N16" s="8"/>
      <c r="O16" s="8"/>
      <c r="P16" s="8"/>
      <c r="Q16" s="8"/>
      <c r="R16" s="8"/>
      <c r="S16" s="8"/>
      <c r="T16" s="8"/>
      <c r="U16" s="8"/>
      <c r="V16" s="8"/>
      <c r="W16" s="55"/>
    </row>
    <row r="17" spans="1:23" ht="21.75" thickBot="1" x14ac:dyDescent="0.4">
      <c r="A17" s="284" t="s">
        <v>65</v>
      </c>
      <c r="B17" s="285"/>
      <c r="C17" s="285"/>
      <c r="D17" s="285"/>
      <c r="E17" s="285"/>
      <c r="F17" s="285"/>
      <c r="G17" s="285"/>
      <c r="H17" s="285"/>
      <c r="I17" s="285"/>
      <c r="J17" s="285"/>
      <c r="K17" s="286"/>
      <c r="L17" s="72"/>
      <c r="M17" s="301" t="s">
        <v>65</v>
      </c>
      <c r="N17" s="302"/>
      <c r="O17" s="302"/>
      <c r="P17" s="302"/>
      <c r="Q17" s="302"/>
      <c r="R17" s="302"/>
      <c r="S17" s="302"/>
      <c r="T17" s="302"/>
      <c r="U17" s="302"/>
      <c r="V17" s="302"/>
      <c r="W17" s="303"/>
    </row>
    <row r="18" spans="1:23" x14ac:dyDescent="0.25">
      <c r="A18" s="280" t="s">
        <v>68</v>
      </c>
      <c r="B18" s="281"/>
      <c r="C18" s="281"/>
      <c r="D18" s="281"/>
      <c r="E18" s="281"/>
      <c r="F18" s="58"/>
      <c r="G18" s="299" t="s">
        <v>76</v>
      </c>
      <c r="H18" s="299"/>
      <c r="I18" s="299"/>
      <c r="J18" s="299"/>
      <c r="K18" s="299"/>
      <c r="L18" s="72"/>
      <c r="M18" s="304" t="s">
        <v>123</v>
      </c>
      <c r="N18" s="305"/>
      <c r="O18" s="305"/>
      <c r="P18" s="305"/>
      <c r="Q18" s="305"/>
      <c r="R18" s="58"/>
      <c r="S18" s="305" t="s">
        <v>124</v>
      </c>
      <c r="T18" s="305"/>
      <c r="U18" s="305"/>
      <c r="V18" s="305"/>
      <c r="W18" s="306"/>
    </row>
    <row r="19" spans="1:23" ht="45" x14ac:dyDescent="0.25">
      <c r="A19" s="59" t="s">
        <v>71</v>
      </c>
      <c r="B19" s="30" t="s">
        <v>77</v>
      </c>
      <c r="C19" s="30" t="s">
        <v>72</v>
      </c>
      <c r="D19" s="30" t="s">
        <v>101</v>
      </c>
      <c r="E19" s="30" t="s">
        <v>97</v>
      </c>
      <c r="F19" s="58"/>
      <c r="G19" s="30" t="s">
        <v>71</v>
      </c>
      <c r="H19" s="30" t="s">
        <v>77</v>
      </c>
      <c r="I19" s="30" t="s">
        <v>72</v>
      </c>
      <c r="J19" s="30" t="s">
        <v>101</v>
      </c>
      <c r="K19" s="30" t="s">
        <v>97</v>
      </c>
      <c r="L19" s="72"/>
      <c r="M19" s="59" t="s">
        <v>71</v>
      </c>
      <c r="N19" s="30" t="s">
        <v>77</v>
      </c>
      <c r="O19" s="30" t="s">
        <v>72</v>
      </c>
      <c r="P19" s="30" t="s">
        <v>101</v>
      </c>
      <c r="Q19" s="31" t="s">
        <v>97</v>
      </c>
      <c r="R19" s="58"/>
      <c r="S19" s="30" t="s">
        <v>71</v>
      </c>
      <c r="T19" s="30" t="s">
        <v>77</v>
      </c>
      <c r="U19" s="30" t="s">
        <v>72</v>
      </c>
      <c r="V19" s="30" t="s">
        <v>101</v>
      </c>
      <c r="W19" s="60" t="s">
        <v>97</v>
      </c>
    </row>
    <row r="20" spans="1:23" x14ac:dyDescent="0.25">
      <c r="A20" s="287" t="s">
        <v>67</v>
      </c>
      <c r="B20" s="276"/>
      <c r="C20" s="276"/>
      <c r="D20" s="50">
        <v>346.5</v>
      </c>
      <c r="E20" s="57" t="s">
        <v>96</v>
      </c>
      <c r="F20" s="58"/>
      <c r="G20" s="276" t="s">
        <v>67</v>
      </c>
      <c r="H20" s="276"/>
      <c r="I20" s="276"/>
      <c r="J20" s="50">
        <v>257.14</v>
      </c>
      <c r="K20" s="57" t="s">
        <v>96</v>
      </c>
      <c r="L20" s="72"/>
      <c r="M20" s="287" t="s">
        <v>67</v>
      </c>
      <c r="N20" s="276"/>
      <c r="O20" s="276"/>
      <c r="P20" s="50">
        <v>100.09</v>
      </c>
      <c r="Q20" s="57" t="s">
        <v>96</v>
      </c>
      <c r="R20" s="58"/>
      <c r="S20" s="276" t="s">
        <v>67</v>
      </c>
      <c r="T20" s="276"/>
      <c r="U20" s="276"/>
      <c r="V20" s="50">
        <v>101.41</v>
      </c>
      <c r="W20" s="61" t="s">
        <v>96</v>
      </c>
    </row>
    <row r="21" spans="1:23" ht="30" x14ac:dyDescent="0.25">
      <c r="A21" s="20" t="s">
        <v>90</v>
      </c>
      <c r="B21" s="17" t="s">
        <v>78</v>
      </c>
      <c r="C21" s="23" t="s">
        <v>66</v>
      </c>
      <c r="D21" s="50">
        <v>231.9</v>
      </c>
      <c r="E21" s="51">
        <f t="shared" ref="E21:E26" si="10">D21/D$20</f>
        <v>0.66926406926406923</v>
      </c>
      <c r="F21" s="58"/>
      <c r="G21" s="16" t="s">
        <v>90</v>
      </c>
      <c r="H21" s="17" t="s">
        <v>78</v>
      </c>
      <c r="I21" s="23" t="s">
        <v>66</v>
      </c>
      <c r="J21" s="50">
        <v>179.92</v>
      </c>
      <c r="K21" s="51">
        <f t="shared" ref="K21:K26" si="11">J21/J$20</f>
        <v>0.69969666329625879</v>
      </c>
      <c r="L21" s="72"/>
      <c r="M21" s="20" t="s">
        <v>90</v>
      </c>
      <c r="N21" s="17" t="s">
        <v>78</v>
      </c>
      <c r="O21" s="23" t="s">
        <v>66</v>
      </c>
      <c r="P21" s="50">
        <v>53.11</v>
      </c>
      <c r="Q21" s="51">
        <f t="shared" ref="Q21:Q26" si="12">P21/P$20</f>
        <v>0.53062243980417623</v>
      </c>
      <c r="R21" s="58"/>
      <c r="S21" s="16" t="s">
        <v>90</v>
      </c>
      <c r="T21" s="17" t="s">
        <v>78</v>
      </c>
      <c r="U21" s="23" t="s">
        <v>66</v>
      </c>
      <c r="V21" s="50">
        <v>59.25</v>
      </c>
      <c r="W21" s="62">
        <f t="shared" ref="W21:W26" si="13">V21/V$20</f>
        <v>0.58426190710975245</v>
      </c>
    </row>
    <row r="22" spans="1:23" x14ac:dyDescent="0.25">
      <c r="A22" s="20" t="s">
        <v>89</v>
      </c>
      <c r="B22" s="16" t="s">
        <v>79</v>
      </c>
      <c r="C22" s="16" t="s">
        <v>69</v>
      </c>
      <c r="D22" s="63">
        <v>74.45</v>
      </c>
      <c r="E22" s="51">
        <f t="shared" si="10"/>
        <v>0.21486291486291487</v>
      </c>
      <c r="F22" s="58"/>
      <c r="G22" s="16" t="s">
        <v>89</v>
      </c>
      <c r="H22" s="16" t="s">
        <v>79</v>
      </c>
      <c r="I22" s="16" t="s">
        <v>69</v>
      </c>
      <c r="J22" s="63">
        <v>41.81</v>
      </c>
      <c r="K22" s="51">
        <f t="shared" si="11"/>
        <v>0.16259625106945635</v>
      </c>
      <c r="L22" s="72"/>
      <c r="M22" s="20" t="s">
        <v>89</v>
      </c>
      <c r="N22" s="16" t="s">
        <v>79</v>
      </c>
      <c r="O22" s="16" t="s">
        <v>69</v>
      </c>
      <c r="P22" s="63">
        <v>9.61</v>
      </c>
      <c r="Q22" s="51">
        <f t="shared" si="12"/>
        <v>9.601358777100609E-2</v>
      </c>
      <c r="R22" s="58"/>
      <c r="S22" s="16" t="s">
        <v>89</v>
      </c>
      <c r="T22" s="16" t="s">
        <v>79</v>
      </c>
      <c r="U22" s="16" t="s">
        <v>69</v>
      </c>
      <c r="V22" s="63">
        <v>8.52</v>
      </c>
      <c r="W22" s="62">
        <f t="shared" si="13"/>
        <v>8.4015383098313773E-2</v>
      </c>
    </row>
    <row r="23" spans="1:23" x14ac:dyDescent="0.25">
      <c r="A23" s="20" t="s">
        <v>91</v>
      </c>
      <c r="B23" s="16" t="s">
        <v>80</v>
      </c>
      <c r="C23" s="16" t="s">
        <v>70</v>
      </c>
      <c r="D23" s="50">
        <v>16.43</v>
      </c>
      <c r="E23" s="51">
        <f t="shared" si="10"/>
        <v>4.7417027417027413E-2</v>
      </c>
      <c r="F23" s="58"/>
      <c r="G23" s="16" t="s">
        <v>91</v>
      </c>
      <c r="H23" s="16" t="s">
        <v>80</v>
      </c>
      <c r="I23" s="16" t="s">
        <v>70</v>
      </c>
      <c r="J23" s="50">
        <v>14.15</v>
      </c>
      <c r="K23" s="51">
        <f t="shared" si="11"/>
        <v>5.5028389204324499E-2</v>
      </c>
      <c r="L23" s="72"/>
      <c r="M23" s="20" t="s">
        <v>91</v>
      </c>
      <c r="N23" s="16" t="s">
        <v>80</v>
      </c>
      <c r="O23" s="16" t="s">
        <v>70</v>
      </c>
      <c r="P23" s="50">
        <v>7.63</v>
      </c>
      <c r="Q23" s="51">
        <f t="shared" si="12"/>
        <v>7.623139174742731E-2</v>
      </c>
      <c r="R23" s="58"/>
      <c r="S23" s="16" t="s">
        <v>91</v>
      </c>
      <c r="T23" s="16" t="s">
        <v>80</v>
      </c>
      <c r="U23" s="16" t="s">
        <v>70</v>
      </c>
      <c r="V23" s="50">
        <v>7.08</v>
      </c>
      <c r="W23" s="62">
        <f t="shared" si="13"/>
        <v>6.9815600039443843E-2</v>
      </c>
    </row>
    <row r="24" spans="1:23" x14ac:dyDescent="0.25">
      <c r="A24" s="20" t="s">
        <v>92</v>
      </c>
      <c r="B24" s="16" t="s">
        <v>81</v>
      </c>
      <c r="C24" s="16" t="s">
        <v>73</v>
      </c>
      <c r="D24" s="50">
        <v>7.6776</v>
      </c>
      <c r="E24" s="51">
        <f t="shared" si="10"/>
        <v>2.2157575757575758E-2</v>
      </c>
      <c r="F24" s="58"/>
      <c r="G24" s="16" t="s">
        <v>92</v>
      </c>
      <c r="H24" s="16" t="s">
        <v>81</v>
      </c>
      <c r="I24" s="16" t="s">
        <v>73</v>
      </c>
      <c r="J24" s="50">
        <v>5.931</v>
      </c>
      <c r="K24" s="51">
        <f t="shared" si="11"/>
        <v>2.3065256280625342E-2</v>
      </c>
      <c r="L24" s="72"/>
      <c r="M24" s="20" t="s">
        <v>92</v>
      </c>
      <c r="N24" s="16" t="s">
        <v>81</v>
      </c>
      <c r="O24" s="16" t="s">
        <v>73</v>
      </c>
      <c r="P24" s="50">
        <v>6.33</v>
      </c>
      <c r="Q24" s="51">
        <f t="shared" si="12"/>
        <v>6.3243081226895786E-2</v>
      </c>
      <c r="R24" s="58"/>
      <c r="S24" s="16" t="s">
        <v>92</v>
      </c>
      <c r="T24" s="16" t="s">
        <v>81</v>
      </c>
      <c r="U24" s="16" t="s">
        <v>73</v>
      </c>
      <c r="V24" s="50">
        <v>5.88</v>
      </c>
      <c r="W24" s="62">
        <f t="shared" si="13"/>
        <v>5.7982447490385565E-2</v>
      </c>
    </row>
    <row r="25" spans="1:23" x14ac:dyDescent="0.25">
      <c r="A25" s="20" t="s">
        <v>94</v>
      </c>
      <c r="B25" s="16" t="s">
        <v>82</v>
      </c>
      <c r="C25" s="16" t="s">
        <v>74</v>
      </c>
      <c r="D25" s="50">
        <v>15.352</v>
      </c>
      <c r="E25" s="51">
        <f t="shared" si="10"/>
        <v>4.4305916305916307E-2</v>
      </c>
      <c r="F25" s="58"/>
      <c r="G25" s="16" t="s">
        <v>94</v>
      </c>
      <c r="H25" s="16" t="s">
        <v>82</v>
      </c>
      <c r="I25" s="16" t="s">
        <v>74</v>
      </c>
      <c r="J25" s="50">
        <v>13.348800000000001</v>
      </c>
      <c r="K25" s="51">
        <f t="shared" si="11"/>
        <v>5.1912576806408962E-2</v>
      </c>
      <c r="L25" s="72"/>
      <c r="M25" s="20" t="s">
        <v>94</v>
      </c>
      <c r="N25" s="16" t="s">
        <v>82</v>
      </c>
      <c r="O25" s="16" t="s">
        <v>74</v>
      </c>
      <c r="P25" s="50">
        <v>23.19</v>
      </c>
      <c r="Q25" s="51">
        <f t="shared" si="12"/>
        <v>0.23169147767009693</v>
      </c>
      <c r="R25" s="58"/>
      <c r="S25" s="16" t="s">
        <v>94</v>
      </c>
      <c r="T25" s="16" t="s">
        <v>82</v>
      </c>
      <c r="U25" s="16" t="s">
        <v>74</v>
      </c>
      <c r="V25" s="50">
        <v>20.68</v>
      </c>
      <c r="W25" s="62">
        <f t="shared" si="13"/>
        <v>0.20392466226210434</v>
      </c>
    </row>
    <row r="26" spans="1:23" x14ac:dyDescent="0.25">
      <c r="A26" s="64" t="s">
        <v>93</v>
      </c>
      <c r="B26" s="25" t="s">
        <v>83</v>
      </c>
      <c r="C26" s="26" t="s">
        <v>84</v>
      </c>
      <c r="D26" s="28">
        <f>D20-(SUM(D21:D25))</f>
        <v>0.690400000000011</v>
      </c>
      <c r="E26" s="29">
        <f t="shared" si="10"/>
        <v>1.9924963924964241E-3</v>
      </c>
      <c r="F26" s="58"/>
      <c r="G26" s="25" t="s">
        <v>93</v>
      </c>
      <c r="H26" s="25" t="s">
        <v>83</v>
      </c>
      <c r="I26" s="26" t="s">
        <v>75</v>
      </c>
      <c r="J26" s="28">
        <f>0.1842+(J20-(SUM(J21:J25)))</f>
        <v>2.1643999999999681</v>
      </c>
      <c r="K26" s="29">
        <f t="shared" si="11"/>
        <v>8.4172046356069397E-3</v>
      </c>
      <c r="L26" s="72"/>
      <c r="M26" s="64" t="s">
        <v>93</v>
      </c>
      <c r="N26" s="25" t="s">
        <v>83</v>
      </c>
      <c r="O26" s="26" t="s">
        <v>84</v>
      </c>
      <c r="P26" s="28">
        <f>0.1002+(P20-(SUM(P21:P25)))</f>
        <v>0.32020000000001309</v>
      </c>
      <c r="Q26" s="29">
        <f t="shared" si="12"/>
        <v>3.1991207912879715E-3</v>
      </c>
      <c r="R26" s="58"/>
      <c r="S26" s="25" t="s">
        <v>93</v>
      </c>
      <c r="T26" s="25" t="s">
        <v>83</v>
      </c>
      <c r="U26" s="26" t="s">
        <v>75</v>
      </c>
      <c r="V26" s="28">
        <f>V20-(SUM(V21:V25))</f>
        <v>0</v>
      </c>
      <c r="W26" s="65">
        <f t="shared" si="13"/>
        <v>0</v>
      </c>
    </row>
    <row r="27" spans="1:23" ht="15.75" thickBot="1" x14ac:dyDescent="0.3">
      <c r="A27" s="41"/>
      <c r="B27" s="8"/>
      <c r="C27" s="8"/>
      <c r="D27" s="8"/>
      <c r="E27" s="8"/>
      <c r="F27" s="58"/>
      <c r="G27" s="8"/>
      <c r="H27" s="8"/>
      <c r="I27" s="8"/>
      <c r="J27" s="8"/>
      <c r="K27" s="8"/>
      <c r="L27" s="72"/>
      <c r="M27" s="41"/>
      <c r="N27" s="8"/>
      <c r="O27" s="8"/>
      <c r="P27" s="8"/>
      <c r="Q27" s="8"/>
      <c r="R27" s="58"/>
      <c r="S27" s="8"/>
      <c r="T27" s="8"/>
      <c r="U27" s="8"/>
      <c r="V27" s="8"/>
      <c r="W27" s="55"/>
    </row>
    <row r="28" spans="1:23" x14ac:dyDescent="0.25">
      <c r="A28" s="282" t="s">
        <v>118</v>
      </c>
      <c r="B28" s="283"/>
      <c r="C28" s="283"/>
      <c r="D28" s="283"/>
      <c r="E28" s="283"/>
      <c r="F28" s="58"/>
      <c r="G28" s="288" t="s">
        <v>119</v>
      </c>
      <c r="H28" s="288"/>
      <c r="I28" s="288"/>
      <c r="J28" s="288"/>
      <c r="K28" s="288"/>
      <c r="L28" s="72"/>
      <c r="M28" s="304" t="s">
        <v>125</v>
      </c>
      <c r="N28" s="305"/>
      <c r="O28" s="305"/>
      <c r="P28" s="305"/>
      <c r="Q28" s="305"/>
      <c r="R28" s="58"/>
      <c r="S28" s="305" t="s">
        <v>126</v>
      </c>
      <c r="T28" s="305"/>
      <c r="U28" s="305"/>
      <c r="V28" s="305"/>
      <c r="W28" s="306"/>
    </row>
    <row r="29" spans="1:23" ht="45" x14ac:dyDescent="0.25">
      <c r="A29" s="59" t="s">
        <v>71</v>
      </c>
      <c r="B29" s="30" t="s">
        <v>77</v>
      </c>
      <c r="C29" s="30" t="s">
        <v>72</v>
      </c>
      <c r="D29" s="30" t="s">
        <v>101</v>
      </c>
      <c r="E29" s="30" t="s">
        <v>97</v>
      </c>
      <c r="F29" s="58"/>
      <c r="G29" s="30" t="s">
        <v>71</v>
      </c>
      <c r="H29" s="30" t="s">
        <v>77</v>
      </c>
      <c r="I29" s="30" t="s">
        <v>72</v>
      </c>
      <c r="J29" s="30" t="s">
        <v>101</v>
      </c>
      <c r="K29" s="30" t="s">
        <v>97</v>
      </c>
      <c r="L29" s="72"/>
      <c r="M29" s="59" t="s">
        <v>71</v>
      </c>
      <c r="N29" s="30" t="s">
        <v>77</v>
      </c>
      <c r="O29" s="30" t="s">
        <v>72</v>
      </c>
      <c r="P29" s="30" t="s">
        <v>101</v>
      </c>
      <c r="Q29" s="30" t="s">
        <v>97</v>
      </c>
      <c r="R29" s="58"/>
      <c r="S29" s="30" t="s">
        <v>71</v>
      </c>
      <c r="T29" s="30" t="s">
        <v>77</v>
      </c>
      <c r="U29" s="30" t="s">
        <v>72</v>
      </c>
      <c r="V29" s="30" t="s">
        <v>101</v>
      </c>
      <c r="W29" s="60" t="s">
        <v>97</v>
      </c>
    </row>
    <row r="30" spans="1:23" x14ac:dyDescent="0.25">
      <c r="A30" s="287" t="s">
        <v>67</v>
      </c>
      <c r="B30" s="276"/>
      <c r="C30" s="276"/>
      <c r="D30" s="50">
        <v>387.85</v>
      </c>
      <c r="E30" s="57" t="s">
        <v>96</v>
      </c>
      <c r="F30" s="58"/>
      <c r="G30" s="276" t="s">
        <v>67</v>
      </c>
      <c r="H30" s="276"/>
      <c r="I30" s="276"/>
      <c r="J30" s="50">
        <v>158.95600000000002</v>
      </c>
      <c r="K30" s="57" t="s">
        <v>96</v>
      </c>
      <c r="L30" s="72"/>
      <c r="M30" s="287" t="s">
        <v>67</v>
      </c>
      <c r="N30" s="276"/>
      <c r="O30" s="276"/>
      <c r="P30" s="50">
        <v>88.6</v>
      </c>
      <c r="Q30" s="57" t="s">
        <v>96</v>
      </c>
      <c r="R30" s="58"/>
      <c r="S30" s="276" t="s">
        <v>67</v>
      </c>
      <c r="T30" s="276"/>
      <c r="U30" s="276"/>
      <c r="V30" s="50">
        <v>142.18</v>
      </c>
      <c r="W30" s="61" t="s">
        <v>96</v>
      </c>
    </row>
    <row r="31" spans="1:23" ht="30" x14ac:dyDescent="0.25">
      <c r="A31" s="20" t="s">
        <v>90</v>
      </c>
      <c r="B31" s="17" t="s">
        <v>78</v>
      </c>
      <c r="C31" s="23" t="s">
        <v>66</v>
      </c>
      <c r="D31" s="50">
        <v>278.39999999999998</v>
      </c>
      <c r="E31" s="51">
        <f t="shared" ref="E31:E36" si="14">D31/D$20</f>
        <v>0.80346320346320343</v>
      </c>
      <c r="F31" s="58"/>
      <c r="G31" s="16" t="s">
        <v>90</v>
      </c>
      <c r="H31" s="17" t="s">
        <v>78</v>
      </c>
      <c r="I31" s="23" t="s">
        <v>66</v>
      </c>
      <c r="J31" s="50">
        <v>108.88</v>
      </c>
      <c r="K31" s="51">
        <f t="shared" ref="K31:K36" si="15">J31/J$20</f>
        <v>0.42342692696585515</v>
      </c>
      <c r="L31" s="72"/>
      <c r="M31" s="20" t="s">
        <v>90</v>
      </c>
      <c r="N31" s="17" t="s">
        <v>78</v>
      </c>
      <c r="O31" s="23" t="s">
        <v>66</v>
      </c>
      <c r="P31" s="50">
        <v>43.04</v>
      </c>
      <c r="Q31" s="51">
        <f t="shared" ref="Q31:Q36" si="16">P31/P$20</f>
        <v>0.43001298831052048</v>
      </c>
      <c r="R31" s="58"/>
      <c r="S31" s="16" t="s">
        <v>90</v>
      </c>
      <c r="T31" s="17" t="s">
        <v>78</v>
      </c>
      <c r="U31" s="23" t="s">
        <v>66</v>
      </c>
      <c r="V31" s="50">
        <v>68.849999999999994</v>
      </c>
      <c r="W31" s="62">
        <f t="shared" ref="W31:W36" si="17">V31/V$20</f>
        <v>0.67892712750221873</v>
      </c>
    </row>
    <row r="32" spans="1:23" x14ac:dyDescent="0.25">
      <c r="A32" s="20" t="s">
        <v>89</v>
      </c>
      <c r="B32" s="16" t="s">
        <v>79</v>
      </c>
      <c r="C32" s="16" t="s">
        <v>69</v>
      </c>
      <c r="D32" s="63">
        <v>44.67</v>
      </c>
      <c r="E32" s="51">
        <f t="shared" si="14"/>
        <v>0.12891774891774893</v>
      </c>
      <c r="F32" s="58"/>
      <c r="G32" s="16" t="s">
        <v>89</v>
      </c>
      <c r="H32" s="16" t="s">
        <v>79</v>
      </c>
      <c r="I32" s="16" t="s">
        <v>69</v>
      </c>
      <c r="J32" s="63">
        <v>20.86</v>
      </c>
      <c r="K32" s="51">
        <f t="shared" si="15"/>
        <v>8.1123123590262122E-2</v>
      </c>
      <c r="L32" s="72"/>
      <c r="M32" s="20" t="s">
        <v>89</v>
      </c>
      <c r="N32" s="16" t="s">
        <v>79</v>
      </c>
      <c r="O32" s="16" t="s">
        <v>69</v>
      </c>
      <c r="P32" s="63">
        <v>8.67</v>
      </c>
      <c r="Q32" s="51">
        <f t="shared" si="16"/>
        <v>8.6622040163852526E-2</v>
      </c>
      <c r="R32" s="58"/>
      <c r="S32" s="16" t="s">
        <v>89</v>
      </c>
      <c r="T32" s="16" t="s">
        <v>79</v>
      </c>
      <c r="U32" s="16" t="s">
        <v>69</v>
      </c>
      <c r="V32" s="63">
        <v>13.36</v>
      </c>
      <c r="W32" s="62">
        <f t="shared" si="17"/>
        <v>0.13174243171284883</v>
      </c>
    </row>
    <row r="33" spans="1:26" x14ac:dyDescent="0.25">
      <c r="A33" s="20" t="s">
        <v>91</v>
      </c>
      <c r="B33" s="16" t="s">
        <v>80</v>
      </c>
      <c r="C33" s="16" t="s">
        <v>70</v>
      </c>
      <c r="D33" s="50">
        <v>22.29</v>
      </c>
      <c r="E33" s="51">
        <f t="shared" si="14"/>
        <v>6.4329004329004333E-2</v>
      </c>
      <c r="F33" s="58"/>
      <c r="G33" s="16" t="s">
        <v>91</v>
      </c>
      <c r="H33" s="16" t="s">
        <v>80</v>
      </c>
      <c r="I33" s="16" t="s">
        <v>70</v>
      </c>
      <c r="J33" s="50">
        <v>8.9</v>
      </c>
      <c r="K33" s="51">
        <f t="shared" si="15"/>
        <v>3.4611495683285372E-2</v>
      </c>
      <c r="L33" s="72"/>
      <c r="M33" s="20" t="s">
        <v>91</v>
      </c>
      <c r="N33" s="16" t="s">
        <v>80</v>
      </c>
      <c r="O33" s="16" t="s">
        <v>70</v>
      </c>
      <c r="P33" s="50">
        <v>9.02</v>
      </c>
      <c r="Q33" s="51">
        <f t="shared" si="16"/>
        <v>9.0118892996303324E-2</v>
      </c>
      <c r="R33" s="58"/>
      <c r="S33" s="16" t="s">
        <v>91</v>
      </c>
      <c r="T33" s="16" t="s">
        <v>80</v>
      </c>
      <c r="U33" s="16" t="s">
        <v>70</v>
      </c>
      <c r="V33" s="50">
        <v>11.95</v>
      </c>
      <c r="W33" s="62">
        <f t="shared" si="17"/>
        <v>0.11783847746770536</v>
      </c>
    </row>
    <row r="34" spans="1:26" x14ac:dyDescent="0.25">
      <c r="A34" s="20" t="s">
        <v>92</v>
      </c>
      <c r="B34" s="16" t="s">
        <v>81</v>
      </c>
      <c r="C34" s="16" t="s">
        <v>73</v>
      </c>
      <c r="D34" s="50">
        <v>14.31</v>
      </c>
      <c r="E34" s="51">
        <f t="shared" si="14"/>
        <v>4.12987012987013E-2</v>
      </c>
      <c r="F34" s="58"/>
      <c r="G34" s="16" t="s">
        <v>92</v>
      </c>
      <c r="H34" s="16" t="s">
        <v>81</v>
      </c>
      <c r="I34" s="16" t="s">
        <v>73</v>
      </c>
      <c r="J34" s="50">
        <v>5.93</v>
      </c>
      <c r="K34" s="51">
        <f t="shared" si="15"/>
        <v>2.3061367348526096E-2</v>
      </c>
      <c r="L34" s="72"/>
      <c r="M34" s="20" t="s">
        <v>92</v>
      </c>
      <c r="N34" s="16" t="s">
        <v>81</v>
      </c>
      <c r="O34" s="16" t="s">
        <v>73</v>
      </c>
      <c r="P34" s="50">
        <v>6.98</v>
      </c>
      <c r="Q34" s="51">
        <f t="shared" si="16"/>
        <v>6.9737236487161555E-2</v>
      </c>
      <c r="R34" s="58"/>
      <c r="S34" s="16" t="s">
        <v>92</v>
      </c>
      <c r="T34" s="16" t="s">
        <v>81</v>
      </c>
      <c r="U34" s="16" t="s">
        <v>73</v>
      </c>
      <c r="V34" s="50">
        <v>9.92</v>
      </c>
      <c r="W34" s="62">
        <f t="shared" si="17"/>
        <v>9.7820727738881771E-2</v>
      </c>
    </row>
    <row r="35" spans="1:26" x14ac:dyDescent="0.25">
      <c r="A35" s="20" t="s">
        <v>94</v>
      </c>
      <c r="B35" s="16" t="s">
        <v>82</v>
      </c>
      <c r="C35" s="16" t="s">
        <v>74</v>
      </c>
      <c r="D35" s="50">
        <v>27.32</v>
      </c>
      <c r="E35" s="51">
        <f t="shared" si="14"/>
        <v>7.8845598845598844E-2</v>
      </c>
      <c r="F35" s="58"/>
      <c r="G35" s="16" t="s">
        <v>94</v>
      </c>
      <c r="H35" s="16" t="s">
        <v>82</v>
      </c>
      <c r="I35" s="16" t="s">
        <v>74</v>
      </c>
      <c r="J35" s="50">
        <v>14.19</v>
      </c>
      <c r="K35" s="51">
        <f t="shared" si="15"/>
        <v>5.5183946488294312E-2</v>
      </c>
      <c r="L35" s="72"/>
      <c r="M35" s="20" t="s">
        <v>94</v>
      </c>
      <c r="N35" s="16" t="s">
        <v>82</v>
      </c>
      <c r="O35" s="16" t="s">
        <v>74</v>
      </c>
      <c r="P35" s="50">
        <v>20.89</v>
      </c>
      <c r="Q35" s="51">
        <f t="shared" si="16"/>
        <v>0.20871215905684884</v>
      </c>
      <c r="R35" s="58"/>
      <c r="S35" s="16" t="s">
        <v>94</v>
      </c>
      <c r="T35" s="16" t="s">
        <v>82</v>
      </c>
      <c r="U35" s="16" t="s">
        <v>74</v>
      </c>
      <c r="V35" s="50">
        <v>38.1</v>
      </c>
      <c r="W35" s="62">
        <f t="shared" si="17"/>
        <v>0.37570259343260037</v>
      </c>
    </row>
    <row r="36" spans="1:26" ht="15.75" thickBot="1" x14ac:dyDescent="0.3">
      <c r="A36" s="38" t="s">
        <v>93</v>
      </c>
      <c r="B36" s="66" t="s">
        <v>83</v>
      </c>
      <c r="C36" s="22" t="s">
        <v>84</v>
      </c>
      <c r="D36" s="67">
        <f>3.26+(J20-(SUM(J21:J25)))</f>
        <v>5.2401999999999678</v>
      </c>
      <c r="E36" s="68">
        <f t="shared" si="14"/>
        <v>1.512323232323223E-2</v>
      </c>
      <c r="F36" s="69"/>
      <c r="G36" s="66" t="s">
        <v>93</v>
      </c>
      <c r="H36" s="66" t="s">
        <v>83</v>
      </c>
      <c r="I36" s="22" t="s">
        <v>75</v>
      </c>
      <c r="J36" s="67">
        <v>0.19600000000000001</v>
      </c>
      <c r="K36" s="68">
        <f t="shared" si="15"/>
        <v>7.6223069145212735E-4</v>
      </c>
      <c r="L36" s="73"/>
      <c r="M36" s="38" t="s">
        <v>93</v>
      </c>
      <c r="N36" s="66" t="s">
        <v>83</v>
      </c>
      <c r="O36" s="22" t="s">
        <v>84</v>
      </c>
      <c r="P36" s="67">
        <f>P30-(SUM(P31:P35))</f>
        <v>0</v>
      </c>
      <c r="Q36" s="68">
        <f t="shared" si="16"/>
        <v>0</v>
      </c>
      <c r="R36" s="69"/>
      <c r="S36" s="66" t="s">
        <v>93</v>
      </c>
      <c r="T36" s="66" t="s">
        <v>83</v>
      </c>
      <c r="U36" s="22" t="s">
        <v>75</v>
      </c>
      <c r="V36" s="67">
        <f>V30-(SUM(V31:V35))</f>
        <v>0</v>
      </c>
      <c r="W36" s="70">
        <f t="shared" si="17"/>
        <v>0</v>
      </c>
    </row>
    <row r="37" spans="1:26" ht="15.75" thickBot="1" x14ac:dyDescent="0.3"/>
    <row r="38" spans="1:26" ht="21.75" thickBot="1" x14ac:dyDescent="0.4">
      <c r="B38" s="277" t="s">
        <v>155</v>
      </c>
      <c r="C38" s="278"/>
      <c r="D38" s="278"/>
      <c r="E38" s="278"/>
      <c r="F38" s="278"/>
      <c r="G38" s="278"/>
      <c r="H38" s="278"/>
      <c r="I38" s="278"/>
      <c r="J38" s="278"/>
      <c r="K38" s="278"/>
      <c r="L38" s="278"/>
      <c r="M38" s="279"/>
    </row>
    <row r="39" spans="1:26" ht="45.75" thickBot="1" x14ac:dyDescent="0.3">
      <c r="B39" s="86"/>
      <c r="C39" s="76" t="s">
        <v>145</v>
      </c>
      <c r="D39" s="112" t="s">
        <v>147</v>
      </c>
      <c r="E39" s="112" t="s">
        <v>148</v>
      </c>
      <c r="F39" s="76" t="s">
        <v>144</v>
      </c>
      <c r="G39" s="112" t="s">
        <v>149</v>
      </c>
      <c r="H39" s="112" t="s">
        <v>150</v>
      </c>
      <c r="I39" s="45" t="s">
        <v>152</v>
      </c>
      <c r="J39" s="76" t="s">
        <v>146</v>
      </c>
      <c r="K39" s="77" t="s">
        <v>151</v>
      </c>
      <c r="L39" s="76" t="s">
        <v>220</v>
      </c>
      <c r="M39" s="87" t="s">
        <v>221</v>
      </c>
    </row>
    <row r="40" spans="1:26" ht="27" customHeight="1" thickBot="1" x14ac:dyDescent="0.45">
      <c r="B40" s="104" t="s">
        <v>90</v>
      </c>
      <c r="C40" s="191">
        <f t="shared" ref="C40:C45" si="18">I10</f>
        <v>0.69460018114713784</v>
      </c>
      <c r="D40" s="194">
        <f t="shared" ref="D40:D45" si="19">$C40+(1.96*SQRT($C40*((1-$C40)/$L40)))</f>
        <v>0.74782997466083279</v>
      </c>
      <c r="E40" s="194">
        <f t="shared" ref="E40:E45" si="20">$C40-(1.96*SQRT($C40*((1-$C40)/$L40)))</f>
        <v>0.6413703876334429</v>
      </c>
      <c r="F40" s="191">
        <f t="shared" ref="F40:F45" si="21">U10</f>
        <v>0.51876098824835748</v>
      </c>
      <c r="G40" s="194">
        <f t="shared" ref="G40:G45" si="22">$F40+(1.96*SQRT($F40*((1-$F40)/$M40)))</f>
        <v>0.61296460202319192</v>
      </c>
      <c r="H40" s="194">
        <f t="shared" ref="H40:H45" si="23">$F40-(1.96*SQRT($F40*((1-$F40)/$M40)))</f>
        <v>0.42455737447352299</v>
      </c>
      <c r="I40" s="191">
        <f t="shared" ref="I40:I45" si="24">C40-F40</f>
        <v>0.17583919289878036</v>
      </c>
      <c r="J40" s="108">
        <f t="shared" ref="J40:J45" si="25">(C40-F40)/SQRT((((G10+S10)/($G$9+$S$9))*(1-(G10+S10)/($G$9+$S$9)))*((1/L40)+(1/M40)))</f>
        <v>3.2601699007250864</v>
      </c>
      <c r="K40" s="108">
        <v>1.1000000000000001E-3</v>
      </c>
      <c r="L40" s="110">
        <f>$G$9</f>
        <v>287.61149999999998</v>
      </c>
      <c r="M40" s="111">
        <f>$S$9</f>
        <v>108.07000000000001</v>
      </c>
      <c r="Q40" s="289" t="s">
        <v>154</v>
      </c>
      <c r="R40" s="290"/>
      <c r="S40" s="290"/>
      <c r="T40" s="290"/>
      <c r="U40" s="290"/>
      <c r="V40" s="290"/>
      <c r="W40" s="290"/>
      <c r="X40" s="290"/>
      <c r="Y40" s="290"/>
      <c r="Z40" s="291"/>
    </row>
    <row r="41" spans="1:26" s="85" customFormat="1" ht="41.25" customHeight="1" thickBot="1" x14ac:dyDescent="0.3">
      <c r="B41" s="104" t="s">
        <v>89</v>
      </c>
      <c r="C41" s="192">
        <f t="shared" si="18"/>
        <v>0.15801697776340656</v>
      </c>
      <c r="D41" s="195">
        <f t="shared" si="19"/>
        <v>0.20017269576346775</v>
      </c>
      <c r="E41" s="195">
        <f t="shared" si="20"/>
        <v>0.11586125976334538</v>
      </c>
      <c r="F41" s="192">
        <f t="shared" si="21"/>
        <v>9.2902748218747097E-2</v>
      </c>
      <c r="G41" s="195">
        <f t="shared" si="22"/>
        <v>0.14763517463758422</v>
      </c>
      <c r="H41" s="195">
        <f t="shared" si="23"/>
        <v>3.8170321799909972E-2</v>
      </c>
      <c r="I41" s="192">
        <f t="shared" si="24"/>
        <v>6.5114229544659466E-2</v>
      </c>
      <c r="J41" s="97">
        <f t="shared" si="25"/>
        <v>1.6620480468696159</v>
      </c>
      <c r="K41" s="97">
        <v>9.6600000000000005E-2</v>
      </c>
      <c r="L41" s="92">
        <f t="shared" ref="L41:L45" si="26">$G$9</f>
        <v>287.61149999999998</v>
      </c>
      <c r="M41" s="99">
        <f t="shared" ref="M41:M45" si="27">$S$9</f>
        <v>108.07000000000001</v>
      </c>
      <c r="Q41" s="292" t="s">
        <v>156</v>
      </c>
      <c r="R41" s="293"/>
      <c r="S41" s="293"/>
      <c r="T41" s="293"/>
      <c r="U41" s="293"/>
      <c r="V41" s="293"/>
      <c r="W41" s="293"/>
      <c r="X41" s="293"/>
      <c r="Y41" s="293"/>
      <c r="Z41" s="294"/>
    </row>
    <row r="42" spans="1:26" ht="33" customHeight="1" x14ac:dyDescent="0.25">
      <c r="B42" s="104" t="s">
        <v>91</v>
      </c>
      <c r="C42" s="192">
        <f t="shared" si="18"/>
        <v>5.3692220234587279E-2</v>
      </c>
      <c r="D42" s="195">
        <f t="shared" si="19"/>
        <v>7.9743246365656134E-2</v>
      </c>
      <c r="E42" s="195">
        <f t="shared" si="20"/>
        <v>2.7641194103518424E-2</v>
      </c>
      <c r="F42" s="192">
        <f t="shared" si="21"/>
        <v>8.2539095030998419E-2</v>
      </c>
      <c r="G42" s="195">
        <f t="shared" si="22"/>
        <v>0.13442233999730024</v>
      </c>
      <c r="H42" s="195">
        <f t="shared" si="23"/>
        <v>3.0655850064696601E-2</v>
      </c>
      <c r="I42" s="192">
        <f t="shared" si="24"/>
        <v>-2.884687479641114E-2</v>
      </c>
      <c r="J42" s="97">
        <f t="shared" si="25"/>
        <v>-1.0636355133648461</v>
      </c>
      <c r="K42" s="105">
        <v>0.28820000000000001</v>
      </c>
      <c r="L42" s="92">
        <f t="shared" si="26"/>
        <v>287.61149999999998</v>
      </c>
      <c r="M42" s="99">
        <f t="shared" si="27"/>
        <v>108.07000000000001</v>
      </c>
      <c r="Q42" s="86"/>
      <c r="R42" s="76" t="s">
        <v>134</v>
      </c>
      <c r="S42" s="76" t="s">
        <v>135</v>
      </c>
      <c r="T42" s="76" t="s">
        <v>140</v>
      </c>
      <c r="U42" s="77" t="s">
        <v>132</v>
      </c>
      <c r="V42" s="77" t="s">
        <v>133</v>
      </c>
      <c r="W42" s="76" t="s">
        <v>136</v>
      </c>
      <c r="X42" s="76" t="s">
        <v>137</v>
      </c>
      <c r="Y42" s="76" t="s">
        <v>138</v>
      </c>
      <c r="Z42" s="87" t="s">
        <v>139</v>
      </c>
    </row>
    <row r="43" spans="1:26" ht="30" x14ac:dyDescent="0.25">
      <c r="A43" s="75"/>
      <c r="B43" s="104" t="s">
        <v>92</v>
      </c>
      <c r="C43" s="192">
        <f t="shared" si="18"/>
        <v>2.9422154538326875E-2</v>
      </c>
      <c r="D43" s="195">
        <f t="shared" si="19"/>
        <v>4.8952295183710359E-2</v>
      </c>
      <c r="E43" s="195">
        <f t="shared" si="20"/>
        <v>9.892013892943391E-3</v>
      </c>
      <c r="F43" s="192">
        <f t="shared" si="21"/>
        <v>6.7340612565929478E-2</v>
      </c>
      <c r="G43" s="195">
        <f t="shared" si="22"/>
        <v>0.11459080263815989</v>
      </c>
      <c r="H43" s="195">
        <f t="shared" si="23"/>
        <v>2.0090422493699064E-2</v>
      </c>
      <c r="I43" s="192">
        <f t="shared" si="24"/>
        <v>-3.7918458027602603E-2</v>
      </c>
      <c r="J43" s="97">
        <f t="shared" si="25"/>
        <v>-1.7195829814469641</v>
      </c>
      <c r="K43" s="105">
        <v>8.5500000000000007E-2</v>
      </c>
      <c r="L43" s="92">
        <f t="shared" si="26"/>
        <v>287.61149999999998</v>
      </c>
      <c r="M43" s="99">
        <f t="shared" si="27"/>
        <v>108.07000000000001</v>
      </c>
      <c r="Q43" s="20" t="s">
        <v>90</v>
      </c>
      <c r="R43" s="78">
        <v>199.77499999999998</v>
      </c>
      <c r="S43" s="79">
        <v>56.0625</v>
      </c>
      <c r="T43" s="80">
        <v>3.9087043001972117</v>
      </c>
      <c r="U43" s="81">
        <v>6</v>
      </c>
      <c r="V43" s="80">
        <v>7.9041977001672679E-3</v>
      </c>
      <c r="W43" s="81">
        <v>4</v>
      </c>
      <c r="X43" s="81">
        <v>4</v>
      </c>
      <c r="Y43" s="79">
        <v>72.732451033450886</v>
      </c>
      <c r="Z43" s="88">
        <v>10.831790787615251</v>
      </c>
    </row>
    <row r="44" spans="1:26" x14ac:dyDescent="0.25">
      <c r="B44" s="104" t="s">
        <v>94</v>
      </c>
      <c r="C44" s="191">
        <f t="shared" si="18"/>
        <v>6.1029200849062028E-2</v>
      </c>
      <c r="D44" s="194">
        <f t="shared" si="19"/>
        <v>8.8695293854352486E-2</v>
      </c>
      <c r="E44" s="194">
        <f t="shared" si="20"/>
        <v>3.3363107843771569E-2</v>
      </c>
      <c r="F44" s="191">
        <f t="shared" si="21"/>
        <v>0.23794762653835477</v>
      </c>
      <c r="G44" s="194">
        <f t="shared" si="22"/>
        <v>0.31823303001011571</v>
      </c>
      <c r="H44" s="194">
        <f t="shared" si="23"/>
        <v>0.15766222306659383</v>
      </c>
      <c r="I44" s="191">
        <f t="shared" si="24"/>
        <v>-0.17691842568929275</v>
      </c>
      <c r="J44" s="108">
        <f t="shared" si="25"/>
        <v>-5.0245049684441074</v>
      </c>
      <c r="K44" s="109" t="s">
        <v>153</v>
      </c>
      <c r="L44" s="110">
        <f t="shared" si="26"/>
        <v>287.61149999999998</v>
      </c>
      <c r="M44" s="111">
        <f t="shared" si="27"/>
        <v>108.07000000000001</v>
      </c>
      <c r="Q44" s="20" t="s">
        <v>89</v>
      </c>
      <c r="R44" s="79">
        <v>45.447500000000005</v>
      </c>
      <c r="S44" s="79">
        <v>10.039999999999999</v>
      </c>
      <c r="T44" s="80">
        <v>3.1937546890581681</v>
      </c>
      <c r="U44" s="81">
        <v>6</v>
      </c>
      <c r="V44" s="80">
        <v>1.8747232726031161E-2</v>
      </c>
      <c r="W44" s="81">
        <v>4</v>
      </c>
      <c r="X44" s="81">
        <v>4</v>
      </c>
      <c r="Y44" s="79">
        <v>22.056942028909329</v>
      </c>
      <c r="Z44" s="89">
        <v>2.2652887968939708</v>
      </c>
    </row>
    <row r="45" spans="1:26" ht="15.75" thickBot="1" x14ac:dyDescent="0.3">
      <c r="B45" s="106" t="s">
        <v>93</v>
      </c>
      <c r="C45" s="193">
        <f t="shared" si="18"/>
        <v>7.206770243887977E-3</v>
      </c>
      <c r="D45" s="196">
        <f t="shared" si="19"/>
        <v>1.6982578835925369E-2</v>
      </c>
      <c r="E45" s="196">
        <f t="shared" si="20"/>
        <v>-2.569038348149413E-3</v>
      </c>
      <c r="F45" s="193">
        <f t="shared" si="21"/>
        <v>7.4072360507081766E-4</v>
      </c>
      <c r="G45" s="196">
        <f t="shared" si="22"/>
        <v>5.8701722054608357E-3</v>
      </c>
      <c r="H45" s="196">
        <f t="shared" si="23"/>
        <v>-4.3887249953192004E-3</v>
      </c>
      <c r="I45" s="193">
        <f t="shared" si="24"/>
        <v>6.4660466388171594E-3</v>
      </c>
      <c r="J45" s="103">
        <f t="shared" si="25"/>
        <v>0.77907157119146886</v>
      </c>
      <c r="K45" s="107">
        <v>0.433</v>
      </c>
      <c r="L45" s="94">
        <f t="shared" si="26"/>
        <v>287.61149999999998</v>
      </c>
      <c r="M45" s="100">
        <f t="shared" si="27"/>
        <v>108.07000000000001</v>
      </c>
      <c r="Q45" s="20" t="s">
        <v>91</v>
      </c>
      <c r="R45" s="82">
        <v>15.442499999999999</v>
      </c>
      <c r="S45" s="83">
        <v>8.92</v>
      </c>
      <c r="T45" s="83">
        <v>2.1886138587837505</v>
      </c>
      <c r="U45" s="84">
        <v>6</v>
      </c>
      <c r="V45" s="83">
        <v>7.1210711850272959E-2</v>
      </c>
      <c r="W45" s="84">
        <v>4</v>
      </c>
      <c r="X45" s="84">
        <v>4</v>
      </c>
      <c r="Y45" s="83">
        <v>5.5479207816983109</v>
      </c>
      <c r="Z45" s="90">
        <v>2.1787305172202149</v>
      </c>
    </row>
    <row r="46" spans="1:26" x14ac:dyDescent="0.25">
      <c r="Q46" s="20" t="s">
        <v>92</v>
      </c>
      <c r="R46" s="83">
        <v>8.4621499999999994</v>
      </c>
      <c r="S46" s="83">
        <v>7.2775000000000007</v>
      </c>
      <c r="T46" s="83">
        <v>0.54093491103160329</v>
      </c>
      <c r="U46" s="84">
        <v>6</v>
      </c>
      <c r="V46" s="83">
        <v>0.60803416446489789</v>
      </c>
      <c r="W46" s="84">
        <v>4</v>
      </c>
      <c r="X46" s="84">
        <v>4</v>
      </c>
      <c r="Y46" s="83">
        <v>3.9846109082318191</v>
      </c>
      <c r="Z46" s="90">
        <v>1.8186143992978092</v>
      </c>
    </row>
    <row r="47" spans="1:26" x14ac:dyDescent="0.25">
      <c r="Q47" s="20" t="s">
        <v>94</v>
      </c>
      <c r="R47" s="82">
        <v>17.552700000000002</v>
      </c>
      <c r="S47" s="82">
        <v>25.715000000000003</v>
      </c>
      <c r="T47" s="82">
        <v>-1.5388257426344953</v>
      </c>
      <c r="U47" s="84">
        <v>6</v>
      </c>
      <c r="V47" s="83">
        <v>0.17476901380167173</v>
      </c>
      <c r="W47" s="84">
        <v>4</v>
      </c>
      <c r="X47" s="84">
        <v>4</v>
      </c>
      <c r="Y47" s="83">
        <v>6.5631231457795058</v>
      </c>
      <c r="Z47" s="90">
        <v>8.3345805733302107</v>
      </c>
    </row>
    <row r="48" spans="1:26" ht="15.75" thickBot="1" x14ac:dyDescent="0.3">
      <c r="Q48" s="38" t="s">
        <v>93</v>
      </c>
      <c r="R48" s="197">
        <v>2.0727499999999868</v>
      </c>
      <c r="S48" s="197">
        <v>8.0050000000003285E-2</v>
      </c>
      <c r="T48" s="197">
        <v>1.7504582006329095</v>
      </c>
      <c r="U48" s="198">
        <v>6</v>
      </c>
      <c r="V48" s="197">
        <v>0.13060778532315515</v>
      </c>
      <c r="W48" s="198">
        <v>4</v>
      </c>
      <c r="X48" s="198">
        <v>4</v>
      </c>
      <c r="Y48" s="197">
        <v>2.2711393110066851</v>
      </c>
      <c r="Z48" s="199">
        <v>0.16010000000000654</v>
      </c>
    </row>
    <row r="50" spans="4:14" ht="63" customHeight="1" x14ac:dyDescent="0.25">
      <c r="N50" s="101"/>
    </row>
    <row r="51" spans="4:14" x14ac:dyDescent="0.25">
      <c r="N51" s="102"/>
    </row>
    <row r="59" spans="4:14" x14ac:dyDescent="0.25">
      <c r="D59" s="96"/>
    </row>
    <row r="60" spans="4:14" x14ac:dyDescent="0.25">
      <c r="D60" s="96"/>
    </row>
    <row r="61" spans="4:14" x14ac:dyDescent="0.25">
      <c r="F61" s="85"/>
    </row>
    <row r="64" spans="4:14" x14ac:dyDescent="0.25">
      <c r="F64" s="85"/>
    </row>
  </sheetData>
  <mergeCells count="27">
    <mergeCell ref="Q40:Z40"/>
    <mergeCell ref="Q41:Z41"/>
    <mergeCell ref="B6:I6"/>
    <mergeCell ref="B7:I7"/>
    <mergeCell ref="G18:K18"/>
    <mergeCell ref="A20:C20"/>
    <mergeCell ref="G20:I20"/>
    <mergeCell ref="N6:U6"/>
    <mergeCell ref="N7:U7"/>
    <mergeCell ref="N9:P9"/>
    <mergeCell ref="M17:W17"/>
    <mergeCell ref="M18:Q18"/>
    <mergeCell ref="S18:W18"/>
    <mergeCell ref="S20:U20"/>
    <mergeCell ref="M28:Q28"/>
    <mergeCell ref="S28:W28"/>
    <mergeCell ref="S30:U30"/>
    <mergeCell ref="B38:M38"/>
    <mergeCell ref="A18:E18"/>
    <mergeCell ref="A28:E28"/>
    <mergeCell ref="B9:D9"/>
    <mergeCell ref="A17:K17"/>
    <mergeCell ref="M20:O20"/>
    <mergeCell ref="G28:K28"/>
    <mergeCell ref="A30:C30"/>
    <mergeCell ref="G30:I30"/>
    <mergeCell ref="M30:O30"/>
  </mergeCells>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R176"/>
  <sheetViews>
    <sheetView topLeftCell="A7" zoomScale="60" zoomScaleNormal="60" workbookViewId="0">
      <selection activeCell="L15" sqref="L15:L20"/>
    </sheetView>
  </sheetViews>
  <sheetFormatPr defaultRowHeight="15" x14ac:dyDescent="0.25"/>
  <cols>
    <col min="1" max="1" width="12.28515625" style="85" customWidth="1"/>
    <col min="2" max="2" width="16.85546875" style="85" customWidth="1"/>
    <col min="3" max="4" width="14.140625" style="85" customWidth="1"/>
    <col min="5" max="5" width="8.42578125" style="85" customWidth="1"/>
    <col min="6" max="6" width="24.5703125" style="85" customWidth="1"/>
    <col min="7" max="11" width="16.5703125" style="85" customWidth="1"/>
    <col min="12" max="12" width="27.85546875" style="85" customWidth="1"/>
    <col min="13" max="13" width="16.5703125" style="85" customWidth="1"/>
    <col min="14" max="14" width="24.140625" style="85" customWidth="1"/>
    <col min="15" max="15" width="16.5703125" style="85" customWidth="1"/>
    <col min="16" max="16" width="19.85546875" style="85" customWidth="1"/>
    <col min="17" max="17" width="32" style="85" customWidth="1"/>
    <col min="18" max="19" width="9.140625" style="85"/>
    <col min="20" max="21" width="15.85546875" style="85" customWidth="1"/>
    <col min="22" max="22" width="28.140625" style="85" customWidth="1"/>
    <col min="23" max="26" width="20.7109375" style="85" customWidth="1"/>
    <col min="27" max="16384" width="9.140625" style="85"/>
  </cols>
  <sheetData>
    <row r="1" spans="1:18" ht="29.25" thickBot="1" x14ac:dyDescent="0.5">
      <c r="A1" s="127" t="s">
        <v>165</v>
      </c>
    </row>
    <row r="2" spans="1:18" ht="71.25" customHeight="1" thickBot="1" x14ac:dyDescent="0.3">
      <c r="A2" s="85" t="s">
        <v>166</v>
      </c>
      <c r="F2" s="313" t="s">
        <v>167</v>
      </c>
      <c r="G2" s="314"/>
      <c r="H2" s="314"/>
      <c r="I2" s="314"/>
      <c r="J2" s="314"/>
      <c r="K2" s="314"/>
      <c r="L2" s="314"/>
      <c r="M2" s="315"/>
      <c r="N2" s="113" t="s">
        <v>164</v>
      </c>
      <c r="O2" s="210" t="s">
        <v>227</v>
      </c>
      <c r="P2" s="53"/>
      <c r="Q2" s="209" t="s">
        <v>226</v>
      </c>
      <c r="R2" s="54"/>
    </row>
    <row r="3" spans="1:18" ht="28.5" customHeight="1" x14ac:dyDescent="0.25">
      <c r="A3" s="128" t="s">
        <v>168</v>
      </c>
      <c r="B3" s="128" t="s">
        <v>169</v>
      </c>
      <c r="C3" s="128" t="s">
        <v>170</v>
      </c>
      <c r="D3" s="128" t="s">
        <v>171</v>
      </c>
      <c r="E3" s="128"/>
      <c r="F3" s="316" t="s">
        <v>120</v>
      </c>
      <c r="G3" s="317"/>
      <c r="H3" s="317"/>
      <c r="I3" s="317"/>
      <c r="J3" s="317"/>
      <c r="K3" s="317"/>
      <c r="L3" s="317"/>
      <c r="M3" s="318"/>
      <c r="N3" s="15" t="s">
        <v>90</v>
      </c>
      <c r="O3" s="8">
        <v>2655</v>
      </c>
      <c r="P3" s="8" t="s">
        <v>58</v>
      </c>
      <c r="Q3" s="8">
        <v>1990</v>
      </c>
      <c r="R3" s="55" t="s">
        <v>58</v>
      </c>
    </row>
    <row r="4" spans="1:18" ht="58.5" customHeight="1" x14ac:dyDescent="0.25">
      <c r="A4" s="85">
        <v>1</v>
      </c>
      <c r="B4" s="85">
        <v>9.2240249999999993</v>
      </c>
      <c r="C4" s="85">
        <v>29.765725</v>
      </c>
      <c r="D4" s="85">
        <v>1022.9425749999999</v>
      </c>
      <c r="F4" s="59" t="s">
        <v>71</v>
      </c>
      <c r="G4" s="30" t="s">
        <v>77</v>
      </c>
      <c r="H4" s="30" t="s">
        <v>72</v>
      </c>
      <c r="I4" s="31" t="s">
        <v>102</v>
      </c>
      <c r="J4" s="30" t="s">
        <v>99</v>
      </c>
      <c r="K4" s="31" t="s">
        <v>103</v>
      </c>
      <c r="L4" s="31" t="s">
        <v>98</v>
      </c>
      <c r="M4" s="60" t="s">
        <v>100</v>
      </c>
      <c r="N4" s="15" t="s">
        <v>89</v>
      </c>
      <c r="O4" s="8">
        <v>2659</v>
      </c>
      <c r="P4" s="8" t="s">
        <v>58</v>
      </c>
      <c r="Q4" s="8">
        <v>1930</v>
      </c>
      <c r="R4" s="55" t="s">
        <v>58</v>
      </c>
    </row>
    <row r="5" spans="1:18" ht="15" customHeight="1" x14ac:dyDescent="0.25">
      <c r="A5" s="85">
        <v>2</v>
      </c>
      <c r="B5" s="85">
        <v>9.2702249999999999</v>
      </c>
      <c r="C5" s="85">
        <v>31.566575000000004</v>
      </c>
      <c r="D5" s="85">
        <v>1024.400625</v>
      </c>
      <c r="F5" s="287" t="s">
        <v>67</v>
      </c>
      <c r="G5" s="276"/>
      <c r="H5" s="276"/>
      <c r="I5" s="56">
        <v>1150.4459999999999</v>
      </c>
      <c r="J5" s="57" t="s">
        <v>96</v>
      </c>
      <c r="K5" s="56">
        <v>287.61149999999998</v>
      </c>
      <c r="L5" s="56">
        <v>101.64704013890425</v>
      </c>
      <c r="M5" s="61" t="s">
        <v>96</v>
      </c>
      <c r="N5" s="15" t="s">
        <v>91</v>
      </c>
      <c r="O5" s="8">
        <v>2659</v>
      </c>
      <c r="P5" s="8" t="s">
        <v>58</v>
      </c>
      <c r="Q5" s="8">
        <v>1920</v>
      </c>
      <c r="R5" s="55" t="s">
        <v>58</v>
      </c>
    </row>
    <row r="6" spans="1:18" ht="14.25" customHeight="1" x14ac:dyDescent="0.25">
      <c r="A6" s="85">
        <v>3</v>
      </c>
      <c r="B6" s="85">
        <v>9.2817749999999997</v>
      </c>
      <c r="C6" s="85">
        <v>31.470124999999999</v>
      </c>
      <c r="D6" s="85">
        <v>1024.326325</v>
      </c>
      <c r="F6" s="20" t="s">
        <v>90</v>
      </c>
      <c r="G6" s="17" t="s">
        <v>78</v>
      </c>
      <c r="H6" s="23" t="s">
        <v>66</v>
      </c>
      <c r="I6" s="56">
        <v>799.1</v>
      </c>
      <c r="J6" s="51">
        <f>I6/$I$5</f>
        <v>0.69460018114713784</v>
      </c>
      <c r="K6" s="56">
        <v>199.77500000000001</v>
      </c>
      <c r="L6" s="56">
        <v>72.732451033450843</v>
      </c>
      <c r="M6" s="62">
        <f>K6/$K$5</f>
        <v>0.69460018114713784</v>
      </c>
      <c r="N6" s="15" t="s">
        <v>92</v>
      </c>
      <c r="O6" s="9">
        <v>2798</v>
      </c>
      <c r="P6" s="8" t="s">
        <v>58</v>
      </c>
      <c r="Q6" s="8">
        <v>1620</v>
      </c>
      <c r="R6" s="55" t="s">
        <v>58</v>
      </c>
    </row>
    <row r="7" spans="1:18" ht="15" customHeight="1" x14ac:dyDescent="0.25">
      <c r="A7" s="85">
        <v>4</v>
      </c>
      <c r="B7" s="85">
        <v>9.293825</v>
      </c>
      <c r="C7" s="85">
        <v>31.468100000000003</v>
      </c>
      <c r="D7" s="85">
        <v>1024.3274249999999</v>
      </c>
      <c r="F7" s="20" t="s">
        <v>89</v>
      </c>
      <c r="G7" s="16" t="s">
        <v>79</v>
      </c>
      <c r="H7" s="16" t="s">
        <v>69</v>
      </c>
      <c r="I7" s="56">
        <v>181.79000000000002</v>
      </c>
      <c r="J7" s="51">
        <f t="shared" ref="J7:J11" si="0">I7/$I$5</f>
        <v>0.15801697776340656</v>
      </c>
      <c r="K7" s="56">
        <v>45.447500000000005</v>
      </c>
      <c r="L7" s="56">
        <v>22.056942028909326</v>
      </c>
      <c r="M7" s="62">
        <f t="shared" ref="M7:M11" si="1">K7/$K$5</f>
        <v>0.15801697776340656</v>
      </c>
      <c r="N7" s="15" t="s">
        <v>94</v>
      </c>
      <c r="O7" s="9">
        <v>2798</v>
      </c>
      <c r="P7" s="8" t="s">
        <v>58</v>
      </c>
      <c r="Q7" s="8">
        <v>1690</v>
      </c>
      <c r="R7" s="55" t="s">
        <v>58</v>
      </c>
    </row>
    <row r="8" spans="1:18" ht="18" customHeight="1" thickBot="1" x14ac:dyDescent="0.3">
      <c r="A8" s="85">
        <v>5</v>
      </c>
      <c r="B8" s="85">
        <v>9.3014249999999983</v>
      </c>
      <c r="C8" s="85">
        <v>31.469300000000004</v>
      </c>
      <c r="D8" s="85">
        <v>1024.3316500000001</v>
      </c>
      <c r="F8" s="20" t="s">
        <v>91</v>
      </c>
      <c r="G8" s="16" t="s">
        <v>80</v>
      </c>
      <c r="H8" s="16" t="s">
        <v>70</v>
      </c>
      <c r="I8" s="56">
        <v>61.769999999999996</v>
      </c>
      <c r="J8" s="51">
        <f t="shared" si="0"/>
        <v>5.3692220234587279E-2</v>
      </c>
      <c r="K8" s="56">
        <v>15.442499999999999</v>
      </c>
      <c r="L8" s="56">
        <v>5.5479207816983163</v>
      </c>
      <c r="M8" s="62">
        <f t="shared" si="1"/>
        <v>5.3692220234587279E-2</v>
      </c>
      <c r="N8" s="21" t="s">
        <v>93</v>
      </c>
      <c r="O8" s="211">
        <v>2798</v>
      </c>
      <c r="P8" s="93" t="s">
        <v>58</v>
      </c>
      <c r="Q8" s="93">
        <v>1600</v>
      </c>
      <c r="R8" s="95" t="s">
        <v>58</v>
      </c>
    </row>
    <row r="9" spans="1:18" ht="18" customHeight="1" x14ac:dyDescent="0.25">
      <c r="A9" s="85">
        <v>6</v>
      </c>
      <c r="B9" s="85">
        <v>9.3039249999999996</v>
      </c>
      <c r="C9" s="85">
        <v>31.471024999999997</v>
      </c>
      <c r="D9" s="85">
        <v>1024.3360750000002</v>
      </c>
      <c r="F9" s="20" t="s">
        <v>92</v>
      </c>
      <c r="G9" s="16" t="s">
        <v>81</v>
      </c>
      <c r="H9" s="16" t="s">
        <v>73</v>
      </c>
      <c r="I9" s="56">
        <v>33.848599999999998</v>
      </c>
      <c r="J9" s="51">
        <f t="shared" si="0"/>
        <v>2.9422154538326875E-2</v>
      </c>
      <c r="K9" s="56">
        <v>8.4621499999999994</v>
      </c>
      <c r="L9" s="56">
        <v>3.9846109082318208</v>
      </c>
      <c r="M9" s="62">
        <f t="shared" si="1"/>
        <v>2.9422154538326875E-2</v>
      </c>
    </row>
    <row r="10" spans="1:18" ht="18" customHeight="1" x14ac:dyDescent="0.25">
      <c r="A10" s="85">
        <v>7</v>
      </c>
      <c r="B10" s="85">
        <v>9.3057750000000006</v>
      </c>
      <c r="C10" s="85">
        <v>31.477250000000002</v>
      </c>
      <c r="D10" s="85">
        <v>1024.3438249999999</v>
      </c>
      <c r="F10" s="20" t="s">
        <v>94</v>
      </c>
      <c r="G10" s="16" t="s">
        <v>82</v>
      </c>
      <c r="H10" s="16" t="s">
        <v>74</v>
      </c>
      <c r="I10" s="56">
        <v>70.210800000000006</v>
      </c>
      <c r="J10" s="51">
        <f t="shared" si="0"/>
        <v>6.1029200849062028E-2</v>
      </c>
      <c r="K10" s="56">
        <v>17.552700000000002</v>
      </c>
      <c r="L10" s="56">
        <v>6.5631231457794961</v>
      </c>
      <c r="M10" s="62">
        <f t="shared" si="1"/>
        <v>6.1029200849062028E-2</v>
      </c>
    </row>
    <row r="11" spans="1:18" ht="13.5" customHeight="1" thickBot="1" x14ac:dyDescent="0.3">
      <c r="A11" s="85">
        <v>8</v>
      </c>
      <c r="B11" s="85">
        <v>9.3107499999999987</v>
      </c>
      <c r="C11" s="85">
        <v>30.560375000000001</v>
      </c>
      <c r="D11" s="85">
        <v>1023.6586249999999</v>
      </c>
      <c r="F11" s="38" t="s">
        <v>93</v>
      </c>
      <c r="G11" s="66" t="s">
        <v>83</v>
      </c>
      <c r="H11" s="22" t="s">
        <v>75</v>
      </c>
      <c r="I11" s="98">
        <v>8.2909999999999471</v>
      </c>
      <c r="J11" s="68">
        <f t="shared" si="0"/>
        <v>7.206770243887977E-3</v>
      </c>
      <c r="K11" s="98">
        <v>2.0727499999999868</v>
      </c>
      <c r="L11" s="98">
        <v>2.2711393110066851</v>
      </c>
      <c r="M11" s="70">
        <f t="shared" si="1"/>
        <v>7.206770243887977E-3</v>
      </c>
    </row>
    <row r="12" spans="1:18" ht="14.25" customHeight="1" thickBot="1" x14ac:dyDescent="0.3">
      <c r="A12" s="85">
        <v>9</v>
      </c>
      <c r="B12" s="85">
        <v>9.3141250000000007</v>
      </c>
      <c r="C12" s="85">
        <v>31.402175</v>
      </c>
      <c r="D12" s="85">
        <v>1024.2845749999999</v>
      </c>
    </row>
    <row r="13" spans="1:18" ht="28.5" customHeight="1" x14ac:dyDescent="0.25">
      <c r="A13" s="85">
        <v>10</v>
      </c>
      <c r="B13" s="85">
        <v>9.3160249999999998</v>
      </c>
      <c r="C13" s="85">
        <v>31.418050000000001</v>
      </c>
      <c r="D13" s="85">
        <v>1024.3112000000001</v>
      </c>
      <c r="F13" s="319" t="s">
        <v>172</v>
      </c>
      <c r="G13" s="320"/>
      <c r="H13" s="320"/>
      <c r="I13" s="320"/>
      <c r="J13" s="320"/>
      <c r="K13" s="320"/>
      <c r="L13" s="320"/>
      <c r="M13" s="320"/>
      <c r="N13" s="320"/>
      <c r="O13" s="320"/>
      <c r="P13" s="321"/>
    </row>
    <row r="14" spans="1:18" ht="28.5" customHeight="1" x14ac:dyDescent="0.25">
      <c r="A14" s="85">
        <v>11</v>
      </c>
      <c r="B14" s="85">
        <v>9.3213749999999997</v>
      </c>
      <c r="C14" s="85">
        <v>31.421375000000001</v>
      </c>
      <c r="D14" s="85">
        <v>1024.3193249999999</v>
      </c>
      <c r="F14" s="40"/>
      <c r="G14" s="133" t="s">
        <v>88</v>
      </c>
      <c r="H14" s="134" t="s">
        <v>86</v>
      </c>
      <c r="I14" s="48" t="s">
        <v>87</v>
      </c>
      <c r="J14" s="135" t="s">
        <v>86</v>
      </c>
      <c r="K14" s="48" t="s">
        <v>71</v>
      </c>
      <c r="L14" s="48" t="s">
        <v>113</v>
      </c>
      <c r="M14" s="48" t="s">
        <v>86</v>
      </c>
      <c r="N14" s="48" t="s">
        <v>87</v>
      </c>
      <c r="O14" s="48" t="s">
        <v>86</v>
      </c>
      <c r="P14" s="49" t="s">
        <v>45</v>
      </c>
    </row>
    <row r="15" spans="1:18" ht="40.5" customHeight="1" x14ac:dyDescent="0.25">
      <c r="A15" s="85">
        <v>12</v>
      </c>
      <c r="B15" s="85">
        <v>9.3230249999999995</v>
      </c>
      <c r="C15" s="85">
        <v>31.029724999999999</v>
      </c>
      <c r="D15" s="85">
        <v>1024.0270500000001</v>
      </c>
      <c r="F15" s="15" t="s">
        <v>85</v>
      </c>
      <c r="G15" s="16">
        <v>173</v>
      </c>
      <c r="H15" s="16" t="s">
        <v>46</v>
      </c>
      <c r="I15" s="16"/>
      <c r="J15" s="39"/>
      <c r="K15" s="16" t="s">
        <v>90</v>
      </c>
      <c r="L15" s="23">
        <v>212</v>
      </c>
      <c r="M15" s="16" t="s">
        <v>47</v>
      </c>
      <c r="N15" s="35">
        <f>CONVERT(L15,"um","m")</f>
        <v>2.12E-4</v>
      </c>
      <c r="O15" s="17" t="s">
        <v>46</v>
      </c>
      <c r="P15" s="33">
        <f>N15/2</f>
        <v>1.06E-4</v>
      </c>
    </row>
    <row r="16" spans="1:18" ht="36" customHeight="1" x14ac:dyDescent="0.25">
      <c r="A16" s="85">
        <v>13</v>
      </c>
      <c r="B16" s="85">
        <v>9.3209750000000007</v>
      </c>
      <c r="C16" s="85">
        <v>31.339300000000001</v>
      </c>
      <c r="D16" s="85">
        <v>1024.2681499999999</v>
      </c>
      <c r="F16" s="15" t="s">
        <v>48</v>
      </c>
      <c r="G16" s="16">
        <v>6.8219749999999983</v>
      </c>
      <c r="H16" s="16" t="s">
        <v>49</v>
      </c>
      <c r="I16" s="16"/>
      <c r="J16" s="39"/>
      <c r="K16" s="16" t="s">
        <v>89</v>
      </c>
      <c r="L16" s="16">
        <v>159</v>
      </c>
      <c r="M16" s="16" t="s">
        <v>47</v>
      </c>
      <c r="N16" s="35">
        <f t="shared" ref="N16:N20" si="2">CONVERT(L16,"um","m")</f>
        <v>1.5899999999999999E-4</v>
      </c>
      <c r="O16" s="17" t="s">
        <v>46</v>
      </c>
      <c r="P16" s="33">
        <f t="shared" ref="P16:P20" si="3">N16/2</f>
        <v>7.9499999999999994E-5</v>
      </c>
    </row>
    <row r="17" spans="1:16" ht="22.5" customHeight="1" x14ac:dyDescent="0.25">
      <c r="A17" s="85">
        <v>14</v>
      </c>
      <c r="B17" s="85">
        <v>9.3192249999999994</v>
      </c>
      <c r="C17" s="85">
        <v>31.337924999999998</v>
      </c>
      <c r="D17" s="85">
        <v>1024.2664500000001</v>
      </c>
      <c r="F17" s="15" t="s">
        <v>50</v>
      </c>
      <c r="G17" s="16">
        <v>33.653438888888886</v>
      </c>
      <c r="H17" s="16" t="s">
        <v>62</v>
      </c>
      <c r="I17" s="16">
        <v>33.653438888888886</v>
      </c>
      <c r="J17" s="39" t="s">
        <v>51</v>
      </c>
      <c r="K17" s="16" t="s">
        <v>91</v>
      </c>
      <c r="L17" s="16">
        <v>84.5</v>
      </c>
      <c r="M17" s="16" t="s">
        <v>47</v>
      </c>
      <c r="N17" s="35">
        <f t="shared" si="2"/>
        <v>8.4499999999999994E-5</v>
      </c>
      <c r="O17" s="17" t="s">
        <v>46</v>
      </c>
      <c r="P17" s="33">
        <f t="shared" si="3"/>
        <v>4.2249999999999997E-5</v>
      </c>
    </row>
    <row r="18" spans="1:16" ht="15" customHeight="1" x14ac:dyDescent="0.25">
      <c r="A18" s="85">
        <v>15</v>
      </c>
      <c r="B18" s="85">
        <v>9.3196500000000011</v>
      </c>
      <c r="C18" s="85">
        <v>31.488050000000001</v>
      </c>
      <c r="D18" s="85">
        <v>1024.3555249999999</v>
      </c>
      <c r="F18" s="15" t="s">
        <v>52</v>
      </c>
      <c r="G18" s="16">
        <v>171.74999999999994</v>
      </c>
      <c r="H18" s="16" t="s">
        <v>53</v>
      </c>
      <c r="I18" s="16">
        <f>G18/10</f>
        <v>17.174999999999994</v>
      </c>
      <c r="J18" s="39" t="s">
        <v>54</v>
      </c>
      <c r="K18" s="16" t="s">
        <v>92</v>
      </c>
      <c r="L18" s="16">
        <v>54</v>
      </c>
      <c r="M18" s="16" t="s">
        <v>47</v>
      </c>
      <c r="N18" s="35">
        <f t="shared" si="2"/>
        <v>5.3999999999999998E-5</v>
      </c>
      <c r="O18" s="17" t="s">
        <v>46</v>
      </c>
      <c r="P18" s="33">
        <f t="shared" si="3"/>
        <v>2.6999999999999999E-5</v>
      </c>
    </row>
    <row r="19" spans="1:16" ht="52.5" customHeight="1" x14ac:dyDescent="0.25">
      <c r="A19" s="85">
        <v>16</v>
      </c>
      <c r="B19" s="85">
        <v>9.3181000000000012</v>
      </c>
      <c r="C19" s="85">
        <v>31.499549999999999</v>
      </c>
      <c r="D19" s="85">
        <v>1024.4002</v>
      </c>
      <c r="F19" s="15" t="s">
        <v>63</v>
      </c>
      <c r="G19" s="16">
        <v>12</v>
      </c>
      <c r="H19" s="16" t="s">
        <v>55</v>
      </c>
      <c r="I19" s="16">
        <f>G19/100</f>
        <v>0.12</v>
      </c>
      <c r="J19" s="39" t="s">
        <v>56</v>
      </c>
      <c r="K19" s="16" t="s">
        <v>94</v>
      </c>
      <c r="L19" s="16">
        <v>32.5</v>
      </c>
      <c r="M19" s="16" t="s">
        <v>47</v>
      </c>
      <c r="N19" s="35">
        <f t="shared" si="2"/>
        <v>3.2499999999999997E-5</v>
      </c>
      <c r="O19" s="17" t="s">
        <v>46</v>
      </c>
      <c r="P19" s="33">
        <f t="shared" si="3"/>
        <v>1.6249999999999999E-5</v>
      </c>
    </row>
    <row r="20" spans="1:16" ht="52.5" customHeight="1" x14ac:dyDescent="0.25">
      <c r="A20" s="85">
        <v>17</v>
      </c>
      <c r="B20" s="85">
        <v>9.3139999999999983</v>
      </c>
      <c r="C20" s="85">
        <v>30.5914</v>
      </c>
      <c r="D20" s="85">
        <v>1024.0605249999999</v>
      </c>
      <c r="F20" s="15" t="s">
        <v>64</v>
      </c>
      <c r="G20" s="16">
        <v>6</v>
      </c>
      <c r="H20" s="16" t="s">
        <v>55</v>
      </c>
      <c r="I20" s="16">
        <f>G20/100</f>
        <v>0.06</v>
      </c>
      <c r="J20" s="39" t="s">
        <v>56</v>
      </c>
      <c r="K20" s="25" t="s">
        <v>93</v>
      </c>
      <c r="L20" s="26">
        <v>20</v>
      </c>
      <c r="M20" s="26" t="s">
        <v>47</v>
      </c>
      <c r="N20" s="36">
        <f t="shared" si="2"/>
        <v>1.9999999999999998E-5</v>
      </c>
      <c r="O20" s="32" t="s">
        <v>46</v>
      </c>
      <c r="P20" s="34">
        <f t="shared" si="3"/>
        <v>9.9999999999999991E-6</v>
      </c>
    </row>
    <row r="21" spans="1:16" ht="17.25" customHeight="1" x14ac:dyDescent="0.25">
      <c r="A21" s="85">
        <v>18</v>
      </c>
      <c r="B21" s="85">
        <v>9.3095499999999998</v>
      </c>
      <c r="C21" s="85">
        <v>31.328900000000001</v>
      </c>
      <c r="D21" s="85">
        <v>1023.9132750000001</v>
      </c>
      <c r="F21" s="15" t="s">
        <v>57</v>
      </c>
      <c r="G21" s="16">
        <v>1027.1707823529412</v>
      </c>
      <c r="H21" s="16" t="s">
        <v>58</v>
      </c>
      <c r="I21" s="16"/>
      <c r="J21" s="39"/>
      <c r="K21" s="8"/>
      <c r="L21" s="8"/>
      <c r="M21" s="8"/>
      <c r="N21" s="8"/>
      <c r="O21" s="16"/>
      <c r="P21" s="18"/>
    </row>
    <row r="22" spans="1:16" ht="28.5" customHeight="1" x14ac:dyDescent="0.25">
      <c r="A22" s="85">
        <v>19</v>
      </c>
      <c r="B22" s="85">
        <v>9.2909250000000014</v>
      </c>
      <c r="C22" s="85">
        <v>31.505125</v>
      </c>
      <c r="D22" s="85">
        <v>1024.4277999999999</v>
      </c>
      <c r="F22" s="322" t="s">
        <v>141</v>
      </c>
      <c r="G22" s="323"/>
      <c r="H22" s="323"/>
      <c r="I22" s="323"/>
      <c r="J22" s="324"/>
      <c r="K22" s="8"/>
      <c r="L22" s="116" t="s">
        <v>105</v>
      </c>
      <c r="M22" s="117" t="s">
        <v>106</v>
      </c>
      <c r="N22" s="118" t="s">
        <v>86</v>
      </c>
      <c r="O22" s="16"/>
      <c r="P22" s="18"/>
    </row>
    <row r="23" spans="1:16" ht="53.25" customHeight="1" thickBot="1" x14ac:dyDescent="0.3">
      <c r="A23" s="85">
        <v>20</v>
      </c>
      <c r="B23" s="85">
        <v>9.250449999999999</v>
      </c>
      <c r="C23" s="85">
        <v>31.519200000000001</v>
      </c>
      <c r="D23" s="85">
        <v>1024.440875</v>
      </c>
      <c r="F23" s="20"/>
      <c r="G23" s="16"/>
      <c r="H23" s="16"/>
      <c r="I23" s="16"/>
      <c r="J23" s="16"/>
      <c r="K23" s="8"/>
      <c r="L23" s="119" t="s">
        <v>59</v>
      </c>
      <c r="M23" s="19">
        <v>9.8000000000000007</v>
      </c>
      <c r="N23" s="39" t="s">
        <v>60</v>
      </c>
      <c r="O23" s="16"/>
      <c r="P23" s="18"/>
    </row>
    <row r="24" spans="1:16" ht="53.25" customHeight="1" x14ac:dyDescent="0.25">
      <c r="A24" s="85">
        <v>21</v>
      </c>
      <c r="B24" s="85">
        <v>9.2150750000000006</v>
      </c>
      <c r="C24" s="85">
        <v>31.534375000000001</v>
      </c>
      <c r="D24" s="85">
        <v>1024.463375</v>
      </c>
      <c r="F24" s="37" t="s">
        <v>173</v>
      </c>
      <c r="G24" s="16"/>
      <c r="H24" s="16"/>
      <c r="I24" s="307" t="s">
        <v>143</v>
      </c>
      <c r="J24" s="308"/>
      <c r="K24" s="8"/>
      <c r="L24" s="119" t="s">
        <v>201</v>
      </c>
      <c r="M24" s="140">
        <v>1.5277000000000001E-3</v>
      </c>
      <c r="N24" s="39" t="s">
        <v>200</v>
      </c>
      <c r="O24" s="16"/>
      <c r="P24" s="18"/>
    </row>
    <row r="25" spans="1:16" ht="47.25" customHeight="1" thickBot="1" x14ac:dyDescent="0.3">
      <c r="A25" s="85">
        <v>22</v>
      </c>
      <c r="B25" s="85">
        <v>9.1908750000000001</v>
      </c>
      <c r="C25" s="85">
        <v>31.555599999999998</v>
      </c>
      <c r="D25" s="85">
        <v>1024.4864750000002</v>
      </c>
      <c r="F25" s="20"/>
      <c r="G25" s="16"/>
      <c r="H25" s="16"/>
      <c r="I25" s="309"/>
      <c r="J25" s="310"/>
      <c r="K25" s="8"/>
      <c r="L25" s="120" t="s">
        <v>157</v>
      </c>
      <c r="M25" s="115">
        <f>O3</f>
        <v>2655</v>
      </c>
      <c r="N25" s="121" t="s">
        <v>58</v>
      </c>
      <c r="O25" s="16"/>
      <c r="P25" s="18"/>
    </row>
    <row r="26" spans="1:16" ht="47.25" customHeight="1" x14ac:dyDescent="0.25">
      <c r="A26" s="85">
        <v>23</v>
      </c>
      <c r="B26" s="85">
        <v>9.18215</v>
      </c>
      <c r="C26" s="85">
        <v>31.578325000000003</v>
      </c>
      <c r="D26" s="85">
        <v>1024.5124500000002</v>
      </c>
      <c r="F26" s="44" t="s">
        <v>104</v>
      </c>
      <c r="G26" s="45" t="s">
        <v>56</v>
      </c>
      <c r="I26" s="309"/>
      <c r="J26" s="310"/>
      <c r="K26" s="8"/>
      <c r="L26" s="119" t="s">
        <v>158</v>
      </c>
      <c r="M26" s="19">
        <f t="shared" ref="M26:M30" si="4">O4</f>
        <v>2659</v>
      </c>
      <c r="N26" s="39" t="s">
        <v>58</v>
      </c>
      <c r="O26" s="16"/>
      <c r="P26" s="18"/>
    </row>
    <row r="27" spans="1:16" ht="47.25" customHeight="1" x14ac:dyDescent="0.25">
      <c r="A27" s="85">
        <v>24</v>
      </c>
      <c r="B27" s="85">
        <v>9.1777249999999988</v>
      </c>
      <c r="C27" s="85">
        <v>31.588325000000001</v>
      </c>
      <c r="D27" s="85">
        <v>1024.527075</v>
      </c>
      <c r="F27" s="20" t="s">
        <v>90</v>
      </c>
      <c r="G27" s="139">
        <f>(($M$23*($N15^2))*($M25-$G$21))/(18*$M$24)</f>
        <v>2.6073303088437531E-2</v>
      </c>
      <c r="I27" s="309"/>
      <c r="J27" s="310"/>
      <c r="K27" s="8"/>
      <c r="L27" s="119" t="s">
        <v>159</v>
      </c>
      <c r="M27" s="19">
        <f t="shared" si="4"/>
        <v>2659</v>
      </c>
      <c r="N27" s="39" t="s">
        <v>58</v>
      </c>
      <c r="O27" s="23"/>
      <c r="P27" s="18"/>
    </row>
    <row r="28" spans="1:16" ht="47.25" customHeight="1" x14ac:dyDescent="0.25">
      <c r="A28" s="85">
        <v>25</v>
      </c>
      <c r="B28" s="85">
        <v>9.1739250000000006</v>
      </c>
      <c r="C28" s="85">
        <v>31.606625000000001</v>
      </c>
      <c r="D28" s="85">
        <v>1024.5473000000002</v>
      </c>
      <c r="F28" s="20" t="s">
        <v>89</v>
      </c>
      <c r="G28" s="139">
        <f>(($M$23*($N16^2))*($M26-$G$21))/(18*$M$24)</f>
        <v>1.47022717383098E-2</v>
      </c>
      <c r="I28" s="309"/>
      <c r="J28" s="310"/>
      <c r="K28" s="8"/>
      <c r="L28" s="119" t="s">
        <v>160</v>
      </c>
      <c r="M28" s="19">
        <f t="shared" si="4"/>
        <v>2798</v>
      </c>
      <c r="N28" s="39" t="s">
        <v>58</v>
      </c>
      <c r="O28" s="24"/>
      <c r="P28" s="18"/>
    </row>
    <row r="29" spans="1:16" ht="47.25" customHeight="1" x14ac:dyDescent="0.25">
      <c r="A29" s="85">
        <v>26</v>
      </c>
      <c r="B29" s="85">
        <v>9.1657499999999992</v>
      </c>
      <c r="C29" s="85">
        <v>31.614799999999999</v>
      </c>
      <c r="D29" s="85">
        <v>1024.56005</v>
      </c>
      <c r="F29" s="20" t="s">
        <v>91</v>
      </c>
      <c r="G29" s="139">
        <f t="shared" ref="G29:G32" si="5">(($M$23*($N17^2))*($M27-$G$21))/(18*$M$24)</f>
        <v>4.1524423788404947E-3</v>
      </c>
      <c r="I29" s="309"/>
      <c r="J29" s="310"/>
      <c r="K29" s="8"/>
      <c r="L29" s="119" t="s">
        <v>161</v>
      </c>
      <c r="M29" s="19">
        <f t="shared" si="4"/>
        <v>2798</v>
      </c>
      <c r="N29" s="39" t="s">
        <v>58</v>
      </c>
      <c r="O29" s="16"/>
      <c r="P29" s="18"/>
    </row>
    <row r="30" spans="1:16" ht="34.5" customHeight="1" thickBot="1" x14ac:dyDescent="0.3">
      <c r="A30" s="85">
        <v>27</v>
      </c>
      <c r="B30" s="85">
        <v>9.1517250000000008</v>
      </c>
      <c r="C30" s="85">
        <v>31.625774999999997</v>
      </c>
      <c r="D30" s="85">
        <v>1024.5744</v>
      </c>
      <c r="F30" s="20" t="s">
        <v>92</v>
      </c>
      <c r="G30" s="139">
        <f t="shared" si="5"/>
        <v>1.8402621365035483E-3</v>
      </c>
      <c r="I30" s="311"/>
      <c r="J30" s="312"/>
      <c r="K30" s="8"/>
      <c r="L30" s="122" t="s">
        <v>162</v>
      </c>
      <c r="M30" s="114">
        <f t="shared" si="4"/>
        <v>2798</v>
      </c>
      <c r="N30" s="123" t="s">
        <v>58</v>
      </c>
      <c r="O30" s="16"/>
      <c r="P30" s="18"/>
    </row>
    <row r="31" spans="1:16" ht="35.25" customHeight="1" x14ac:dyDescent="0.25">
      <c r="A31" s="85">
        <v>28</v>
      </c>
      <c r="B31" s="85">
        <v>9.1189000000000018</v>
      </c>
      <c r="C31" s="85">
        <v>31.648274999999998</v>
      </c>
      <c r="D31" s="85">
        <v>1024.5975249999999</v>
      </c>
      <c r="F31" s="20" t="s">
        <v>94</v>
      </c>
      <c r="G31" s="139">
        <f t="shared" si="5"/>
        <v>6.6659015146840618E-4</v>
      </c>
      <c r="I31" s="8"/>
      <c r="J31" s="8"/>
      <c r="K31" s="8"/>
      <c r="L31" s="119" t="s">
        <v>163</v>
      </c>
      <c r="M31" s="16">
        <f>$M$23*(($M25-$G$21)/$G$21)</f>
        <v>15.530743871431245</v>
      </c>
      <c r="N31" s="124"/>
      <c r="O31" s="16"/>
      <c r="P31" s="18"/>
    </row>
    <row r="32" spans="1:16" ht="17.25" customHeight="1" thickBot="1" x14ac:dyDescent="0.3">
      <c r="A32" s="85">
        <v>29</v>
      </c>
      <c r="B32" s="85">
        <v>9.0757750000000001</v>
      </c>
      <c r="C32" s="85">
        <v>31.67595</v>
      </c>
      <c r="D32" s="85">
        <v>1024.6294000000003</v>
      </c>
      <c r="F32" s="38" t="s">
        <v>93</v>
      </c>
      <c r="G32" s="145">
        <f t="shared" si="5"/>
        <v>2.5243650706495858E-4</v>
      </c>
      <c r="I32" s="8"/>
      <c r="J32" s="8"/>
      <c r="K32" s="8"/>
      <c r="L32" s="119" t="s">
        <v>108</v>
      </c>
      <c r="M32" s="16">
        <f t="shared" ref="M32:M36" si="6">$M$23*(($M26-$G$21)/$G$21)</f>
        <v>15.568906950710238</v>
      </c>
      <c r="N32" s="39"/>
      <c r="O32" s="16"/>
      <c r="P32" s="18"/>
    </row>
    <row r="33" spans="1:16" ht="17.25" customHeight="1" x14ac:dyDescent="0.25">
      <c r="A33" s="85">
        <v>30</v>
      </c>
      <c r="B33" s="85">
        <v>9.0631749999999993</v>
      </c>
      <c r="C33" s="85">
        <v>31.685599999999997</v>
      </c>
      <c r="D33" s="85">
        <v>1024.64975</v>
      </c>
      <c r="F33" s="41"/>
      <c r="G33" s="8"/>
      <c r="H33" s="8"/>
      <c r="I33" s="8"/>
      <c r="J33" s="8"/>
      <c r="K33" s="8"/>
      <c r="L33" s="119" t="s">
        <v>109</v>
      </c>
      <c r="M33" s="16">
        <f t="shared" si="6"/>
        <v>15.568906950710238</v>
      </c>
      <c r="N33" s="39"/>
      <c r="O33" s="16"/>
      <c r="P33" s="18"/>
    </row>
    <row r="34" spans="1:16" ht="17.25" customHeight="1" x14ac:dyDescent="0.25">
      <c r="A34" s="85">
        <v>31</v>
      </c>
      <c r="B34" s="85">
        <v>9.0272250000000014</v>
      </c>
      <c r="C34" s="85">
        <v>31.72195</v>
      </c>
      <c r="D34" s="85">
        <v>1024.6849000000002</v>
      </c>
      <c r="F34" s="41"/>
      <c r="G34" s="8"/>
      <c r="H34" s="8"/>
      <c r="I34" s="8"/>
      <c r="J34" s="8"/>
      <c r="K34" s="8"/>
      <c r="L34" s="119" t="s">
        <v>110</v>
      </c>
      <c r="M34" s="16">
        <f t="shared" si="6"/>
        <v>16.895073955655224</v>
      </c>
      <c r="N34" s="124"/>
      <c r="O34" s="8"/>
      <c r="P34" s="55"/>
    </row>
    <row r="35" spans="1:16" ht="17.25" customHeight="1" x14ac:dyDescent="0.25">
      <c r="A35" s="85">
        <v>32</v>
      </c>
      <c r="B35" s="85">
        <v>9.0184750000000005</v>
      </c>
      <c r="C35" s="85">
        <v>31.734725000000001</v>
      </c>
      <c r="D35" s="85">
        <v>1024.7055249999999</v>
      </c>
      <c r="F35" s="41"/>
      <c r="G35" s="8"/>
      <c r="H35" s="8"/>
      <c r="I35" s="8"/>
      <c r="J35" s="8"/>
      <c r="K35" s="8"/>
      <c r="L35" s="119" t="s">
        <v>111</v>
      </c>
      <c r="M35" s="16">
        <f t="shared" si="6"/>
        <v>16.895073955655224</v>
      </c>
      <c r="N35" s="124"/>
      <c r="O35" s="8"/>
      <c r="P35" s="55"/>
    </row>
    <row r="36" spans="1:16" ht="17.25" customHeight="1" x14ac:dyDescent="0.25">
      <c r="A36" s="85">
        <v>33</v>
      </c>
      <c r="B36" s="85">
        <v>9.0099249999999991</v>
      </c>
      <c r="C36" s="85">
        <v>31.737850000000002</v>
      </c>
      <c r="D36" s="85">
        <v>1024.7143000000001</v>
      </c>
      <c r="F36" s="41"/>
      <c r="G36" s="8"/>
      <c r="H36" s="8"/>
      <c r="I36" s="8"/>
      <c r="J36" s="8"/>
      <c r="K36" s="8"/>
      <c r="L36" s="122" t="s">
        <v>112</v>
      </c>
      <c r="M36" s="26">
        <f t="shared" si="6"/>
        <v>16.895073955655224</v>
      </c>
      <c r="N36" s="125"/>
      <c r="O36" s="8"/>
      <c r="P36" s="55"/>
    </row>
    <row r="37" spans="1:16" ht="15" customHeight="1" thickBot="1" x14ac:dyDescent="0.3">
      <c r="A37" s="85">
        <v>34</v>
      </c>
      <c r="B37" s="85">
        <v>8.9885999999999999</v>
      </c>
      <c r="C37" s="85">
        <v>31.739049999999999</v>
      </c>
      <c r="D37" s="85">
        <v>1024.723225</v>
      </c>
      <c r="F37" s="41"/>
      <c r="G37" s="8"/>
      <c r="H37" s="8"/>
      <c r="I37" s="8"/>
      <c r="J37" s="8"/>
      <c r="K37" s="8"/>
      <c r="L37" s="8"/>
      <c r="M37" s="8"/>
      <c r="N37" s="8"/>
      <c r="O37" s="8"/>
      <c r="P37" s="55"/>
    </row>
    <row r="38" spans="1:16" ht="30" x14ac:dyDescent="0.25">
      <c r="A38" s="85">
        <v>35</v>
      </c>
      <c r="B38" s="85">
        <v>8.9362250000000003</v>
      </c>
      <c r="C38" s="85">
        <v>31.735275000000001</v>
      </c>
      <c r="D38" s="85">
        <v>1024.7300500000001</v>
      </c>
      <c r="F38" s="44" t="s">
        <v>114</v>
      </c>
      <c r="G38" s="45" t="s">
        <v>174</v>
      </c>
      <c r="H38" s="46" t="s">
        <v>61</v>
      </c>
      <c r="I38" s="45" t="s">
        <v>175</v>
      </c>
      <c r="J38" s="46" t="s">
        <v>61</v>
      </c>
      <c r="K38" s="129"/>
      <c r="L38" s="45" t="s">
        <v>116</v>
      </c>
      <c r="M38" s="45" t="s">
        <v>174</v>
      </c>
      <c r="N38" s="46" t="s">
        <v>61</v>
      </c>
      <c r="O38" s="45" t="s">
        <v>175</v>
      </c>
      <c r="P38" s="47" t="s">
        <v>61</v>
      </c>
    </row>
    <row r="39" spans="1:16" x14ac:dyDescent="0.25">
      <c r="A39" s="85">
        <v>36</v>
      </c>
      <c r="B39" s="85">
        <v>8.8777749999999997</v>
      </c>
      <c r="C39" s="85">
        <v>31.750999999999998</v>
      </c>
      <c r="D39" s="85">
        <v>1024.7560249999999</v>
      </c>
      <c r="F39" s="20" t="s">
        <v>90</v>
      </c>
      <c r="G39" s="138">
        <f>10*($I$19/$G27)</f>
        <v>46.02408816135582</v>
      </c>
      <c r="H39" s="162">
        <f>G39/1000</f>
        <v>4.6024088161355822E-2</v>
      </c>
      <c r="I39" s="158">
        <f>10*($I$20/$G27)</f>
        <v>23.01204408067791</v>
      </c>
      <c r="J39" s="162">
        <f>I39/1000</f>
        <v>2.3012044080677911E-2</v>
      </c>
      <c r="K39" s="163"/>
      <c r="L39" s="158" t="s">
        <v>90</v>
      </c>
      <c r="M39" s="138">
        <f>5*($I$19/$G27)</f>
        <v>23.01204408067791</v>
      </c>
      <c r="N39" s="162">
        <f>M39/1000</f>
        <v>2.3012044080677911E-2</v>
      </c>
      <c r="O39" s="158">
        <f>5*($I$20/$G27)</f>
        <v>11.506022040338955</v>
      </c>
      <c r="P39" s="164">
        <f>O39/1000</f>
        <v>1.1506022040338956E-2</v>
      </c>
    </row>
    <row r="40" spans="1:16" x14ac:dyDescent="0.25">
      <c r="A40" s="85">
        <v>37</v>
      </c>
      <c r="B40" s="85">
        <v>8.8330749999999991</v>
      </c>
      <c r="C40" s="85">
        <v>31.768975000000001</v>
      </c>
      <c r="D40" s="85">
        <v>1024.7818499999998</v>
      </c>
      <c r="F40" s="20" t="s">
        <v>89</v>
      </c>
      <c r="G40" s="138">
        <f t="shared" ref="G40:G44" si="7">10*($I$19/$G28)</f>
        <v>81.620039498600235</v>
      </c>
      <c r="H40" s="162">
        <f t="shared" ref="H40:H44" si="8">G40/1000</f>
        <v>8.1620039498600236E-2</v>
      </c>
      <c r="I40" s="158">
        <f t="shared" ref="I40:I44" si="9">10*($I$20/$G28)</f>
        <v>40.810019749300118</v>
      </c>
      <c r="J40" s="162">
        <f t="shared" ref="J40:J44" si="10">I40/1000</f>
        <v>4.0810019749300118E-2</v>
      </c>
      <c r="K40" s="163"/>
      <c r="L40" s="158" t="s">
        <v>89</v>
      </c>
      <c r="M40" s="138">
        <f t="shared" ref="M40:M44" si="11">5*($I$19/$G28)</f>
        <v>40.810019749300118</v>
      </c>
      <c r="N40" s="162">
        <f t="shared" ref="N40:N44" si="12">M40/1000</f>
        <v>4.0810019749300118E-2</v>
      </c>
      <c r="O40" s="158">
        <f t="shared" ref="O40:O44" si="13">5*($I$20/$G28)</f>
        <v>20.405009874650059</v>
      </c>
      <c r="P40" s="164">
        <f t="shared" ref="P40:P44" si="14">O40/1000</f>
        <v>2.0405009874650059E-2</v>
      </c>
    </row>
    <row r="41" spans="1:16" x14ac:dyDescent="0.25">
      <c r="A41" s="85">
        <v>38</v>
      </c>
      <c r="B41" s="85">
        <v>8.8238500000000002</v>
      </c>
      <c r="C41" s="85">
        <v>31.770825000000002</v>
      </c>
      <c r="D41" s="85">
        <v>1024.7907</v>
      </c>
      <c r="F41" s="20" t="s">
        <v>91</v>
      </c>
      <c r="G41" s="138">
        <f t="shared" si="7"/>
        <v>288.98655068997766</v>
      </c>
      <c r="H41" s="162">
        <f t="shared" si="8"/>
        <v>0.28898655068997764</v>
      </c>
      <c r="I41" s="158">
        <f t="shared" si="9"/>
        <v>144.49327534498883</v>
      </c>
      <c r="J41" s="162">
        <f t="shared" si="10"/>
        <v>0.14449327534498882</v>
      </c>
      <c r="K41" s="163"/>
      <c r="L41" s="158" t="s">
        <v>91</v>
      </c>
      <c r="M41" s="138">
        <f t="shared" si="11"/>
        <v>144.49327534498883</v>
      </c>
      <c r="N41" s="162">
        <f t="shared" si="12"/>
        <v>0.14449327534498882</v>
      </c>
      <c r="O41" s="158">
        <f t="shared" si="13"/>
        <v>72.246637672494415</v>
      </c>
      <c r="P41" s="164">
        <f t="shared" si="14"/>
        <v>7.224663767249441E-2</v>
      </c>
    </row>
    <row r="42" spans="1:16" x14ac:dyDescent="0.25">
      <c r="A42" s="85">
        <v>39</v>
      </c>
      <c r="B42" s="85">
        <v>8.8106749999999998</v>
      </c>
      <c r="C42" s="85">
        <v>31.774999999999999</v>
      </c>
      <c r="D42" s="85">
        <v>1024.8015500000001</v>
      </c>
      <c r="F42" s="20" t="s">
        <v>92</v>
      </c>
      <c r="G42" s="138">
        <f t="shared" si="7"/>
        <v>652.08101400160831</v>
      </c>
      <c r="H42" s="162">
        <f t="shared" si="8"/>
        <v>0.65208101400160834</v>
      </c>
      <c r="I42" s="158">
        <f t="shared" si="9"/>
        <v>326.04050700080415</v>
      </c>
      <c r="J42" s="162">
        <f t="shared" si="10"/>
        <v>0.32604050700080417</v>
      </c>
      <c r="K42" s="163"/>
      <c r="L42" s="158" t="s">
        <v>92</v>
      </c>
      <c r="M42" s="138">
        <f t="shared" si="11"/>
        <v>326.04050700080415</v>
      </c>
      <c r="N42" s="162">
        <f t="shared" si="12"/>
        <v>0.32604050700080417</v>
      </c>
      <c r="O42" s="158">
        <f t="shared" si="13"/>
        <v>163.02025350040208</v>
      </c>
      <c r="P42" s="164">
        <f t="shared" si="14"/>
        <v>0.16302025350040208</v>
      </c>
    </row>
    <row r="43" spans="1:16" x14ac:dyDescent="0.25">
      <c r="A43" s="85">
        <v>40</v>
      </c>
      <c r="B43" s="85">
        <v>8.7946749999999998</v>
      </c>
      <c r="C43" s="85">
        <v>31.778700000000001</v>
      </c>
      <c r="D43" s="85">
        <v>1024.8110750000001</v>
      </c>
      <c r="F43" s="20" t="s">
        <v>94</v>
      </c>
      <c r="G43" s="138">
        <f t="shared" si="7"/>
        <v>1800.2066147490561</v>
      </c>
      <c r="H43" s="162">
        <f t="shared" si="8"/>
        <v>1.8002066147490561</v>
      </c>
      <c r="I43" s="158">
        <f t="shared" si="9"/>
        <v>900.10330737452807</v>
      </c>
      <c r="J43" s="162">
        <f t="shared" si="10"/>
        <v>0.90010330737452804</v>
      </c>
      <c r="K43" s="163"/>
      <c r="L43" s="158" t="s">
        <v>94</v>
      </c>
      <c r="M43" s="138">
        <f t="shared" si="11"/>
        <v>900.10330737452807</v>
      </c>
      <c r="N43" s="162">
        <f t="shared" si="12"/>
        <v>0.90010330737452804</v>
      </c>
      <c r="O43" s="158">
        <f t="shared" si="13"/>
        <v>450.05165368726404</v>
      </c>
      <c r="P43" s="164">
        <f t="shared" si="14"/>
        <v>0.45005165368726402</v>
      </c>
    </row>
    <row r="44" spans="1:16" x14ac:dyDescent="0.25">
      <c r="A44" s="85">
        <v>41</v>
      </c>
      <c r="B44" s="85">
        <v>8.7884499999999992</v>
      </c>
      <c r="C44" s="85">
        <v>31.777999999999999</v>
      </c>
      <c r="D44" s="85">
        <v>1024.817225</v>
      </c>
      <c r="F44" s="37" t="s">
        <v>93</v>
      </c>
      <c r="G44" s="138">
        <f t="shared" si="7"/>
        <v>4753.670592071725</v>
      </c>
      <c r="H44" s="162">
        <f t="shared" si="8"/>
        <v>4.7536705920717246</v>
      </c>
      <c r="I44" s="158">
        <f t="shared" si="9"/>
        <v>2376.8352960358625</v>
      </c>
      <c r="J44" s="162">
        <f t="shared" si="10"/>
        <v>2.3768352960358623</v>
      </c>
      <c r="K44" s="163"/>
      <c r="L44" s="165" t="s">
        <v>93</v>
      </c>
      <c r="M44" s="138">
        <f t="shared" si="11"/>
        <v>2376.8352960358625</v>
      </c>
      <c r="N44" s="162">
        <f t="shared" si="12"/>
        <v>2.3768352960358623</v>
      </c>
      <c r="O44" s="158">
        <f t="shared" si="13"/>
        <v>1188.4176480179312</v>
      </c>
      <c r="P44" s="164">
        <f t="shared" si="14"/>
        <v>1.1884176480179311</v>
      </c>
    </row>
    <row r="45" spans="1:16" ht="15.75" thickBot="1" x14ac:dyDescent="0.3">
      <c r="A45" s="85">
        <v>42</v>
      </c>
      <c r="B45" s="85">
        <v>8.7750500000000002</v>
      </c>
      <c r="C45" s="85">
        <v>31.780775000000002</v>
      </c>
      <c r="D45" s="85">
        <v>1024.824975</v>
      </c>
      <c r="F45" s="130"/>
      <c r="G45" s="159"/>
      <c r="H45" s="159"/>
      <c r="I45" s="159"/>
      <c r="J45" s="159"/>
      <c r="K45" s="163"/>
      <c r="L45" s="159"/>
      <c r="M45" s="159"/>
      <c r="N45" s="159"/>
      <c r="O45" s="159"/>
      <c r="P45" s="166"/>
    </row>
    <row r="46" spans="1:16" ht="30" x14ac:dyDescent="0.25">
      <c r="A46" s="85">
        <v>43</v>
      </c>
      <c r="B46" s="85">
        <v>8.7685999999999993</v>
      </c>
      <c r="C46" s="85">
        <v>31.782674999999998</v>
      </c>
      <c r="D46" s="85">
        <v>1024.8329249999999</v>
      </c>
      <c r="F46" s="42" t="s">
        <v>115</v>
      </c>
      <c r="G46" s="160" t="s">
        <v>174</v>
      </c>
      <c r="H46" s="167" t="s">
        <v>61</v>
      </c>
      <c r="I46" s="160" t="s">
        <v>175</v>
      </c>
      <c r="J46" s="167" t="s">
        <v>61</v>
      </c>
      <c r="K46" s="168"/>
      <c r="L46" s="169" t="s">
        <v>117</v>
      </c>
      <c r="M46" s="160" t="s">
        <v>174</v>
      </c>
      <c r="N46" s="167" t="s">
        <v>61</v>
      </c>
      <c r="O46" s="160" t="s">
        <v>175</v>
      </c>
      <c r="P46" s="170" t="s">
        <v>61</v>
      </c>
    </row>
    <row r="47" spans="1:16" x14ac:dyDescent="0.25">
      <c r="A47" s="85">
        <v>44</v>
      </c>
      <c r="B47" s="85">
        <v>8.7626999999999988</v>
      </c>
      <c r="C47" s="85">
        <v>31.78415</v>
      </c>
      <c r="D47" s="85">
        <v>1024.8391750000001</v>
      </c>
      <c r="F47" s="20" t="s">
        <v>90</v>
      </c>
      <c r="G47" s="138">
        <f>20*($I$19/$G27)</f>
        <v>92.04817632271164</v>
      </c>
      <c r="H47" s="162">
        <f>G47/1000</f>
        <v>9.2048176322711645E-2</v>
      </c>
      <c r="I47" s="158">
        <f>20*($I$20/$G27)</f>
        <v>46.02408816135582</v>
      </c>
      <c r="J47" s="162">
        <f>I47/1000</f>
        <v>4.6024088161355822E-2</v>
      </c>
      <c r="K47" s="163"/>
      <c r="L47" s="158" t="s">
        <v>90</v>
      </c>
      <c r="M47" s="138">
        <f>1*($I$19/$G27)</f>
        <v>4.6024088161355818</v>
      </c>
      <c r="N47" s="162">
        <f>M47/1000</f>
        <v>4.6024088161355815E-3</v>
      </c>
      <c r="O47" s="158">
        <f>1*($I$20/$G27)</f>
        <v>2.3012044080677909</v>
      </c>
      <c r="P47" s="164">
        <f>O47/1000</f>
        <v>2.3012044080677908E-3</v>
      </c>
    </row>
    <row r="48" spans="1:16" x14ac:dyDescent="0.25">
      <c r="A48" s="85">
        <v>45</v>
      </c>
      <c r="B48" s="85">
        <v>8.7555999999999994</v>
      </c>
      <c r="C48" s="85">
        <v>31.786349999999999</v>
      </c>
      <c r="D48" s="85">
        <v>1024.846425</v>
      </c>
      <c r="F48" s="20" t="s">
        <v>89</v>
      </c>
      <c r="G48" s="138">
        <f t="shared" ref="G48:G52" si="15">20*($I$19/$G28)</f>
        <v>163.24007899720047</v>
      </c>
      <c r="H48" s="162">
        <f t="shared" ref="H48:H52" si="16">G48/1000</f>
        <v>0.16324007899720047</v>
      </c>
      <c r="I48" s="158">
        <f t="shared" ref="I48:I52" si="17">20*($I$20/$G28)</f>
        <v>81.620039498600235</v>
      </c>
      <c r="J48" s="162">
        <f t="shared" ref="J48:J52" si="18">I48/1000</f>
        <v>8.1620039498600236E-2</v>
      </c>
      <c r="K48" s="163"/>
      <c r="L48" s="158" t="s">
        <v>89</v>
      </c>
      <c r="M48" s="138">
        <f t="shared" ref="M48:M52" si="19">1*($I$19/$G28)</f>
        <v>8.1620039498600239</v>
      </c>
      <c r="N48" s="162">
        <f t="shared" ref="N48:N52" si="20">M48/1000</f>
        <v>8.1620039498600232E-3</v>
      </c>
      <c r="O48" s="158">
        <f t="shared" ref="O48:O52" si="21">1*($I$20/$G28)</f>
        <v>4.0810019749300119</v>
      </c>
      <c r="P48" s="164">
        <f t="shared" ref="P48:P52" si="22">O48/1000</f>
        <v>4.0810019749300116E-3</v>
      </c>
    </row>
    <row r="49" spans="1:16" x14ac:dyDescent="0.25">
      <c r="A49" s="85">
        <v>46</v>
      </c>
      <c r="B49" s="85">
        <v>8.745825</v>
      </c>
      <c r="C49" s="85">
        <v>31.787499999999998</v>
      </c>
      <c r="D49" s="85">
        <v>1024.854225</v>
      </c>
      <c r="F49" s="20" t="s">
        <v>91</v>
      </c>
      <c r="G49" s="138">
        <f t="shared" si="15"/>
        <v>577.97310137995532</v>
      </c>
      <c r="H49" s="162">
        <f t="shared" si="16"/>
        <v>0.57797310137995528</v>
      </c>
      <c r="I49" s="158">
        <f t="shared" si="17"/>
        <v>288.98655068997766</v>
      </c>
      <c r="J49" s="162">
        <f t="shared" si="18"/>
        <v>0.28898655068997764</v>
      </c>
      <c r="K49" s="163"/>
      <c r="L49" s="158" t="s">
        <v>91</v>
      </c>
      <c r="M49" s="138">
        <f t="shared" si="19"/>
        <v>28.898655068997765</v>
      </c>
      <c r="N49" s="162">
        <f t="shared" si="20"/>
        <v>2.8898655068997765E-2</v>
      </c>
      <c r="O49" s="158">
        <f t="shared" si="21"/>
        <v>14.449327534498883</v>
      </c>
      <c r="P49" s="164">
        <f t="shared" si="22"/>
        <v>1.4449327534498882E-2</v>
      </c>
    </row>
    <row r="50" spans="1:16" x14ac:dyDescent="0.25">
      <c r="A50" s="85">
        <v>47</v>
      </c>
      <c r="B50" s="85">
        <v>8.7271000000000001</v>
      </c>
      <c r="C50" s="85">
        <v>31.783500000000004</v>
      </c>
      <c r="D50" s="85">
        <v>1024.8581000000001</v>
      </c>
      <c r="F50" s="20" t="s">
        <v>92</v>
      </c>
      <c r="G50" s="138">
        <f t="shared" si="15"/>
        <v>1304.1620280032166</v>
      </c>
      <c r="H50" s="162">
        <f t="shared" si="16"/>
        <v>1.3041620280032167</v>
      </c>
      <c r="I50" s="158">
        <f t="shared" si="17"/>
        <v>652.08101400160831</v>
      </c>
      <c r="J50" s="162">
        <f t="shared" si="18"/>
        <v>0.65208101400160834</v>
      </c>
      <c r="K50" s="163"/>
      <c r="L50" s="158" t="s">
        <v>92</v>
      </c>
      <c r="M50" s="138">
        <f t="shared" si="19"/>
        <v>65.208101400160828</v>
      </c>
      <c r="N50" s="162">
        <f t="shared" si="20"/>
        <v>6.5208101400160826E-2</v>
      </c>
      <c r="O50" s="158">
        <f t="shared" si="21"/>
        <v>32.604050700080414</v>
      </c>
      <c r="P50" s="164">
        <f t="shared" si="22"/>
        <v>3.2604050700080413E-2</v>
      </c>
    </row>
    <row r="51" spans="1:16" x14ac:dyDescent="0.25">
      <c r="A51" s="85">
        <v>48</v>
      </c>
      <c r="B51" s="85">
        <v>8.7012500000000017</v>
      </c>
      <c r="C51" s="85">
        <v>31.786224999999998</v>
      </c>
      <c r="D51" s="85">
        <v>1024.8680750000001</v>
      </c>
      <c r="F51" s="20" t="s">
        <v>94</v>
      </c>
      <c r="G51" s="138">
        <f t="shared" si="15"/>
        <v>3600.4132294981123</v>
      </c>
      <c r="H51" s="162">
        <f t="shared" si="16"/>
        <v>3.6004132294981122</v>
      </c>
      <c r="I51" s="158">
        <f t="shared" si="17"/>
        <v>1800.2066147490561</v>
      </c>
      <c r="J51" s="162">
        <f t="shared" si="18"/>
        <v>1.8002066147490561</v>
      </c>
      <c r="K51" s="163"/>
      <c r="L51" s="158" t="s">
        <v>94</v>
      </c>
      <c r="M51" s="138">
        <f t="shared" si="19"/>
        <v>180.02066147490561</v>
      </c>
      <c r="N51" s="162">
        <f t="shared" si="20"/>
        <v>0.18002066147490561</v>
      </c>
      <c r="O51" s="158">
        <f t="shared" si="21"/>
        <v>90.010330737452804</v>
      </c>
      <c r="P51" s="164">
        <f t="shared" si="22"/>
        <v>9.0010330737452807E-2</v>
      </c>
    </row>
    <row r="52" spans="1:16" ht="15.75" thickBot="1" x14ac:dyDescent="0.3">
      <c r="A52" s="85">
        <v>49</v>
      </c>
      <c r="B52" s="85">
        <v>8.6770750000000003</v>
      </c>
      <c r="C52" s="85">
        <v>31.789099999999998</v>
      </c>
      <c r="D52" s="85">
        <v>1024.877225</v>
      </c>
      <c r="F52" s="38" t="s">
        <v>93</v>
      </c>
      <c r="G52" s="141">
        <f t="shared" si="15"/>
        <v>9507.3411841434499</v>
      </c>
      <c r="H52" s="171">
        <f t="shared" si="16"/>
        <v>9.5073411841434492</v>
      </c>
      <c r="I52" s="161">
        <f t="shared" si="17"/>
        <v>4753.670592071725</v>
      </c>
      <c r="J52" s="171">
        <f t="shared" si="18"/>
        <v>4.7536705920717246</v>
      </c>
      <c r="K52" s="172"/>
      <c r="L52" s="173" t="s">
        <v>93</v>
      </c>
      <c r="M52" s="141">
        <f t="shared" si="19"/>
        <v>475.36705920717253</v>
      </c>
      <c r="N52" s="171">
        <f t="shared" si="20"/>
        <v>0.47536705920717254</v>
      </c>
      <c r="O52" s="161">
        <f t="shared" si="21"/>
        <v>237.68352960358627</v>
      </c>
      <c r="P52" s="174">
        <f t="shared" si="22"/>
        <v>0.23768352960358627</v>
      </c>
    </row>
    <row r="53" spans="1:16" x14ac:dyDescent="0.25">
      <c r="A53" s="85">
        <v>50</v>
      </c>
      <c r="B53" s="85">
        <v>8.6547750000000008</v>
      </c>
      <c r="C53" s="85">
        <v>31.792400000000001</v>
      </c>
      <c r="D53" s="85">
        <v>1024.889175</v>
      </c>
    </row>
    <row r="54" spans="1:16" x14ac:dyDescent="0.25">
      <c r="A54" s="85">
        <v>51</v>
      </c>
      <c r="B54" s="85">
        <v>8.6329750000000001</v>
      </c>
      <c r="C54" s="85">
        <v>31.7959</v>
      </c>
      <c r="D54" s="85">
        <v>1024.8991999999998</v>
      </c>
    </row>
    <row r="55" spans="1:16" x14ac:dyDescent="0.25">
      <c r="A55" s="85">
        <v>52</v>
      </c>
      <c r="B55" s="85">
        <v>8.6117249999999999</v>
      </c>
      <c r="C55" s="85">
        <v>31.79945</v>
      </c>
      <c r="D55" s="85">
        <v>1024.9097750000001</v>
      </c>
    </row>
    <row r="56" spans="1:16" x14ac:dyDescent="0.25">
      <c r="A56" s="85">
        <v>53</v>
      </c>
      <c r="B56" s="85">
        <v>8.5919749999999997</v>
      </c>
      <c r="C56" s="85">
        <v>31.804175000000001</v>
      </c>
      <c r="D56" s="85">
        <v>1024.9201</v>
      </c>
    </row>
    <row r="57" spans="1:16" x14ac:dyDescent="0.25">
      <c r="A57" s="85">
        <v>54</v>
      </c>
      <c r="B57" s="85">
        <v>8.5723500000000001</v>
      </c>
      <c r="C57" s="85">
        <v>31.804175000000001</v>
      </c>
      <c r="D57" s="85">
        <v>1024.9309499999999</v>
      </c>
    </row>
    <row r="58" spans="1:16" x14ac:dyDescent="0.25">
      <c r="A58" s="85">
        <v>55</v>
      </c>
      <c r="B58" s="85">
        <v>8.5228499999999983</v>
      </c>
      <c r="C58" s="85">
        <v>31.7972</v>
      </c>
      <c r="D58" s="85">
        <v>1024.9331500000001</v>
      </c>
    </row>
    <row r="59" spans="1:16" x14ac:dyDescent="0.25">
      <c r="A59" s="85">
        <v>56</v>
      </c>
      <c r="B59" s="85">
        <v>8.464224999999999</v>
      </c>
      <c r="C59" s="85">
        <v>31.816224999999999</v>
      </c>
      <c r="D59" s="85">
        <v>1024.959325</v>
      </c>
    </row>
    <row r="60" spans="1:16" x14ac:dyDescent="0.25">
      <c r="A60" s="85">
        <v>57</v>
      </c>
      <c r="B60" s="85">
        <v>8.4234249999999999</v>
      </c>
      <c r="C60" s="85">
        <v>31.827424999999998</v>
      </c>
      <c r="D60" s="85">
        <v>1024.9801499999999</v>
      </c>
    </row>
    <row r="61" spans="1:16" x14ac:dyDescent="0.25">
      <c r="A61" s="85">
        <v>58</v>
      </c>
      <c r="B61" s="85">
        <v>8.3859499999999993</v>
      </c>
      <c r="C61" s="85">
        <v>31.838224999999998</v>
      </c>
      <c r="D61" s="85">
        <v>1024.999</v>
      </c>
    </row>
    <row r="62" spans="1:16" x14ac:dyDescent="0.25">
      <c r="A62" s="85">
        <v>59</v>
      </c>
      <c r="B62" s="85">
        <v>8.3526249999999997</v>
      </c>
      <c r="C62" s="85">
        <v>31.850425000000001</v>
      </c>
      <c r="D62" s="85">
        <v>1025.0179499999999</v>
      </c>
    </row>
    <row r="63" spans="1:16" x14ac:dyDescent="0.25">
      <c r="A63" s="85">
        <v>60</v>
      </c>
      <c r="B63" s="85">
        <v>8.3316249999999989</v>
      </c>
      <c r="C63" s="85">
        <v>31.860174999999998</v>
      </c>
      <c r="D63" s="85">
        <v>1025.035725</v>
      </c>
    </row>
    <row r="64" spans="1:16" x14ac:dyDescent="0.25">
      <c r="A64" s="85">
        <v>61</v>
      </c>
      <c r="B64" s="85">
        <v>8.3093749999999993</v>
      </c>
      <c r="C64" s="85">
        <v>31.867875000000002</v>
      </c>
      <c r="D64" s="85">
        <v>1025.048225</v>
      </c>
    </row>
    <row r="65" spans="1:4" x14ac:dyDescent="0.25">
      <c r="A65" s="85">
        <v>62</v>
      </c>
      <c r="B65" s="85">
        <v>8.2837250000000004</v>
      </c>
      <c r="C65" s="85">
        <v>31.877024999999996</v>
      </c>
      <c r="D65" s="85">
        <v>1025.0628749999998</v>
      </c>
    </row>
    <row r="66" spans="1:4" x14ac:dyDescent="0.25">
      <c r="A66" s="85">
        <v>63</v>
      </c>
      <c r="B66" s="85">
        <v>8.2614249999999991</v>
      </c>
      <c r="C66" s="85">
        <v>31.887099999999997</v>
      </c>
      <c r="D66" s="85">
        <v>1025.0806249999998</v>
      </c>
    </row>
    <row r="67" spans="1:4" x14ac:dyDescent="0.25">
      <c r="A67" s="85">
        <v>64</v>
      </c>
      <c r="B67" s="85">
        <v>8.2408000000000001</v>
      </c>
      <c r="C67" s="85">
        <v>31.893050000000002</v>
      </c>
      <c r="D67" s="85">
        <v>1025.092525</v>
      </c>
    </row>
    <row r="68" spans="1:4" x14ac:dyDescent="0.25">
      <c r="A68" s="85">
        <v>65</v>
      </c>
      <c r="B68" s="85">
        <v>8.2154249999999998</v>
      </c>
      <c r="C68" s="85">
        <v>31.901325</v>
      </c>
      <c r="D68" s="85">
        <v>1025.107575</v>
      </c>
    </row>
    <row r="69" spans="1:4" x14ac:dyDescent="0.25">
      <c r="A69" s="85">
        <v>66</v>
      </c>
      <c r="B69" s="85">
        <v>8.1861750000000004</v>
      </c>
      <c r="C69" s="85">
        <v>31.903600000000001</v>
      </c>
      <c r="D69" s="85">
        <v>1025.1221499999999</v>
      </c>
    </row>
    <row r="70" spans="1:4" x14ac:dyDescent="0.25">
      <c r="A70" s="85">
        <v>67</v>
      </c>
      <c r="B70" s="85">
        <v>8.1339749999999995</v>
      </c>
      <c r="C70" s="85">
        <v>31.9131</v>
      </c>
      <c r="D70" s="85">
        <v>1025.13085</v>
      </c>
    </row>
    <row r="71" spans="1:4" x14ac:dyDescent="0.25">
      <c r="A71" s="85">
        <v>68</v>
      </c>
      <c r="B71" s="85">
        <v>8.0906250000000011</v>
      </c>
      <c r="C71" s="85">
        <v>31.93215</v>
      </c>
      <c r="D71" s="85">
        <v>1025.1612</v>
      </c>
    </row>
    <row r="72" spans="1:4" x14ac:dyDescent="0.25">
      <c r="A72" s="85">
        <v>69</v>
      </c>
      <c r="B72" s="85">
        <v>8.0629749999999998</v>
      </c>
      <c r="C72" s="85">
        <v>31.946700000000003</v>
      </c>
      <c r="D72" s="85">
        <v>1025.180975</v>
      </c>
    </row>
    <row r="73" spans="1:4" x14ac:dyDescent="0.25">
      <c r="A73" s="85">
        <v>70</v>
      </c>
      <c r="B73" s="85">
        <v>8.0465499999999999</v>
      </c>
      <c r="C73" s="85">
        <v>31.961975000000002</v>
      </c>
      <c r="D73" s="85">
        <v>1025.20155</v>
      </c>
    </row>
    <row r="74" spans="1:4" x14ac:dyDescent="0.25">
      <c r="A74" s="85">
        <v>71</v>
      </c>
      <c r="B74" s="85">
        <v>8.0382499999999997</v>
      </c>
      <c r="C74" s="85">
        <v>31.976099999999999</v>
      </c>
      <c r="D74" s="85">
        <v>1025.219425</v>
      </c>
    </row>
    <row r="75" spans="1:4" x14ac:dyDescent="0.25">
      <c r="A75" s="85">
        <v>72</v>
      </c>
      <c r="B75" s="85">
        <v>8.0348500000000005</v>
      </c>
      <c r="C75" s="85">
        <v>31.983150000000002</v>
      </c>
      <c r="D75" s="85">
        <v>1025.2319</v>
      </c>
    </row>
    <row r="76" spans="1:4" x14ac:dyDescent="0.25">
      <c r="A76" s="85">
        <v>73</v>
      </c>
      <c r="B76" s="85">
        <v>8.02895</v>
      </c>
      <c r="C76" s="85">
        <v>31.9848</v>
      </c>
      <c r="D76" s="85">
        <v>1025.2389250000001</v>
      </c>
    </row>
    <row r="77" spans="1:4" x14ac:dyDescent="0.25">
      <c r="A77" s="85">
        <v>74</v>
      </c>
      <c r="B77" s="85">
        <v>8.0088000000000008</v>
      </c>
      <c r="C77" s="85">
        <v>31.994974999999997</v>
      </c>
      <c r="D77" s="85">
        <v>1025.2534499999999</v>
      </c>
    </row>
    <row r="78" spans="1:4" x14ac:dyDescent="0.25">
      <c r="A78" s="85">
        <v>75</v>
      </c>
      <c r="B78" s="85">
        <v>8.0014000000000003</v>
      </c>
      <c r="C78" s="85">
        <v>32.000700000000002</v>
      </c>
      <c r="D78" s="85">
        <v>1025.264525</v>
      </c>
    </row>
    <row r="79" spans="1:4" x14ac:dyDescent="0.25">
      <c r="A79" s="85">
        <v>76</v>
      </c>
      <c r="B79" s="85">
        <v>7.9961249999999993</v>
      </c>
      <c r="C79" s="85">
        <v>31.999549999999999</v>
      </c>
      <c r="D79" s="85">
        <v>1025.2705249999999</v>
      </c>
    </row>
    <row r="80" spans="1:4" x14ac:dyDescent="0.25">
      <c r="A80" s="85">
        <v>77</v>
      </c>
      <c r="B80" s="85">
        <v>7.9796500000000004</v>
      </c>
      <c r="C80" s="85">
        <v>32.002250000000004</v>
      </c>
      <c r="D80" s="85">
        <v>1025.2775750000001</v>
      </c>
    </row>
    <row r="81" spans="1:4" x14ac:dyDescent="0.25">
      <c r="A81" s="85">
        <v>78</v>
      </c>
      <c r="B81" s="85">
        <v>7.9559000000000006</v>
      </c>
      <c r="C81" s="85">
        <v>32.0137</v>
      </c>
      <c r="D81" s="85">
        <v>1025.2930249999999</v>
      </c>
    </row>
    <row r="82" spans="1:4" x14ac:dyDescent="0.25">
      <c r="A82" s="85">
        <v>79</v>
      </c>
      <c r="B82" s="85">
        <v>7.9418500000000005</v>
      </c>
      <c r="C82" s="85">
        <v>32.018174999999999</v>
      </c>
      <c r="D82" s="85">
        <v>1025.3054249999998</v>
      </c>
    </row>
    <row r="83" spans="1:4" x14ac:dyDescent="0.25">
      <c r="A83" s="85">
        <v>80</v>
      </c>
      <c r="B83" s="85">
        <v>7.9202750000000002</v>
      </c>
      <c r="C83" s="85">
        <v>32.030675000000002</v>
      </c>
      <c r="D83" s="85">
        <v>1025.3225499999999</v>
      </c>
    </row>
    <row r="84" spans="1:4" x14ac:dyDescent="0.25">
      <c r="A84" s="85">
        <v>81</v>
      </c>
      <c r="B84" s="85">
        <v>7.911975</v>
      </c>
      <c r="C84" s="85">
        <v>32.037774999999996</v>
      </c>
      <c r="D84" s="85">
        <v>1025.3340000000001</v>
      </c>
    </row>
    <row r="85" spans="1:4" x14ac:dyDescent="0.25">
      <c r="A85" s="85">
        <v>82</v>
      </c>
      <c r="B85" s="85">
        <v>7.907775</v>
      </c>
      <c r="C85" s="85">
        <v>32.043374999999997</v>
      </c>
      <c r="D85" s="85">
        <v>1025.34375</v>
      </c>
    </row>
    <row r="86" spans="1:4" x14ac:dyDescent="0.25">
      <c r="A86" s="85">
        <v>83</v>
      </c>
      <c r="B86" s="85">
        <v>7.9002250000000007</v>
      </c>
      <c r="C86" s="85">
        <v>32.050725</v>
      </c>
      <c r="D86" s="85">
        <v>1025.35465</v>
      </c>
    </row>
    <row r="87" spans="1:4" x14ac:dyDescent="0.25">
      <c r="A87" s="85">
        <v>84</v>
      </c>
      <c r="B87" s="85">
        <v>7.8914250000000008</v>
      </c>
      <c r="C87" s="85">
        <v>32.060775</v>
      </c>
      <c r="D87" s="85">
        <v>1025.3685</v>
      </c>
    </row>
    <row r="88" spans="1:4" x14ac:dyDescent="0.25">
      <c r="A88" s="85">
        <v>85</v>
      </c>
      <c r="B88" s="85">
        <v>7.8873999999999995</v>
      </c>
      <c r="C88" s="85">
        <v>32.068824999999997</v>
      </c>
      <c r="D88" s="85">
        <v>1025.3801250000001</v>
      </c>
    </row>
    <row r="89" spans="1:4" x14ac:dyDescent="0.25">
      <c r="A89" s="85">
        <v>86</v>
      </c>
      <c r="B89" s="85">
        <v>7.8861749999999997</v>
      </c>
      <c r="C89" s="85">
        <v>32.073100000000004</v>
      </c>
      <c r="D89" s="85">
        <v>1025.3892000000001</v>
      </c>
    </row>
    <row r="90" spans="1:4" x14ac:dyDescent="0.25">
      <c r="A90" s="85">
        <v>87</v>
      </c>
      <c r="B90" s="85">
        <v>7.8811749999999998</v>
      </c>
      <c r="C90" s="85">
        <v>32.078349999999993</v>
      </c>
      <c r="D90" s="85">
        <v>1025.3980750000001</v>
      </c>
    </row>
    <row r="91" spans="1:4" x14ac:dyDescent="0.25">
      <c r="A91" s="85">
        <v>88</v>
      </c>
      <c r="B91" s="85">
        <v>7.8732499999999996</v>
      </c>
      <c r="C91" s="85">
        <v>32.083275</v>
      </c>
      <c r="D91" s="85">
        <v>1025.40795</v>
      </c>
    </row>
    <row r="92" spans="1:4" x14ac:dyDescent="0.25">
      <c r="A92" s="85">
        <v>89</v>
      </c>
      <c r="B92" s="85">
        <v>7.8675500000000005</v>
      </c>
      <c r="C92" s="85">
        <v>32.096975000000008</v>
      </c>
      <c r="D92" s="85">
        <v>1025.4213999999999</v>
      </c>
    </row>
    <row r="93" spans="1:4" x14ac:dyDescent="0.25">
      <c r="A93" s="85">
        <v>90</v>
      </c>
      <c r="B93" s="85">
        <v>7.8563000000000001</v>
      </c>
      <c r="C93" s="85">
        <v>32.11</v>
      </c>
      <c r="D93" s="85">
        <v>1025.4400499999999</v>
      </c>
    </row>
    <row r="94" spans="1:4" x14ac:dyDescent="0.25">
      <c r="A94" s="85">
        <v>91</v>
      </c>
      <c r="B94" s="85">
        <v>7.8435500000000005</v>
      </c>
      <c r="C94" s="85">
        <v>32.120274999999999</v>
      </c>
      <c r="D94" s="85">
        <v>1025.4540749999999</v>
      </c>
    </row>
    <row r="95" spans="1:4" x14ac:dyDescent="0.25">
      <c r="A95" s="85">
        <v>92</v>
      </c>
      <c r="B95" s="85">
        <v>7.8431499999999996</v>
      </c>
      <c r="C95" s="85">
        <v>32.125950000000003</v>
      </c>
      <c r="D95" s="85">
        <v>1025.464575</v>
      </c>
    </row>
    <row r="96" spans="1:4" x14ac:dyDescent="0.25">
      <c r="A96" s="85">
        <v>93</v>
      </c>
      <c r="B96" s="85">
        <v>7.8340000000000005</v>
      </c>
      <c r="C96" s="85">
        <v>32.130225000000003</v>
      </c>
      <c r="D96" s="85">
        <v>1025.473375</v>
      </c>
    </row>
    <row r="97" spans="1:4" x14ac:dyDescent="0.25">
      <c r="A97" s="85">
        <v>94</v>
      </c>
      <c r="B97" s="85">
        <v>7.8205499999999999</v>
      </c>
      <c r="C97" s="85">
        <v>32.142600000000002</v>
      </c>
      <c r="D97" s="85">
        <v>1025.4877250000002</v>
      </c>
    </row>
    <row r="98" spans="1:4" x14ac:dyDescent="0.25">
      <c r="A98" s="85">
        <v>95</v>
      </c>
      <c r="B98" s="85">
        <v>7.824675</v>
      </c>
      <c r="C98" s="85">
        <v>32.176150000000007</v>
      </c>
      <c r="D98" s="85">
        <v>1025.5176500000002</v>
      </c>
    </row>
    <row r="99" spans="1:4" x14ac:dyDescent="0.25">
      <c r="A99" s="85">
        <v>96</v>
      </c>
      <c r="B99" s="85">
        <v>7.836125</v>
      </c>
      <c r="C99" s="85">
        <v>32.187475000000006</v>
      </c>
      <c r="D99" s="85">
        <v>1025.531125</v>
      </c>
    </row>
    <row r="100" spans="1:4" x14ac:dyDescent="0.25">
      <c r="A100" s="85">
        <v>97</v>
      </c>
      <c r="B100" s="85">
        <v>7.8247999999999998</v>
      </c>
      <c r="C100" s="85">
        <v>32.202624999999998</v>
      </c>
      <c r="D100" s="85">
        <v>1025.5499000000002</v>
      </c>
    </row>
    <row r="101" spans="1:4" x14ac:dyDescent="0.25">
      <c r="A101" s="85">
        <v>98</v>
      </c>
      <c r="B101" s="85">
        <v>7.8172500000000005</v>
      </c>
      <c r="C101" s="85">
        <v>32.212849999999996</v>
      </c>
      <c r="D101" s="85">
        <v>1025.5619000000002</v>
      </c>
    </row>
    <row r="102" spans="1:4" x14ac:dyDescent="0.25">
      <c r="A102" s="85">
        <v>99</v>
      </c>
      <c r="B102" s="85">
        <v>7.8121500000000008</v>
      </c>
      <c r="C102" s="85">
        <v>32.230125000000001</v>
      </c>
      <c r="D102" s="85">
        <v>1025.5808500000003</v>
      </c>
    </row>
    <row r="103" spans="1:4" x14ac:dyDescent="0.25">
      <c r="A103" s="85">
        <v>100</v>
      </c>
      <c r="B103" s="85">
        <v>7.8119750000000003</v>
      </c>
      <c r="C103" s="85">
        <v>32.237774999999999</v>
      </c>
      <c r="D103" s="85">
        <v>1025.5940500000002</v>
      </c>
    </row>
    <row r="104" spans="1:4" x14ac:dyDescent="0.25">
      <c r="A104" s="85">
        <v>101</v>
      </c>
      <c r="B104" s="85">
        <v>7.8069999999999995</v>
      </c>
      <c r="C104" s="85">
        <v>32.245900000000006</v>
      </c>
      <c r="D104" s="85">
        <v>1025.6041500000001</v>
      </c>
    </row>
    <row r="105" spans="1:4" x14ac:dyDescent="0.25">
      <c r="A105" s="85">
        <v>102</v>
      </c>
      <c r="B105" s="85">
        <v>7.8046249999999997</v>
      </c>
      <c r="C105" s="85">
        <v>32.257400000000004</v>
      </c>
      <c r="D105" s="85">
        <v>1025.6190000000001</v>
      </c>
    </row>
    <row r="106" spans="1:4" x14ac:dyDescent="0.25">
      <c r="A106" s="85">
        <v>103</v>
      </c>
      <c r="B106" s="85">
        <v>7.7963500000000003</v>
      </c>
      <c r="C106" s="85">
        <v>32.268075000000003</v>
      </c>
      <c r="D106" s="85">
        <v>1025.6321</v>
      </c>
    </row>
    <row r="107" spans="1:4" x14ac:dyDescent="0.25">
      <c r="A107" s="85">
        <v>104</v>
      </c>
      <c r="B107" s="85">
        <v>7.790025</v>
      </c>
      <c r="C107" s="85">
        <v>32.281199999999998</v>
      </c>
      <c r="D107" s="85">
        <v>1025.648625</v>
      </c>
    </row>
    <row r="108" spans="1:4" x14ac:dyDescent="0.25">
      <c r="A108" s="85">
        <v>105</v>
      </c>
      <c r="B108" s="85">
        <v>7.7915000000000001</v>
      </c>
      <c r="C108" s="85">
        <v>32.282724999999999</v>
      </c>
      <c r="D108" s="85">
        <v>1025.6559</v>
      </c>
    </row>
    <row r="109" spans="1:4" x14ac:dyDescent="0.25">
      <c r="A109" s="85">
        <v>106</v>
      </c>
      <c r="B109" s="85">
        <v>7.782375</v>
      </c>
      <c r="C109" s="85">
        <v>32.287925000000001</v>
      </c>
      <c r="D109" s="85">
        <v>1025.663225</v>
      </c>
    </row>
    <row r="110" spans="1:4" x14ac:dyDescent="0.25">
      <c r="A110" s="85">
        <v>107</v>
      </c>
      <c r="B110" s="85">
        <v>7.7448999999999995</v>
      </c>
      <c r="C110" s="85">
        <v>32.315874999999998</v>
      </c>
      <c r="D110" s="85">
        <v>1025.6925249999999</v>
      </c>
    </row>
    <row r="111" spans="1:4" x14ac:dyDescent="0.25">
      <c r="A111" s="85">
        <v>108</v>
      </c>
      <c r="B111" s="85">
        <v>7.7181250000000006</v>
      </c>
      <c r="C111" s="85">
        <v>32.347149999999999</v>
      </c>
      <c r="D111" s="85">
        <v>1025.7227250000001</v>
      </c>
    </row>
    <row r="112" spans="1:4" x14ac:dyDescent="0.25">
      <c r="A112" s="85">
        <v>109</v>
      </c>
      <c r="B112" s="85">
        <v>7.6736500000000003</v>
      </c>
      <c r="C112" s="85">
        <v>32.394849999999998</v>
      </c>
      <c r="D112" s="85">
        <v>1025.7728500000001</v>
      </c>
    </row>
    <row r="113" spans="1:4" x14ac:dyDescent="0.25">
      <c r="A113" s="85">
        <v>110</v>
      </c>
      <c r="B113" s="85">
        <v>7.6686749999999995</v>
      </c>
      <c r="C113" s="85">
        <v>32.420074999999997</v>
      </c>
      <c r="D113" s="85">
        <v>1025.8019000000002</v>
      </c>
    </row>
    <row r="114" spans="1:4" x14ac:dyDescent="0.25">
      <c r="A114" s="85">
        <v>111</v>
      </c>
      <c r="B114" s="85">
        <v>7.6502499999999998</v>
      </c>
      <c r="C114" s="85">
        <v>32.43535</v>
      </c>
      <c r="D114" s="85">
        <v>1025.8208500000001</v>
      </c>
    </row>
    <row r="115" spans="1:4" x14ac:dyDescent="0.25">
      <c r="A115" s="85">
        <v>112</v>
      </c>
      <c r="B115" s="85">
        <v>7.6389000000000005</v>
      </c>
      <c r="C115" s="85">
        <v>32.449475</v>
      </c>
      <c r="D115" s="85">
        <v>1025.83905</v>
      </c>
    </row>
    <row r="116" spans="1:4" x14ac:dyDescent="0.25">
      <c r="A116" s="85">
        <v>113</v>
      </c>
      <c r="B116" s="85">
        <v>7.6287500000000001</v>
      </c>
      <c r="C116" s="85">
        <v>32.455999999999996</v>
      </c>
      <c r="D116" s="85">
        <v>1025.8507999999999</v>
      </c>
    </row>
    <row r="117" spans="1:4" x14ac:dyDescent="0.25">
      <c r="A117" s="85">
        <v>114</v>
      </c>
      <c r="B117" s="85">
        <v>7.618525</v>
      </c>
      <c r="C117" s="85">
        <v>32.467849999999999</v>
      </c>
      <c r="D117" s="85">
        <v>1025.8650499999999</v>
      </c>
    </row>
    <row r="118" spans="1:4" x14ac:dyDescent="0.25">
      <c r="A118" s="85">
        <v>115</v>
      </c>
      <c r="B118" s="85">
        <v>7.6099750000000004</v>
      </c>
      <c r="C118" s="85">
        <v>32.485199999999999</v>
      </c>
      <c r="D118" s="85">
        <v>1025.8833</v>
      </c>
    </row>
    <row r="119" spans="1:4" x14ac:dyDescent="0.25">
      <c r="A119" s="85">
        <v>116</v>
      </c>
      <c r="B119" s="85">
        <v>7.6005500000000001</v>
      </c>
      <c r="C119" s="85">
        <v>32.512425000000007</v>
      </c>
      <c r="D119" s="85">
        <v>1025.9113749999999</v>
      </c>
    </row>
    <row r="120" spans="1:4" x14ac:dyDescent="0.25">
      <c r="A120" s="85">
        <v>117</v>
      </c>
      <c r="B120" s="85">
        <v>7.586875</v>
      </c>
      <c r="C120" s="85">
        <v>32.53125</v>
      </c>
      <c r="D120" s="85">
        <v>1025.932225</v>
      </c>
    </row>
    <row r="121" spans="1:4" x14ac:dyDescent="0.25">
      <c r="A121" s="85">
        <v>118</v>
      </c>
      <c r="B121" s="85">
        <v>7.559075</v>
      </c>
      <c r="C121" s="85">
        <v>32.5809</v>
      </c>
      <c r="D121" s="85">
        <v>1025.9721500000001</v>
      </c>
    </row>
    <row r="122" spans="1:4" x14ac:dyDescent="0.25">
      <c r="A122" s="85">
        <v>119</v>
      </c>
      <c r="B122" s="85">
        <v>7.5343750000000007</v>
      </c>
      <c r="C122" s="85">
        <v>32.622650000000007</v>
      </c>
      <c r="D122" s="85">
        <v>1026.0177749999998</v>
      </c>
    </row>
    <row r="123" spans="1:4" x14ac:dyDescent="0.25">
      <c r="A123" s="85">
        <v>120</v>
      </c>
      <c r="B123" s="85">
        <v>7.519400000000001</v>
      </c>
      <c r="C123" s="85">
        <v>32.653925000000001</v>
      </c>
      <c r="D123" s="85">
        <v>1026.0482500000001</v>
      </c>
    </row>
    <row r="124" spans="1:4" x14ac:dyDescent="0.25">
      <c r="A124" s="85">
        <v>121</v>
      </c>
      <c r="B124" s="85">
        <v>7.5008499999999998</v>
      </c>
      <c r="C124" s="85">
        <v>32.697650000000003</v>
      </c>
      <c r="D124" s="85">
        <v>1026.0872749999999</v>
      </c>
    </row>
    <row r="125" spans="1:4" x14ac:dyDescent="0.25">
      <c r="A125" s="85">
        <v>122</v>
      </c>
      <c r="B125" s="85">
        <v>7.46265</v>
      </c>
      <c r="C125" s="85">
        <v>32.770000000000003</v>
      </c>
      <c r="D125" s="85">
        <v>1026.1504</v>
      </c>
    </row>
    <row r="126" spans="1:4" x14ac:dyDescent="0.25">
      <c r="A126" s="85">
        <v>123</v>
      </c>
      <c r="B126" s="85">
        <v>7.4365249999999996</v>
      </c>
      <c r="C126" s="85">
        <v>32.820675000000001</v>
      </c>
      <c r="D126" s="85">
        <v>1026.2045000000001</v>
      </c>
    </row>
    <row r="127" spans="1:4" x14ac:dyDescent="0.25">
      <c r="A127" s="85">
        <v>124</v>
      </c>
      <c r="B127" s="85">
        <v>7.4181749999999997</v>
      </c>
      <c r="C127" s="85">
        <v>32.854374999999997</v>
      </c>
      <c r="D127" s="85">
        <v>1026.2389000000001</v>
      </c>
    </row>
    <row r="128" spans="1:4" x14ac:dyDescent="0.25">
      <c r="A128" s="85">
        <v>125</v>
      </c>
      <c r="B128" s="85">
        <v>7.3956</v>
      </c>
      <c r="C128" s="85">
        <v>32.921374999999998</v>
      </c>
      <c r="D128" s="85">
        <v>1026.2870499999999</v>
      </c>
    </row>
    <row r="129" spans="1:4" x14ac:dyDescent="0.25">
      <c r="A129" s="85">
        <v>126</v>
      </c>
      <c r="B129" s="85">
        <v>7.3558250000000012</v>
      </c>
      <c r="C129" s="85">
        <v>33.002299999999998</v>
      </c>
      <c r="D129" s="85">
        <v>1026.3708000000001</v>
      </c>
    </row>
    <row r="130" spans="1:4" x14ac:dyDescent="0.25">
      <c r="A130" s="85">
        <v>127</v>
      </c>
      <c r="B130" s="85">
        <v>7.3209999999999997</v>
      </c>
      <c r="C130" s="85">
        <v>33.055174999999998</v>
      </c>
      <c r="D130" s="85">
        <v>1026.4221000000002</v>
      </c>
    </row>
    <row r="131" spans="1:4" x14ac:dyDescent="0.25">
      <c r="A131" s="85">
        <v>128</v>
      </c>
      <c r="B131" s="85">
        <v>7.3061500000000006</v>
      </c>
      <c r="C131" s="85">
        <v>33.085749999999997</v>
      </c>
      <c r="D131" s="85">
        <v>1026.457975</v>
      </c>
    </row>
    <row r="132" spans="1:4" x14ac:dyDescent="0.25">
      <c r="A132" s="85">
        <v>129</v>
      </c>
      <c r="B132" s="85">
        <v>7.2926500000000001</v>
      </c>
      <c r="C132" s="85">
        <v>33.107325000000003</v>
      </c>
      <c r="D132" s="85">
        <v>1026.4823000000001</v>
      </c>
    </row>
    <row r="133" spans="1:4" x14ac:dyDescent="0.25">
      <c r="A133" s="85">
        <v>130</v>
      </c>
      <c r="B133" s="85">
        <v>7.2832249999999998</v>
      </c>
      <c r="C133" s="85">
        <v>33.126775000000002</v>
      </c>
      <c r="D133" s="85">
        <v>1026.5028499999999</v>
      </c>
    </row>
    <row r="134" spans="1:4" x14ac:dyDescent="0.25">
      <c r="A134" s="85">
        <v>131</v>
      </c>
      <c r="B134" s="85">
        <v>7.2682249999999993</v>
      </c>
      <c r="C134" s="85">
        <v>33.15605</v>
      </c>
      <c r="D134" s="85">
        <v>1026.528775</v>
      </c>
    </row>
    <row r="135" spans="1:4" x14ac:dyDescent="0.25">
      <c r="A135" s="85">
        <v>132</v>
      </c>
      <c r="B135" s="85">
        <v>7.2298749999999998</v>
      </c>
      <c r="C135" s="85">
        <v>33.213850000000001</v>
      </c>
      <c r="D135" s="85">
        <v>1026.5783750000001</v>
      </c>
    </row>
    <row r="136" spans="1:4" x14ac:dyDescent="0.25">
      <c r="A136" s="85">
        <v>133</v>
      </c>
      <c r="B136" s="85">
        <v>7.18675</v>
      </c>
      <c r="C136" s="85">
        <v>33.262</v>
      </c>
      <c r="D136" s="85">
        <v>1026.632975</v>
      </c>
    </row>
    <row r="137" spans="1:4" x14ac:dyDescent="0.25">
      <c r="A137" s="85">
        <v>134</v>
      </c>
      <c r="B137" s="85">
        <v>7.1617000000000006</v>
      </c>
      <c r="C137" s="85">
        <v>33.286875000000002</v>
      </c>
      <c r="D137" s="85">
        <v>1026.6624999999999</v>
      </c>
    </row>
    <row r="138" spans="1:4" x14ac:dyDescent="0.25">
      <c r="A138" s="85">
        <v>135</v>
      </c>
      <c r="B138" s="85">
        <v>7.1444749999999999</v>
      </c>
      <c r="C138" s="85">
        <v>33.307375</v>
      </c>
      <c r="D138" s="85">
        <v>1026.68815</v>
      </c>
    </row>
    <row r="139" spans="1:4" x14ac:dyDescent="0.25">
      <c r="A139" s="85">
        <v>136</v>
      </c>
      <c r="B139" s="85">
        <v>7.1267999999999994</v>
      </c>
      <c r="C139" s="85">
        <v>33.334725000000006</v>
      </c>
      <c r="D139" s="85">
        <v>1026.7148500000001</v>
      </c>
    </row>
    <row r="140" spans="1:4" x14ac:dyDescent="0.25">
      <c r="A140" s="85">
        <v>137</v>
      </c>
      <c r="B140" s="85">
        <v>7.1083249999999998</v>
      </c>
      <c r="C140" s="85">
        <v>33.359475000000003</v>
      </c>
      <c r="D140" s="85">
        <v>1026.7421750000001</v>
      </c>
    </row>
    <row r="141" spans="1:4" x14ac:dyDescent="0.25">
      <c r="A141" s="85">
        <v>138</v>
      </c>
      <c r="B141" s="85">
        <v>7.0926749999999998</v>
      </c>
      <c r="C141" s="85">
        <v>33.380400000000002</v>
      </c>
      <c r="D141" s="85">
        <v>1026.7660249999999</v>
      </c>
    </row>
    <row r="142" spans="1:4" x14ac:dyDescent="0.25">
      <c r="A142" s="85">
        <v>139</v>
      </c>
      <c r="B142" s="85">
        <v>7.073900000000001</v>
      </c>
      <c r="C142" s="85">
        <v>33.398825000000002</v>
      </c>
      <c r="D142" s="85">
        <v>1026.787425</v>
      </c>
    </row>
    <row r="143" spans="1:4" x14ac:dyDescent="0.25">
      <c r="A143" s="85">
        <v>140</v>
      </c>
      <c r="B143" s="85">
        <v>7.0581000000000005</v>
      </c>
      <c r="C143" s="85">
        <v>33.41695</v>
      </c>
      <c r="D143" s="85">
        <v>1026.809675</v>
      </c>
    </row>
    <row r="144" spans="1:4" x14ac:dyDescent="0.25">
      <c r="A144" s="85">
        <v>141</v>
      </c>
      <c r="B144" s="85">
        <v>7.0483250000000002</v>
      </c>
      <c r="C144" s="85">
        <v>33.427174999999998</v>
      </c>
      <c r="D144" s="85">
        <v>1026.82465</v>
      </c>
    </row>
    <row r="145" spans="1:4" x14ac:dyDescent="0.25">
      <c r="A145" s="85">
        <v>142</v>
      </c>
      <c r="B145" s="85">
        <v>7.0402250000000004</v>
      </c>
      <c r="C145" s="85">
        <v>33.433749999999996</v>
      </c>
      <c r="D145" s="85">
        <v>1026.8359999999998</v>
      </c>
    </row>
    <row r="146" spans="1:4" x14ac:dyDescent="0.25">
      <c r="A146" s="85">
        <v>143</v>
      </c>
      <c r="B146" s="85">
        <v>7.0342250000000002</v>
      </c>
      <c r="C146" s="85">
        <v>33.445425</v>
      </c>
      <c r="D146" s="85">
        <v>1026.8490000000002</v>
      </c>
    </row>
    <row r="147" spans="1:4" x14ac:dyDescent="0.25">
      <c r="A147" s="85">
        <v>144</v>
      </c>
      <c r="B147" s="85">
        <v>7.0155499999999993</v>
      </c>
      <c r="C147" s="85">
        <v>33.488399999999999</v>
      </c>
      <c r="D147" s="85">
        <v>1026.885675</v>
      </c>
    </row>
    <row r="148" spans="1:4" x14ac:dyDescent="0.25">
      <c r="A148" s="85">
        <v>145</v>
      </c>
      <c r="B148" s="85">
        <v>6.9979999999999993</v>
      </c>
      <c r="C148" s="85">
        <v>33.508125</v>
      </c>
      <c r="D148" s="85">
        <v>1026.9138500000001</v>
      </c>
    </row>
    <row r="149" spans="1:4" x14ac:dyDescent="0.25">
      <c r="A149" s="85">
        <v>146</v>
      </c>
      <c r="B149" s="85">
        <v>6.9892500000000002</v>
      </c>
      <c r="C149" s="85">
        <v>33.517050000000005</v>
      </c>
      <c r="D149" s="85">
        <v>1026.9277000000002</v>
      </c>
    </row>
    <row r="150" spans="1:4" x14ac:dyDescent="0.25">
      <c r="A150" s="85">
        <v>147</v>
      </c>
      <c r="B150" s="85">
        <v>6.9834999999999994</v>
      </c>
      <c r="C150" s="85">
        <v>33.522125000000003</v>
      </c>
      <c r="D150" s="85">
        <v>1026.9373000000001</v>
      </c>
    </row>
    <row r="151" spans="1:4" x14ac:dyDescent="0.25">
      <c r="A151" s="85">
        <v>148</v>
      </c>
      <c r="B151" s="85">
        <v>6.9757500000000006</v>
      </c>
      <c r="C151" s="85">
        <v>33.5261</v>
      </c>
      <c r="D151" s="85">
        <v>1026.9455499999999</v>
      </c>
    </row>
    <row r="152" spans="1:4" x14ac:dyDescent="0.25">
      <c r="A152" s="85">
        <v>149</v>
      </c>
      <c r="B152" s="85">
        <v>6.9672999999999998</v>
      </c>
      <c r="C152" s="85">
        <v>33.530250000000002</v>
      </c>
      <c r="D152" s="85">
        <v>1026.95445</v>
      </c>
    </row>
    <row r="153" spans="1:4" x14ac:dyDescent="0.25">
      <c r="A153" s="85">
        <v>150</v>
      </c>
      <c r="B153" s="85">
        <v>6.9573999999999998</v>
      </c>
      <c r="C153" s="85">
        <v>33.536150000000006</v>
      </c>
      <c r="D153" s="85">
        <v>1026.96495</v>
      </c>
    </row>
    <row r="154" spans="1:4" x14ac:dyDescent="0.25">
      <c r="A154" s="85">
        <v>151</v>
      </c>
      <c r="B154" s="85">
        <v>6.9489749999999999</v>
      </c>
      <c r="C154" s="85">
        <v>33.539325000000005</v>
      </c>
      <c r="D154" s="85">
        <v>1026.97415</v>
      </c>
    </row>
    <row r="155" spans="1:4" x14ac:dyDescent="0.25">
      <c r="A155" s="85">
        <v>152</v>
      </c>
      <c r="B155" s="85">
        <v>6.9403749999999995</v>
      </c>
      <c r="C155" s="85">
        <v>33.545425000000002</v>
      </c>
      <c r="D155" s="85">
        <v>1026.9825249999999</v>
      </c>
    </row>
    <row r="156" spans="1:4" x14ac:dyDescent="0.25">
      <c r="A156" s="85">
        <v>153</v>
      </c>
      <c r="B156" s="85">
        <v>6.9307499999999997</v>
      </c>
      <c r="C156" s="85">
        <v>33.55545</v>
      </c>
      <c r="D156" s="85">
        <v>1026.9970249999999</v>
      </c>
    </row>
    <row r="157" spans="1:4" x14ac:dyDescent="0.25">
      <c r="A157" s="85">
        <v>154</v>
      </c>
      <c r="B157" s="85">
        <v>6.926025000000001</v>
      </c>
      <c r="C157" s="85">
        <v>33.566425000000002</v>
      </c>
      <c r="D157" s="85">
        <v>1027.0099500000001</v>
      </c>
    </row>
    <row r="158" spans="1:4" x14ac:dyDescent="0.25">
      <c r="A158" s="85">
        <v>155</v>
      </c>
      <c r="B158" s="85">
        <v>6.9213500000000003</v>
      </c>
      <c r="C158" s="85">
        <v>33.575375000000001</v>
      </c>
      <c r="D158" s="85">
        <v>1027.023175</v>
      </c>
    </row>
    <row r="159" spans="1:4" x14ac:dyDescent="0.25">
      <c r="A159" s="85">
        <v>156</v>
      </c>
      <c r="B159" s="85">
        <v>6.9126250000000002</v>
      </c>
      <c r="C159" s="85">
        <v>33.588825</v>
      </c>
      <c r="D159" s="85">
        <v>1027.037975</v>
      </c>
    </row>
    <row r="160" spans="1:4" x14ac:dyDescent="0.25">
      <c r="A160" s="85">
        <v>157</v>
      </c>
      <c r="B160" s="85">
        <v>6.9002749999999988</v>
      </c>
      <c r="C160" s="85">
        <v>33.601174999999998</v>
      </c>
      <c r="D160" s="85">
        <v>1027.054625</v>
      </c>
    </row>
    <row r="161" spans="1:4" x14ac:dyDescent="0.25">
      <c r="A161" s="85">
        <v>158</v>
      </c>
      <c r="B161" s="85">
        <v>6.8832999999999993</v>
      </c>
      <c r="C161" s="85">
        <v>33.614350000000002</v>
      </c>
      <c r="D161" s="85">
        <v>1027.0713249999999</v>
      </c>
    </row>
    <row r="162" spans="1:4" x14ac:dyDescent="0.25">
      <c r="A162" s="85">
        <v>159</v>
      </c>
      <c r="B162" s="85">
        <v>6.8660750000000004</v>
      </c>
      <c r="C162" s="85">
        <v>33.626975000000002</v>
      </c>
      <c r="D162" s="85">
        <v>1027.0890999999999</v>
      </c>
    </row>
    <row r="163" spans="1:4" x14ac:dyDescent="0.25">
      <c r="A163" s="85">
        <v>160</v>
      </c>
      <c r="B163" s="85">
        <v>6.8548749999999998</v>
      </c>
      <c r="C163" s="85">
        <v>33.636699999999998</v>
      </c>
      <c r="D163" s="85">
        <v>1027.103625</v>
      </c>
    </row>
    <row r="164" spans="1:4" x14ac:dyDescent="0.25">
      <c r="A164" s="85">
        <v>161</v>
      </c>
      <c r="B164" s="85">
        <v>6.8446500000000006</v>
      </c>
      <c r="C164" s="85">
        <v>33.646074999999996</v>
      </c>
      <c r="D164" s="85">
        <v>1027.117375</v>
      </c>
    </row>
    <row r="165" spans="1:4" x14ac:dyDescent="0.25">
      <c r="A165" s="85">
        <v>162</v>
      </c>
      <c r="B165" s="85">
        <v>6.8390500000000003</v>
      </c>
      <c r="C165" s="85">
        <v>33.651224999999997</v>
      </c>
      <c r="D165" s="85">
        <v>1027.1277750000002</v>
      </c>
    </row>
    <row r="166" spans="1:4" x14ac:dyDescent="0.25">
      <c r="A166" s="85">
        <v>163</v>
      </c>
      <c r="B166" s="85">
        <v>6.8347250000000006</v>
      </c>
      <c r="C166" s="85">
        <v>33.655325000000005</v>
      </c>
      <c r="D166" s="85">
        <v>1027.13645</v>
      </c>
    </row>
    <row r="167" spans="1:4" x14ac:dyDescent="0.25">
      <c r="A167" s="85">
        <v>164</v>
      </c>
      <c r="B167" s="85">
        <v>6.8299499999999993</v>
      </c>
      <c r="C167" s="85">
        <v>33.659950000000002</v>
      </c>
      <c r="D167" s="85">
        <v>1027.14525</v>
      </c>
    </row>
    <row r="168" spans="1:4" x14ac:dyDescent="0.25">
      <c r="A168" s="85">
        <v>165</v>
      </c>
      <c r="B168" s="85">
        <v>6.8283499999999995</v>
      </c>
      <c r="C168" s="85">
        <v>33.659500000000001</v>
      </c>
      <c r="D168" s="85">
        <v>1027.1497749999999</v>
      </c>
    </row>
    <row r="169" spans="1:4" x14ac:dyDescent="0.25">
      <c r="A169" s="85">
        <v>166</v>
      </c>
      <c r="B169" s="85">
        <v>6.8171250000000008</v>
      </c>
      <c r="C169" s="85">
        <v>33.668724999999995</v>
      </c>
      <c r="D169" s="85">
        <v>1027.163125</v>
      </c>
    </row>
    <row r="170" spans="1:4" x14ac:dyDescent="0.25">
      <c r="A170" s="85">
        <v>167</v>
      </c>
      <c r="B170" s="85">
        <v>6.7995749999999999</v>
      </c>
      <c r="C170" s="85">
        <v>33.68235</v>
      </c>
      <c r="D170" s="85">
        <v>1027.181675</v>
      </c>
    </row>
    <row r="171" spans="1:4" x14ac:dyDescent="0.25">
      <c r="A171" s="85">
        <v>168</v>
      </c>
      <c r="B171" s="85">
        <v>6.7963750000000003</v>
      </c>
      <c r="C171" s="85">
        <v>33.683925000000002</v>
      </c>
      <c r="D171" s="85">
        <v>1027.1879750000001</v>
      </c>
    </row>
    <row r="172" spans="1:4" x14ac:dyDescent="0.25">
      <c r="A172" s="85">
        <v>169</v>
      </c>
      <c r="B172" s="85">
        <v>6.7950999999999997</v>
      </c>
      <c r="C172" s="85">
        <v>33.684600000000003</v>
      </c>
      <c r="D172" s="85">
        <v>1027.193575</v>
      </c>
    </row>
    <row r="173" spans="1:4" x14ac:dyDescent="0.25">
      <c r="A173" s="85">
        <v>170</v>
      </c>
      <c r="B173" s="85">
        <v>6.7952999999999992</v>
      </c>
      <c r="C173" s="85">
        <v>33.685175000000001</v>
      </c>
      <c r="D173" s="85">
        <v>1027.1986499999998</v>
      </c>
    </row>
    <row r="174" spans="1:4" x14ac:dyDescent="0.25">
      <c r="A174" s="85">
        <v>171</v>
      </c>
      <c r="B174" s="85">
        <v>6.7977499999999997</v>
      </c>
      <c r="C174" s="85">
        <v>33.686350000000004</v>
      </c>
      <c r="D174" s="85">
        <v>1027.2039</v>
      </c>
    </row>
    <row r="175" spans="1:4" x14ac:dyDescent="0.25">
      <c r="A175" s="85">
        <v>172</v>
      </c>
      <c r="B175" s="85">
        <v>6.7701000000000002</v>
      </c>
      <c r="C175" s="85">
        <v>33.703724999999999</v>
      </c>
      <c r="D175" s="85">
        <v>1027.22595</v>
      </c>
    </row>
    <row r="176" spans="1:4" x14ac:dyDescent="0.25">
      <c r="A176" s="85">
        <v>173</v>
      </c>
      <c r="B176" s="85">
        <v>6.6545999999999994</v>
      </c>
      <c r="C176" s="85">
        <v>33.718033333333331</v>
      </c>
      <c r="D176" s="85">
        <v>1027.2578666666668</v>
      </c>
    </row>
  </sheetData>
  <mergeCells count="6">
    <mergeCell ref="I24:J30"/>
    <mergeCell ref="F2:M2"/>
    <mergeCell ref="F3:M3"/>
    <mergeCell ref="F5:H5"/>
    <mergeCell ref="F13:P13"/>
    <mergeCell ref="F22:J22"/>
  </mergeCells>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R188"/>
  <sheetViews>
    <sheetView topLeftCell="A7" zoomScale="60" zoomScaleNormal="60" workbookViewId="0">
      <selection activeCell="N8" sqref="N3:N8"/>
    </sheetView>
  </sheetViews>
  <sheetFormatPr defaultRowHeight="15" x14ac:dyDescent="0.25"/>
  <cols>
    <col min="1" max="1" width="11.7109375" style="85" customWidth="1"/>
    <col min="2" max="4" width="18.42578125" style="85" customWidth="1"/>
    <col min="5" max="5" width="7.28515625" style="85" customWidth="1"/>
    <col min="6" max="6" width="24" style="85" customWidth="1"/>
    <col min="7" max="11" width="19.140625" style="85" customWidth="1"/>
    <col min="12" max="12" width="31.5703125" style="85" customWidth="1"/>
    <col min="13" max="13" width="19.140625" style="85" customWidth="1"/>
    <col min="14" max="14" width="17.85546875" style="85" customWidth="1"/>
    <col min="15" max="16" width="14.7109375" style="85" customWidth="1"/>
    <col min="17" max="17" width="29.85546875" style="85" customWidth="1"/>
    <col min="18" max="18" width="19.5703125" style="85" customWidth="1"/>
    <col min="19" max="21" width="9.140625" style="85"/>
    <col min="22" max="22" width="19.28515625" style="85" customWidth="1"/>
    <col min="23" max="16384" width="9.140625" style="85"/>
  </cols>
  <sheetData>
    <row r="1" spans="1:18" ht="29.25" thickBot="1" x14ac:dyDescent="0.5">
      <c r="A1" s="127" t="s">
        <v>176</v>
      </c>
    </row>
    <row r="2" spans="1:18" ht="76.5" customHeight="1" thickBot="1" x14ac:dyDescent="0.35">
      <c r="A2" s="131" t="s">
        <v>166</v>
      </c>
      <c r="F2" s="325" t="s">
        <v>177</v>
      </c>
      <c r="G2" s="326"/>
      <c r="H2" s="326"/>
      <c r="I2" s="326"/>
      <c r="J2" s="326"/>
      <c r="K2" s="326"/>
      <c r="L2" s="326"/>
      <c r="M2" s="327"/>
      <c r="N2" s="113" t="s">
        <v>164</v>
      </c>
      <c r="O2" s="210" t="s">
        <v>227</v>
      </c>
      <c r="P2" s="53"/>
      <c r="Q2" s="209" t="s">
        <v>226</v>
      </c>
      <c r="R2" s="54"/>
    </row>
    <row r="3" spans="1:18" ht="45" x14ac:dyDescent="0.25">
      <c r="A3" s="128" t="s">
        <v>168</v>
      </c>
      <c r="B3" s="128" t="s">
        <v>178</v>
      </c>
      <c r="C3" s="128" t="s">
        <v>179</v>
      </c>
      <c r="D3" s="128" t="s">
        <v>180</v>
      </c>
      <c r="E3" s="128"/>
      <c r="F3" s="328" t="s">
        <v>122</v>
      </c>
      <c r="G3" s="329"/>
      <c r="H3" s="329"/>
      <c r="I3" s="329"/>
      <c r="J3" s="329"/>
      <c r="K3" s="329"/>
      <c r="L3" s="329"/>
      <c r="M3" s="330"/>
      <c r="N3" s="15" t="s">
        <v>90</v>
      </c>
      <c r="O3" s="8">
        <v>2655</v>
      </c>
      <c r="P3" s="8" t="s">
        <v>58</v>
      </c>
      <c r="Q3" s="8">
        <v>1990</v>
      </c>
      <c r="R3" s="55" t="s">
        <v>58</v>
      </c>
    </row>
    <row r="4" spans="1:18" ht="67.5" customHeight="1" x14ac:dyDescent="0.25">
      <c r="A4" s="85">
        <v>1</v>
      </c>
      <c r="B4" s="85">
        <v>14.322125000000002</v>
      </c>
      <c r="C4" s="85">
        <v>22.649675000000002</v>
      </c>
      <c r="D4" s="85">
        <v>1016.58525</v>
      </c>
      <c r="F4" s="59" t="s">
        <v>71</v>
      </c>
      <c r="G4" s="30" t="s">
        <v>77</v>
      </c>
      <c r="H4" s="30" t="s">
        <v>72</v>
      </c>
      <c r="I4" s="31" t="s">
        <v>102</v>
      </c>
      <c r="J4" s="30" t="s">
        <v>99</v>
      </c>
      <c r="K4" s="31" t="s">
        <v>103</v>
      </c>
      <c r="L4" s="31" t="s">
        <v>98</v>
      </c>
      <c r="M4" s="60" t="s">
        <v>100</v>
      </c>
      <c r="N4" s="15" t="s">
        <v>89</v>
      </c>
      <c r="O4" s="8">
        <v>2659</v>
      </c>
      <c r="P4" s="8" t="s">
        <v>58</v>
      </c>
      <c r="Q4" s="8">
        <v>1930</v>
      </c>
      <c r="R4" s="55" t="s">
        <v>58</v>
      </c>
    </row>
    <row r="5" spans="1:18" x14ac:dyDescent="0.25">
      <c r="A5" s="85">
        <v>2</v>
      </c>
      <c r="B5" s="85">
        <v>13.760375</v>
      </c>
      <c r="C5" s="85">
        <v>22.842575000000004</v>
      </c>
      <c r="D5" s="85">
        <v>1016.8685</v>
      </c>
      <c r="F5" s="287" t="s">
        <v>67</v>
      </c>
      <c r="G5" s="276"/>
      <c r="H5" s="276"/>
      <c r="I5" s="56">
        <v>432.28000000000003</v>
      </c>
      <c r="J5" s="57" t="s">
        <v>96</v>
      </c>
      <c r="K5" s="56">
        <v>108.07000000000001</v>
      </c>
      <c r="L5" s="56">
        <v>23.456406374378862</v>
      </c>
      <c r="M5" s="61" t="s">
        <v>96</v>
      </c>
      <c r="N5" s="15" t="s">
        <v>91</v>
      </c>
      <c r="O5" s="8">
        <v>2659</v>
      </c>
      <c r="P5" s="8" t="s">
        <v>58</v>
      </c>
      <c r="Q5" s="8">
        <v>1920</v>
      </c>
      <c r="R5" s="55" t="s">
        <v>58</v>
      </c>
    </row>
    <row r="6" spans="1:18" x14ac:dyDescent="0.25">
      <c r="A6" s="85">
        <v>3</v>
      </c>
      <c r="B6" s="85">
        <v>13.837875</v>
      </c>
      <c r="C6" s="85">
        <v>22.550149999999999</v>
      </c>
      <c r="D6" s="85">
        <v>1016.628475</v>
      </c>
      <c r="F6" s="20" t="s">
        <v>90</v>
      </c>
      <c r="G6" s="17" t="s">
        <v>78</v>
      </c>
      <c r="H6" s="23" t="s">
        <v>66</v>
      </c>
      <c r="I6" s="56">
        <v>224.25</v>
      </c>
      <c r="J6" s="51">
        <f>I6/$I$5</f>
        <v>0.51876098824835748</v>
      </c>
      <c r="K6" s="56">
        <v>56.0625</v>
      </c>
      <c r="L6" s="56">
        <v>10.831790787615255</v>
      </c>
      <c r="M6" s="62">
        <f>K6/$K$5</f>
        <v>0.51876098824835748</v>
      </c>
      <c r="N6" s="15" t="s">
        <v>92</v>
      </c>
      <c r="O6" s="9">
        <v>2798</v>
      </c>
      <c r="P6" s="8" t="s">
        <v>58</v>
      </c>
      <c r="Q6" s="8">
        <v>1620</v>
      </c>
      <c r="R6" s="55" t="s">
        <v>58</v>
      </c>
    </row>
    <row r="7" spans="1:18" x14ac:dyDescent="0.25">
      <c r="A7" s="85">
        <v>4</v>
      </c>
      <c r="B7" s="85">
        <v>13.854650000000001</v>
      </c>
      <c r="C7" s="85">
        <v>22.586999999999996</v>
      </c>
      <c r="D7" s="85">
        <v>1016.6560499999999</v>
      </c>
      <c r="F7" s="20" t="s">
        <v>89</v>
      </c>
      <c r="G7" s="16" t="s">
        <v>79</v>
      </c>
      <c r="H7" s="16" t="s">
        <v>69</v>
      </c>
      <c r="I7" s="56">
        <v>40.159999999999997</v>
      </c>
      <c r="J7" s="51">
        <f t="shared" ref="J7:J11" si="0">I7/$I$5</f>
        <v>9.2902748218747097E-2</v>
      </c>
      <c r="K7" s="56">
        <v>10.039999999999999</v>
      </c>
      <c r="L7" s="56">
        <v>2.265288796893977</v>
      </c>
      <c r="M7" s="62">
        <f t="shared" ref="M7:M11" si="1">K7/$K$5</f>
        <v>9.2902748218747097E-2</v>
      </c>
      <c r="N7" s="15" t="s">
        <v>94</v>
      </c>
      <c r="O7" s="9">
        <v>2798</v>
      </c>
      <c r="P7" s="8" t="s">
        <v>58</v>
      </c>
      <c r="Q7" s="8">
        <v>1690</v>
      </c>
      <c r="R7" s="55" t="s">
        <v>58</v>
      </c>
    </row>
    <row r="8" spans="1:18" ht="15.75" thickBot="1" x14ac:dyDescent="0.3">
      <c r="A8" s="85">
        <v>5</v>
      </c>
      <c r="B8" s="85">
        <v>13.864975000000001</v>
      </c>
      <c r="C8" s="85">
        <v>22.620999999999999</v>
      </c>
      <c r="D8" s="85">
        <v>1016.685325</v>
      </c>
      <c r="F8" s="20" t="s">
        <v>91</v>
      </c>
      <c r="G8" s="16" t="s">
        <v>80</v>
      </c>
      <c r="H8" s="16" t="s">
        <v>70</v>
      </c>
      <c r="I8" s="56">
        <v>35.68</v>
      </c>
      <c r="J8" s="51">
        <f t="shared" si="0"/>
        <v>8.2539095030998419E-2</v>
      </c>
      <c r="K8" s="56">
        <v>8.92</v>
      </c>
      <c r="L8" s="56">
        <v>2.1787305172202132</v>
      </c>
      <c r="M8" s="62">
        <f t="shared" si="1"/>
        <v>8.2539095030998419E-2</v>
      </c>
      <c r="N8" s="21" t="s">
        <v>93</v>
      </c>
      <c r="O8" s="211">
        <v>2798</v>
      </c>
      <c r="P8" s="93" t="s">
        <v>58</v>
      </c>
      <c r="Q8" s="93">
        <v>1600</v>
      </c>
      <c r="R8" s="95" t="s">
        <v>58</v>
      </c>
    </row>
    <row r="9" spans="1:18" x14ac:dyDescent="0.25">
      <c r="A9" s="85">
        <v>6</v>
      </c>
      <c r="B9" s="85">
        <v>13.871325000000001</v>
      </c>
      <c r="C9" s="85">
        <v>22.644025000000003</v>
      </c>
      <c r="D9" s="85">
        <v>1016.709075</v>
      </c>
      <c r="F9" s="20" t="s">
        <v>92</v>
      </c>
      <c r="G9" s="16" t="s">
        <v>81</v>
      </c>
      <c r="H9" s="16" t="s">
        <v>73</v>
      </c>
      <c r="I9" s="56">
        <v>29.11</v>
      </c>
      <c r="J9" s="51">
        <f t="shared" si="0"/>
        <v>6.7340612565929478E-2</v>
      </c>
      <c r="K9" s="56">
        <v>7.2774999999999999</v>
      </c>
      <c r="L9" s="56">
        <v>1.818614399297813</v>
      </c>
      <c r="M9" s="62">
        <f t="shared" si="1"/>
        <v>6.7340612565929478E-2</v>
      </c>
    </row>
    <row r="10" spans="1:18" x14ac:dyDescent="0.25">
      <c r="A10" s="85">
        <v>7</v>
      </c>
      <c r="B10" s="85">
        <v>13.869475</v>
      </c>
      <c r="C10" s="85">
        <v>22.656549999999999</v>
      </c>
      <c r="D10" s="85">
        <v>1016.7257999999999</v>
      </c>
      <c r="F10" s="20" t="s">
        <v>94</v>
      </c>
      <c r="G10" s="16" t="s">
        <v>82</v>
      </c>
      <c r="H10" s="16" t="s">
        <v>74</v>
      </c>
      <c r="I10" s="56">
        <v>102.86000000000001</v>
      </c>
      <c r="J10" s="51">
        <f t="shared" si="0"/>
        <v>0.23794762653835477</v>
      </c>
      <c r="K10" s="56">
        <v>25.715000000000003</v>
      </c>
      <c r="L10" s="56">
        <v>8.334580573330193</v>
      </c>
      <c r="M10" s="62">
        <f t="shared" si="1"/>
        <v>0.23794762653835477</v>
      </c>
    </row>
    <row r="11" spans="1:18" ht="15.75" thickBot="1" x14ac:dyDescent="0.3">
      <c r="A11" s="85">
        <v>8</v>
      </c>
      <c r="B11" s="85">
        <v>13.866249999999999</v>
      </c>
      <c r="C11" s="85">
        <v>22.669274999999999</v>
      </c>
      <c r="D11" s="85">
        <v>1016.7394</v>
      </c>
      <c r="F11" s="38" t="s">
        <v>93</v>
      </c>
      <c r="G11" s="66" t="s">
        <v>83</v>
      </c>
      <c r="H11" s="22" t="s">
        <v>75</v>
      </c>
      <c r="I11" s="98">
        <v>0.32020000000001309</v>
      </c>
      <c r="J11" s="68">
        <f t="shared" si="0"/>
        <v>7.4072360507081766E-4</v>
      </c>
      <c r="K11" s="98">
        <v>8.0050000000003271E-2</v>
      </c>
      <c r="L11" s="98">
        <v>0.16010000000000654</v>
      </c>
      <c r="M11" s="70">
        <f t="shared" si="1"/>
        <v>7.4072360507081766E-4</v>
      </c>
    </row>
    <row r="12" spans="1:18" ht="15.75" thickBot="1" x14ac:dyDescent="0.3">
      <c r="A12" s="85">
        <v>9</v>
      </c>
      <c r="B12" s="85">
        <v>13.8645</v>
      </c>
      <c r="C12" s="85">
        <v>22.703474999999997</v>
      </c>
      <c r="D12" s="85">
        <v>1016.764975</v>
      </c>
    </row>
    <row r="13" spans="1:18" ht="23.25" x14ac:dyDescent="0.25">
      <c r="A13" s="85">
        <v>10</v>
      </c>
      <c r="B13" s="85">
        <v>13.86585</v>
      </c>
      <c r="C13" s="85">
        <v>22.77205</v>
      </c>
      <c r="D13" s="85">
        <v>1016.815075</v>
      </c>
      <c r="F13" s="319" t="s">
        <v>181</v>
      </c>
      <c r="G13" s="320"/>
      <c r="H13" s="320"/>
      <c r="I13" s="320"/>
      <c r="J13" s="320"/>
      <c r="K13" s="320"/>
      <c r="L13" s="320"/>
      <c r="M13" s="320"/>
      <c r="N13" s="320"/>
      <c r="O13" s="320"/>
      <c r="P13" s="321"/>
    </row>
    <row r="14" spans="1:18" ht="23.25" customHeight="1" x14ac:dyDescent="0.25">
      <c r="A14" s="85">
        <v>11</v>
      </c>
      <c r="B14" s="85">
        <v>13.865075000000001</v>
      </c>
      <c r="C14" s="85">
        <v>22.841374999999999</v>
      </c>
      <c r="D14" s="85">
        <v>1016.8751749999999</v>
      </c>
      <c r="F14" s="40"/>
      <c r="G14" s="133" t="s">
        <v>88</v>
      </c>
      <c r="H14" s="134" t="s">
        <v>86</v>
      </c>
      <c r="I14" s="48" t="s">
        <v>87</v>
      </c>
      <c r="J14" s="135" t="s">
        <v>86</v>
      </c>
      <c r="K14" s="48" t="s">
        <v>71</v>
      </c>
      <c r="L14" s="48" t="s">
        <v>113</v>
      </c>
      <c r="M14" s="48" t="s">
        <v>86</v>
      </c>
      <c r="N14" s="48" t="s">
        <v>87</v>
      </c>
      <c r="O14" s="48" t="s">
        <v>86</v>
      </c>
      <c r="P14" s="49" t="s">
        <v>45</v>
      </c>
    </row>
    <row r="15" spans="1:18" ht="30" x14ac:dyDescent="0.25">
      <c r="A15" s="85">
        <v>12</v>
      </c>
      <c r="B15" s="85">
        <v>13.859024999999999</v>
      </c>
      <c r="C15" s="85">
        <v>22.884900000000002</v>
      </c>
      <c r="D15" s="85">
        <v>1016.9207249999999</v>
      </c>
      <c r="F15" s="15" t="s">
        <v>85</v>
      </c>
      <c r="G15" s="16">
        <v>185</v>
      </c>
      <c r="H15" s="16" t="s">
        <v>46</v>
      </c>
      <c r="I15" s="16"/>
      <c r="J15" s="39"/>
      <c r="K15" s="16" t="s">
        <v>90</v>
      </c>
      <c r="L15" s="23">
        <v>212</v>
      </c>
      <c r="M15" s="16" t="s">
        <v>47</v>
      </c>
      <c r="N15" s="35">
        <f>CONVERT(L15,"um","m")</f>
        <v>2.12E-4</v>
      </c>
      <c r="O15" s="17" t="s">
        <v>46</v>
      </c>
      <c r="P15" s="33">
        <f>N15/2</f>
        <v>1.06E-4</v>
      </c>
    </row>
    <row r="16" spans="1:18" x14ac:dyDescent="0.25">
      <c r="A16" s="85">
        <v>13</v>
      </c>
      <c r="B16" s="85">
        <v>13.84845</v>
      </c>
      <c r="C16" s="85">
        <v>22.057874999999999</v>
      </c>
      <c r="D16" s="85">
        <v>1016.5208</v>
      </c>
      <c r="F16" s="15" t="s">
        <v>48</v>
      </c>
      <c r="G16" s="8">
        <v>10.255318888888889</v>
      </c>
      <c r="H16" s="16" t="s">
        <v>49</v>
      </c>
      <c r="I16" s="16"/>
      <c r="J16" s="39"/>
      <c r="K16" s="16" t="s">
        <v>89</v>
      </c>
      <c r="L16" s="16">
        <v>159</v>
      </c>
      <c r="M16" s="16" t="s">
        <v>47</v>
      </c>
      <c r="N16" s="35">
        <f t="shared" ref="N16:N20" si="2">CONVERT(L16,"um","m")</f>
        <v>1.5899999999999999E-4</v>
      </c>
      <c r="O16" s="17" t="s">
        <v>46</v>
      </c>
      <c r="P16" s="33">
        <f t="shared" ref="P16:P20" si="3">N16/2</f>
        <v>7.9499999999999994E-5</v>
      </c>
    </row>
    <row r="17" spans="1:16" x14ac:dyDescent="0.25">
      <c r="A17" s="85">
        <v>14</v>
      </c>
      <c r="B17" s="85">
        <v>13.83695</v>
      </c>
      <c r="C17" s="85">
        <v>22.177624999999999</v>
      </c>
      <c r="D17" s="85">
        <v>1016.251525</v>
      </c>
      <c r="F17" s="15" t="s">
        <v>50</v>
      </c>
      <c r="G17" s="8">
        <v>31.123340555555558</v>
      </c>
      <c r="H17" s="16" t="s">
        <v>62</v>
      </c>
      <c r="I17" s="16">
        <v>33.653438888888886</v>
      </c>
      <c r="J17" s="39" t="s">
        <v>51</v>
      </c>
      <c r="K17" s="16" t="s">
        <v>91</v>
      </c>
      <c r="L17" s="16">
        <v>84.5</v>
      </c>
      <c r="M17" s="16" t="s">
        <v>47</v>
      </c>
      <c r="N17" s="35">
        <f t="shared" si="2"/>
        <v>8.4499999999999994E-5</v>
      </c>
      <c r="O17" s="17" t="s">
        <v>46</v>
      </c>
      <c r="P17" s="33">
        <f t="shared" si="3"/>
        <v>4.2249999999999997E-5</v>
      </c>
    </row>
    <row r="18" spans="1:16" x14ac:dyDescent="0.25">
      <c r="A18" s="85">
        <v>15</v>
      </c>
      <c r="B18" s="85">
        <v>13.821725000000001</v>
      </c>
      <c r="C18" s="85">
        <v>21.429500000000001</v>
      </c>
      <c r="D18" s="85">
        <v>1016.571375</v>
      </c>
      <c r="F18" s="15" t="s">
        <v>52</v>
      </c>
      <c r="G18" s="16">
        <v>171.74999999999994</v>
      </c>
      <c r="H18" s="16" t="s">
        <v>53</v>
      </c>
      <c r="I18" s="16">
        <f>G18/10</f>
        <v>17.174999999999994</v>
      </c>
      <c r="J18" s="39" t="s">
        <v>54</v>
      </c>
      <c r="K18" s="16" t="s">
        <v>92</v>
      </c>
      <c r="L18" s="16">
        <v>54</v>
      </c>
      <c r="M18" s="16" t="s">
        <v>47</v>
      </c>
      <c r="N18" s="35">
        <f t="shared" si="2"/>
        <v>5.3999999999999998E-5</v>
      </c>
      <c r="O18" s="17" t="s">
        <v>46</v>
      </c>
      <c r="P18" s="33">
        <f t="shared" si="3"/>
        <v>2.6999999999999999E-5</v>
      </c>
    </row>
    <row r="19" spans="1:16" ht="30" x14ac:dyDescent="0.25">
      <c r="A19" s="85">
        <v>16</v>
      </c>
      <c r="B19" s="85">
        <v>13.806999999999999</v>
      </c>
      <c r="C19" s="85">
        <v>22.147675</v>
      </c>
      <c r="D19" s="85">
        <v>1015.6313250000001</v>
      </c>
      <c r="F19" s="15" t="s">
        <v>63</v>
      </c>
      <c r="G19" s="16">
        <v>13</v>
      </c>
      <c r="H19" s="16" t="s">
        <v>55</v>
      </c>
      <c r="I19" s="16">
        <f>G19/100</f>
        <v>0.13</v>
      </c>
      <c r="J19" s="39" t="s">
        <v>56</v>
      </c>
      <c r="K19" s="16" t="s">
        <v>94</v>
      </c>
      <c r="L19" s="16">
        <v>32.5</v>
      </c>
      <c r="M19" s="16" t="s">
        <v>47</v>
      </c>
      <c r="N19" s="35">
        <f t="shared" si="2"/>
        <v>3.2499999999999997E-5</v>
      </c>
      <c r="O19" s="17" t="s">
        <v>46</v>
      </c>
      <c r="P19" s="33">
        <f t="shared" si="3"/>
        <v>1.6249999999999999E-5</v>
      </c>
    </row>
    <row r="20" spans="1:16" ht="30" x14ac:dyDescent="0.25">
      <c r="A20" s="85">
        <v>17</v>
      </c>
      <c r="B20" s="85">
        <v>13.7851</v>
      </c>
      <c r="C20" s="85">
        <v>22.861350000000002</v>
      </c>
      <c r="D20" s="85">
        <v>1016.806325</v>
      </c>
      <c r="F20" s="15" t="s">
        <v>64</v>
      </c>
      <c r="G20" s="16">
        <v>6</v>
      </c>
      <c r="H20" s="16" t="s">
        <v>55</v>
      </c>
      <c r="I20" s="16">
        <f>G20/100</f>
        <v>0.06</v>
      </c>
      <c r="J20" s="39" t="s">
        <v>56</v>
      </c>
      <c r="K20" s="25" t="s">
        <v>93</v>
      </c>
      <c r="L20" s="26">
        <v>20</v>
      </c>
      <c r="M20" s="26" t="s">
        <v>47</v>
      </c>
      <c r="N20" s="36">
        <f t="shared" si="2"/>
        <v>1.9999999999999998E-5</v>
      </c>
      <c r="O20" s="32" t="s">
        <v>46</v>
      </c>
      <c r="P20" s="34">
        <f t="shared" si="3"/>
        <v>9.9999999999999991E-6</v>
      </c>
    </row>
    <row r="21" spans="1:16" x14ac:dyDescent="0.25">
      <c r="A21" s="85">
        <v>18</v>
      </c>
      <c r="B21" s="85">
        <v>13.757774999999999</v>
      </c>
      <c r="C21" s="85">
        <v>24.526825000000002</v>
      </c>
      <c r="D21" s="85">
        <v>1017.860925</v>
      </c>
      <c r="F21" s="15" t="s">
        <v>57</v>
      </c>
      <c r="G21" s="132">
        <v>1024.6624366666665</v>
      </c>
      <c r="H21" s="16" t="s">
        <v>58</v>
      </c>
      <c r="I21" s="16"/>
      <c r="J21" s="39"/>
      <c r="K21" s="8"/>
      <c r="L21" s="8"/>
      <c r="M21" s="8"/>
      <c r="N21" s="8"/>
      <c r="O21" s="16"/>
      <c r="P21" s="18"/>
    </row>
    <row r="22" spans="1:16" x14ac:dyDescent="0.25">
      <c r="A22" s="85">
        <v>19</v>
      </c>
      <c r="B22" s="85">
        <v>13.72195</v>
      </c>
      <c r="C22" s="85">
        <v>24.951874999999998</v>
      </c>
      <c r="D22" s="85">
        <v>1018.4592749999999</v>
      </c>
      <c r="F22" s="322" t="s">
        <v>141</v>
      </c>
      <c r="G22" s="323"/>
      <c r="H22" s="323"/>
      <c r="I22" s="323"/>
      <c r="J22" s="324"/>
      <c r="K22" s="8"/>
      <c r="L22" s="116" t="s">
        <v>105</v>
      </c>
      <c r="M22" s="117" t="s">
        <v>106</v>
      </c>
      <c r="N22" s="118" t="s">
        <v>86</v>
      </c>
      <c r="O22" s="16"/>
      <c r="P22" s="18"/>
    </row>
    <row r="23" spans="1:16" ht="15.75" thickBot="1" x14ac:dyDescent="0.3">
      <c r="A23" s="85">
        <v>20</v>
      </c>
      <c r="B23" s="85">
        <v>13.674075</v>
      </c>
      <c r="C23" s="85">
        <v>25.332075</v>
      </c>
      <c r="D23" s="85">
        <v>1018.7788499999999</v>
      </c>
      <c r="F23" s="20"/>
      <c r="G23" s="16"/>
      <c r="H23" s="16"/>
      <c r="I23" s="16"/>
      <c r="J23" s="16"/>
      <c r="K23" s="8"/>
      <c r="L23" s="120" t="s">
        <v>59</v>
      </c>
      <c r="M23" s="115">
        <v>9.8000000000000007</v>
      </c>
      <c r="N23" s="121" t="s">
        <v>60</v>
      </c>
      <c r="O23" s="16"/>
      <c r="P23" s="18"/>
    </row>
    <row r="24" spans="1:16" ht="33.75" customHeight="1" x14ac:dyDescent="0.25">
      <c r="A24" s="85">
        <v>21</v>
      </c>
      <c r="B24" s="85">
        <v>13.618950000000002</v>
      </c>
      <c r="C24" s="85">
        <v>25.680524999999999</v>
      </c>
      <c r="D24" s="85">
        <v>1019.075325</v>
      </c>
      <c r="F24" s="20"/>
      <c r="G24" s="16"/>
      <c r="H24" s="8"/>
      <c r="I24" s="307" t="s">
        <v>142</v>
      </c>
      <c r="J24" s="308"/>
      <c r="K24" s="8"/>
      <c r="L24" s="119" t="s">
        <v>201</v>
      </c>
      <c r="M24" s="140">
        <v>1.5277000000000001E-3</v>
      </c>
      <c r="N24" s="39" t="s">
        <v>200</v>
      </c>
      <c r="O24" s="16"/>
      <c r="P24" s="18"/>
    </row>
    <row r="25" spans="1:16" ht="36.75" customHeight="1" thickBot="1" x14ac:dyDescent="0.3">
      <c r="A25" s="85">
        <v>22</v>
      </c>
      <c r="B25" s="85">
        <v>13.557700000000001</v>
      </c>
      <c r="C25" s="85">
        <v>25.51445</v>
      </c>
      <c r="D25" s="85">
        <v>1018.980325</v>
      </c>
      <c r="F25" s="20"/>
      <c r="G25" s="16"/>
      <c r="H25" s="8"/>
      <c r="I25" s="309"/>
      <c r="J25" s="310"/>
      <c r="K25" s="8"/>
      <c r="L25" s="120" t="s">
        <v>157</v>
      </c>
      <c r="M25" s="115">
        <f>O3</f>
        <v>2655</v>
      </c>
      <c r="N25" s="121" t="s">
        <v>58</v>
      </c>
      <c r="O25" s="16"/>
      <c r="P25" s="18"/>
    </row>
    <row r="26" spans="1:16" ht="36.75" customHeight="1" x14ac:dyDescent="0.25">
      <c r="A26" s="85">
        <v>23</v>
      </c>
      <c r="B26" s="85">
        <v>13.494775000000001</v>
      </c>
      <c r="C26" s="85">
        <v>26.305025000000001</v>
      </c>
      <c r="D26" s="85">
        <v>1019.5830000000001</v>
      </c>
      <c r="F26" s="44" t="s">
        <v>104</v>
      </c>
      <c r="G26" s="45" t="s">
        <v>56</v>
      </c>
      <c r="I26" s="309"/>
      <c r="J26" s="310"/>
      <c r="K26" s="8"/>
      <c r="L26" s="119" t="s">
        <v>158</v>
      </c>
      <c r="M26" s="19">
        <f>O4</f>
        <v>2659</v>
      </c>
      <c r="N26" s="39" t="s">
        <v>58</v>
      </c>
      <c r="O26" s="16"/>
      <c r="P26" s="18"/>
    </row>
    <row r="27" spans="1:16" ht="36.75" customHeight="1" x14ac:dyDescent="0.25">
      <c r="A27" s="85">
        <v>24</v>
      </c>
      <c r="B27" s="85">
        <v>13.4421</v>
      </c>
      <c r="C27" s="85">
        <v>26.675050000000002</v>
      </c>
      <c r="D27" s="85">
        <v>1019.8869750000001</v>
      </c>
      <c r="F27" s="20" t="s">
        <v>90</v>
      </c>
      <c r="G27" s="139">
        <f>(($M$23*($N15^2))*($M25-$G$21))/(18*$M$24)</f>
        <v>2.6113479819890571E-2</v>
      </c>
      <c r="I27" s="309"/>
      <c r="J27" s="310"/>
      <c r="K27" s="8"/>
      <c r="L27" s="119" t="s">
        <v>159</v>
      </c>
      <c r="M27" s="19">
        <f t="shared" ref="M27:M30" si="4">O5</f>
        <v>2659</v>
      </c>
      <c r="N27" s="39" t="s">
        <v>58</v>
      </c>
      <c r="O27" s="23"/>
      <c r="P27" s="18"/>
    </row>
    <row r="28" spans="1:16" ht="47.25" customHeight="1" x14ac:dyDescent="0.25">
      <c r="A28" s="85">
        <v>25</v>
      </c>
      <c r="B28" s="85">
        <v>13.390149999999998</v>
      </c>
      <c r="C28" s="85">
        <v>27.008275000000001</v>
      </c>
      <c r="D28" s="85">
        <v>1020.165475</v>
      </c>
      <c r="F28" s="20" t="s">
        <v>89</v>
      </c>
      <c r="G28" s="139">
        <f t="shared" ref="G28:G32" si="5">(($M$23*($N16^2))*($M26-$G$21))/(18*$M$24)</f>
        <v>1.4724871149752135E-2</v>
      </c>
      <c r="I28" s="309"/>
      <c r="J28" s="310"/>
      <c r="K28" s="8"/>
      <c r="L28" s="119" t="s">
        <v>160</v>
      </c>
      <c r="M28" s="19">
        <f t="shared" si="4"/>
        <v>2798</v>
      </c>
      <c r="N28" s="39" t="s">
        <v>58</v>
      </c>
      <c r="O28" s="24"/>
      <c r="P28" s="18"/>
    </row>
    <row r="29" spans="1:16" ht="47.25" customHeight="1" x14ac:dyDescent="0.25">
      <c r="A29" s="85">
        <v>26</v>
      </c>
      <c r="B29" s="85">
        <v>13.315125</v>
      </c>
      <c r="C29" s="85">
        <v>27.322524999999999</v>
      </c>
      <c r="D29" s="85">
        <v>1020.432575</v>
      </c>
      <c r="F29" s="20" t="s">
        <v>91</v>
      </c>
      <c r="G29" s="139">
        <f t="shared" si="5"/>
        <v>4.1588252532343524E-3</v>
      </c>
      <c r="I29" s="309"/>
      <c r="J29" s="310"/>
      <c r="K29" s="8"/>
      <c r="L29" s="119" t="s">
        <v>161</v>
      </c>
      <c r="M29" s="19">
        <f t="shared" si="4"/>
        <v>2798</v>
      </c>
      <c r="N29" s="39" t="s">
        <v>58</v>
      </c>
      <c r="O29" s="16"/>
      <c r="P29" s="18"/>
    </row>
    <row r="30" spans="1:16" ht="47.25" customHeight="1" thickBot="1" x14ac:dyDescent="0.3">
      <c r="A30" s="85">
        <v>27</v>
      </c>
      <c r="B30" s="85">
        <v>13.1966</v>
      </c>
      <c r="C30" s="85">
        <v>27.579099999999997</v>
      </c>
      <c r="D30" s="85">
        <v>1020.7191</v>
      </c>
      <c r="F30" s="20" t="s">
        <v>92</v>
      </c>
      <c r="G30" s="139">
        <f t="shared" si="5"/>
        <v>1.8428688325901684E-3</v>
      </c>
      <c r="I30" s="311"/>
      <c r="J30" s="312"/>
      <c r="K30" s="8"/>
      <c r="L30" s="122" t="s">
        <v>162</v>
      </c>
      <c r="M30" s="114">
        <f t="shared" si="4"/>
        <v>2798</v>
      </c>
      <c r="N30" s="123" t="s">
        <v>58</v>
      </c>
      <c r="O30" s="16"/>
      <c r="P30" s="18"/>
    </row>
    <row r="31" spans="1:16" ht="37.5" customHeight="1" x14ac:dyDescent="0.25">
      <c r="A31" s="85">
        <v>28</v>
      </c>
      <c r="B31" s="85">
        <v>13.029474999999998</v>
      </c>
      <c r="C31" s="85">
        <v>27.982750000000003</v>
      </c>
      <c r="D31" s="85">
        <v>1020.9569750000001</v>
      </c>
      <c r="F31" s="20" t="s">
        <v>94</v>
      </c>
      <c r="G31" s="139">
        <f t="shared" si="5"/>
        <v>6.6753436365684662E-4</v>
      </c>
      <c r="I31" s="8"/>
      <c r="J31" s="8"/>
      <c r="K31" s="8"/>
      <c r="L31" s="120" t="s">
        <v>107</v>
      </c>
      <c r="M31" s="16">
        <f>$M$23*(($M25-$G$21)/$G$21)</f>
        <v>15.592752841260108</v>
      </c>
      <c r="N31" s="126"/>
      <c r="O31" s="16"/>
      <c r="P31" s="18"/>
    </row>
    <row r="32" spans="1:16" ht="21" customHeight="1" thickBot="1" x14ac:dyDescent="0.3">
      <c r="A32" s="85">
        <v>29</v>
      </c>
      <c r="B32" s="85">
        <v>12.766999999999999</v>
      </c>
      <c r="C32" s="85">
        <v>28.339275000000001</v>
      </c>
      <c r="D32" s="85">
        <v>1021.346125</v>
      </c>
      <c r="F32" s="38" t="s">
        <v>93</v>
      </c>
      <c r="G32" s="145">
        <f t="shared" si="5"/>
        <v>2.5279407854460466E-4</v>
      </c>
      <c r="I32" s="8"/>
      <c r="J32" s="8"/>
      <c r="K32" s="8"/>
      <c r="L32" s="119" t="s">
        <v>108</v>
      </c>
      <c r="M32" s="16">
        <f t="shared" ref="M32:M36" si="6">$M$23*(($M26-$G$21)/$G$21)</f>
        <v>15.631009342715867</v>
      </c>
      <c r="N32" s="39"/>
      <c r="O32" s="16"/>
      <c r="P32" s="18"/>
    </row>
    <row r="33" spans="1:16" ht="17.25" customHeight="1" x14ac:dyDescent="0.25">
      <c r="A33" s="85">
        <v>30</v>
      </c>
      <c r="B33" s="85">
        <v>12.496974999999999</v>
      </c>
      <c r="C33" s="85">
        <v>28.612549999999999</v>
      </c>
      <c r="D33" s="85">
        <v>1021.6310249999999</v>
      </c>
      <c r="F33" s="41"/>
      <c r="G33" s="8"/>
      <c r="H33" s="8"/>
      <c r="I33" s="8"/>
      <c r="J33" s="8"/>
      <c r="K33" s="8"/>
      <c r="L33" s="119" t="s">
        <v>109</v>
      </c>
      <c r="M33" s="16">
        <f t="shared" si="6"/>
        <v>15.631009342715867</v>
      </c>
      <c r="N33" s="39"/>
      <c r="O33" s="16"/>
      <c r="P33" s="18"/>
    </row>
    <row r="34" spans="1:16" ht="15" customHeight="1" x14ac:dyDescent="0.25">
      <c r="A34" s="85">
        <v>31</v>
      </c>
      <c r="B34" s="85">
        <v>12.353125</v>
      </c>
      <c r="C34" s="85">
        <v>28.783749999999998</v>
      </c>
      <c r="D34" s="85">
        <v>1021.805025</v>
      </c>
      <c r="F34" s="41"/>
      <c r="G34" s="8"/>
      <c r="H34" s="8"/>
      <c r="I34" s="8"/>
      <c r="J34" s="8"/>
      <c r="K34" s="8"/>
      <c r="L34" s="119" t="s">
        <v>110</v>
      </c>
      <c r="M34" s="16">
        <f t="shared" si="6"/>
        <v>16.960422768303495</v>
      </c>
      <c r="N34" s="124"/>
      <c r="O34" s="8"/>
      <c r="P34" s="55"/>
    </row>
    <row r="35" spans="1:16" ht="15" customHeight="1" x14ac:dyDescent="0.25">
      <c r="A35" s="85">
        <v>32</v>
      </c>
      <c r="B35" s="85">
        <v>12.2378</v>
      </c>
      <c r="C35" s="85">
        <v>28.920825000000001</v>
      </c>
      <c r="D35" s="85">
        <v>1021.9408999999999</v>
      </c>
      <c r="F35" s="41"/>
      <c r="G35" s="8"/>
      <c r="H35" s="8"/>
      <c r="I35" s="8"/>
      <c r="J35" s="8"/>
      <c r="K35" s="8"/>
      <c r="L35" s="119" t="s">
        <v>111</v>
      </c>
      <c r="M35" s="16">
        <f t="shared" si="6"/>
        <v>16.960422768303495</v>
      </c>
      <c r="N35" s="124"/>
      <c r="O35" s="8"/>
      <c r="P35" s="55"/>
    </row>
    <row r="36" spans="1:16" ht="15" customHeight="1" x14ac:dyDescent="0.25">
      <c r="A36" s="85">
        <v>33</v>
      </c>
      <c r="B36" s="85">
        <v>12.127375000000001</v>
      </c>
      <c r="C36" s="85">
        <v>29.036749999999998</v>
      </c>
      <c r="D36" s="85">
        <v>1022.061875</v>
      </c>
      <c r="F36" s="41"/>
      <c r="G36" s="8"/>
      <c r="H36" s="8"/>
      <c r="I36" s="8"/>
      <c r="J36" s="8"/>
      <c r="K36" s="8"/>
      <c r="L36" s="122" t="s">
        <v>112</v>
      </c>
      <c r="M36" s="26">
        <f t="shared" si="6"/>
        <v>16.960422768303495</v>
      </c>
      <c r="N36" s="125"/>
      <c r="O36" s="8"/>
      <c r="P36" s="55"/>
    </row>
    <row r="37" spans="1:16" x14ac:dyDescent="0.25">
      <c r="A37" s="85">
        <v>34</v>
      </c>
      <c r="B37" s="85">
        <v>12.019825000000001</v>
      </c>
      <c r="C37" s="85">
        <v>29.114075</v>
      </c>
      <c r="D37" s="85">
        <v>1022.152025</v>
      </c>
      <c r="F37" s="41"/>
      <c r="G37" s="8"/>
      <c r="H37" s="8"/>
      <c r="I37" s="8"/>
      <c r="J37" s="8"/>
      <c r="K37" s="8"/>
      <c r="L37" s="8"/>
      <c r="M37" s="8"/>
      <c r="N37" s="8"/>
      <c r="O37" s="8"/>
      <c r="P37" s="55"/>
    </row>
    <row r="38" spans="1:16" ht="18" customHeight="1" thickBot="1" x14ac:dyDescent="0.3">
      <c r="A38" s="85">
        <v>35</v>
      </c>
      <c r="B38" s="85">
        <v>11.914874999999999</v>
      </c>
      <c r="C38" s="85">
        <v>29.182649999999999</v>
      </c>
      <c r="D38" s="85">
        <v>1022.229075</v>
      </c>
      <c r="F38" s="41"/>
      <c r="G38" s="8"/>
      <c r="H38" s="8"/>
      <c r="I38" s="8"/>
      <c r="J38" s="8"/>
      <c r="K38" s="8"/>
      <c r="L38" s="8"/>
      <c r="M38" s="8"/>
      <c r="N38" s="8"/>
      <c r="O38" s="8"/>
      <c r="P38" s="55"/>
    </row>
    <row r="39" spans="1:16" ht="30" x14ac:dyDescent="0.25">
      <c r="A39" s="85">
        <v>36</v>
      </c>
      <c r="B39" s="85">
        <v>11.798</v>
      </c>
      <c r="C39" s="85">
        <v>29.255424999999999</v>
      </c>
      <c r="D39" s="85">
        <v>1022.3089249999999</v>
      </c>
      <c r="F39" s="44" t="s">
        <v>114</v>
      </c>
      <c r="G39" s="45" t="s">
        <v>174</v>
      </c>
      <c r="H39" s="46" t="s">
        <v>61</v>
      </c>
      <c r="I39" s="45" t="s">
        <v>175</v>
      </c>
      <c r="J39" s="46" t="s">
        <v>61</v>
      </c>
      <c r="K39" s="129"/>
      <c r="L39" s="45" t="s">
        <v>116</v>
      </c>
      <c r="M39" s="45" t="s">
        <v>174</v>
      </c>
      <c r="N39" s="46" t="s">
        <v>61</v>
      </c>
      <c r="O39" s="45" t="s">
        <v>175</v>
      </c>
      <c r="P39" s="47" t="s">
        <v>61</v>
      </c>
    </row>
    <row r="40" spans="1:16" x14ac:dyDescent="0.25">
      <c r="A40" s="85">
        <v>37</v>
      </c>
      <c r="B40" s="85">
        <v>11.648375</v>
      </c>
      <c r="C40" s="85">
        <v>29.337824999999999</v>
      </c>
      <c r="D40" s="85">
        <v>1022.4047499999999</v>
      </c>
      <c r="F40" s="20" t="s">
        <v>90</v>
      </c>
      <c r="G40" s="138">
        <f>10*($I$19/$G27)</f>
        <v>49.782717928301281</v>
      </c>
      <c r="H40" s="162">
        <f>G40/1000</f>
        <v>4.978271792830128E-2</v>
      </c>
      <c r="I40" s="158">
        <f>10*($I$20/$G27)</f>
        <v>22.976639043831359</v>
      </c>
      <c r="J40" s="162">
        <f>I40/1000</f>
        <v>2.2976639043831359E-2</v>
      </c>
      <c r="K40" s="163"/>
      <c r="L40" s="158" t="s">
        <v>90</v>
      </c>
      <c r="M40" s="138">
        <f>5*($I$19/$G27)</f>
        <v>24.891358964150641</v>
      </c>
      <c r="N40" s="162">
        <f>M40/1000</f>
        <v>2.489135896415064E-2</v>
      </c>
      <c r="O40" s="158">
        <f>5*($I$20/$G27)</f>
        <v>11.488319521915679</v>
      </c>
      <c r="P40" s="164">
        <f>O40/1000</f>
        <v>1.1488319521915679E-2</v>
      </c>
    </row>
    <row r="41" spans="1:16" x14ac:dyDescent="0.25">
      <c r="A41" s="85">
        <v>38</v>
      </c>
      <c r="B41" s="85">
        <v>11.480899999999998</v>
      </c>
      <c r="C41" s="85">
        <v>29.4176</v>
      </c>
      <c r="D41" s="85">
        <v>1022.5047000000001</v>
      </c>
      <c r="F41" s="20" t="s">
        <v>89</v>
      </c>
      <c r="G41" s="138">
        <f t="shared" ref="G41:G45" si="7">10*($I$19/$G28)</f>
        <v>88.286001743511548</v>
      </c>
      <c r="H41" s="162">
        <f t="shared" ref="H41:H45" si="8">G41/1000</f>
        <v>8.8286001743511547E-2</v>
      </c>
      <c r="I41" s="158">
        <f t="shared" ref="I41:I45" si="9">10*($I$20/$G28)</f>
        <v>40.74738542008226</v>
      </c>
      <c r="J41" s="162">
        <f t="shared" ref="J41:J45" si="10">I41/1000</f>
        <v>4.0747385420082258E-2</v>
      </c>
      <c r="K41" s="163"/>
      <c r="L41" s="158" t="s">
        <v>89</v>
      </c>
      <c r="M41" s="138">
        <f t="shared" ref="M41:M45" si="11">5*($I$19/$G28)</f>
        <v>44.143000871755774</v>
      </c>
      <c r="N41" s="162">
        <f t="shared" ref="N41:N45" si="12">M41/1000</f>
        <v>4.4143000871755773E-2</v>
      </c>
      <c r="O41" s="158">
        <f t="shared" ref="O41:O45" si="13">5*($I$20/$G28)</f>
        <v>20.37369271004113</v>
      </c>
      <c r="P41" s="164">
        <f t="shared" ref="P41:P45" si="14">O41/1000</f>
        <v>2.0373692710041129E-2</v>
      </c>
    </row>
    <row r="42" spans="1:16" x14ac:dyDescent="0.25">
      <c r="A42" s="85">
        <v>39</v>
      </c>
      <c r="B42" s="85">
        <v>11.326875000000001</v>
      </c>
      <c r="C42" s="85">
        <v>29.490949999999998</v>
      </c>
      <c r="D42" s="85">
        <v>1022.596275</v>
      </c>
      <c r="F42" s="20" t="s">
        <v>91</v>
      </c>
      <c r="G42" s="138">
        <f t="shared" si="7"/>
        <v>312.58827213020777</v>
      </c>
      <c r="H42" s="162">
        <f t="shared" si="8"/>
        <v>0.31258827213020779</v>
      </c>
      <c r="I42" s="158">
        <f t="shared" si="9"/>
        <v>144.27151021394204</v>
      </c>
      <c r="J42" s="162">
        <f t="shared" si="10"/>
        <v>0.14427151021394205</v>
      </c>
      <c r="K42" s="163"/>
      <c r="L42" s="158" t="s">
        <v>91</v>
      </c>
      <c r="M42" s="138">
        <f t="shared" si="11"/>
        <v>156.29413606510388</v>
      </c>
      <c r="N42" s="162">
        <f t="shared" si="12"/>
        <v>0.15629413606510389</v>
      </c>
      <c r="O42" s="158">
        <f t="shared" si="13"/>
        <v>72.135755106971018</v>
      </c>
      <c r="P42" s="164">
        <f t="shared" si="14"/>
        <v>7.2135755106971025E-2</v>
      </c>
    </row>
    <row r="43" spans="1:16" x14ac:dyDescent="0.25">
      <c r="A43" s="85">
        <v>40</v>
      </c>
      <c r="B43" s="85">
        <v>11.198475</v>
      </c>
      <c r="C43" s="85">
        <v>29.5441</v>
      </c>
      <c r="D43" s="85">
        <v>1022.669175</v>
      </c>
      <c r="F43" s="20" t="s">
        <v>92</v>
      </c>
      <c r="G43" s="138">
        <f t="shared" si="7"/>
        <v>705.42188191052014</v>
      </c>
      <c r="H43" s="162">
        <f t="shared" si="8"/>
        <v>0.70542188191052013</v>
      </c>
      <c r="I43" s="158">
        <f t="shared" si="9"/>
        <v>325.57933011254772</v>
      </c>
      <c r="J43" s="162">
        <f t="shared" si="10"/>
        <v>0.32557933011254775</v>
      </c>
      <c r="K43" s="163"/>
      <c r="L43" s="158" t="s">
        <v>92</v>
      </c>
      <c r="M43" s="138">
        <f t="shared" si="11"/>
        <v>352.71094095526007</v>
      </c>
      <c r="N43" s="162">
        <f t="shared" si="12"/>
        <v>0.35271094095526007</v>
      </c>
      <c r="O43" s="158">
        <f t="shared" si="13"/>
        <v>162.78966505627386</v>
      </c>
      <c r="P43" s="164">
        <f t="shared" si="14"/>
        <v>0.16278966505627387</v>
      </c>
    </row>
    <row r="44" spans="1:16" x14ac:dyDescent="0.25">
      <c r="A44" s="85">
        <v>41</v>
      </c>
      <c r="B44" s="85">
        <v>11.100849999999999</v>
      </c>
      <c r="C44" s="85">
        <v>29.579425000000001</v>
      </c>
      <c r="D44" s="85">
        <v>1022.72005</v>
      </c>
      <c r="F44" s="20" t="s">
        <v>94</v>
      </c>
      <c r="G44" s="138">
        <f t="shared" si="7"/>
        <v>1947.4652853501329</v>
      </c>
      <c r="H44" s="162">
        <f t="shared" si="8"/>
        <v>1.9474652853501329</v>
      </c>
      <c r="I44" s="158">
        <f t="shared" si="9"/>
        <v>898.8301317000612</v>
      </c>
      <c r="J44" s="162">
        <f t="shared" si="10"/>
        <v>0.89883013170006121</v>
      </c>
      <c r="K44" s="163"/>
      <c r="L44" s="158" t="s">
        <v>94</v>
      </c>
      <c r="M44" s="138">
        <f t="shared" si="11"/>
        <v>973.73264267506647</v>
      </c>
      <c r="N44" s="162">
        <f t="shared" si="12"/>
        <v>0.97373264267506643</v>
      </c>
      <c r="O44" s="158">
        <f t="shared" si="13"/>
        <v>449.4150658500306</v>
      </c>
      <c r="P44" s="164">
        <f t="shared" si="14"/>
        <v>0.4494150658500306</v>
      </c>
    </row>
    <row r="45" spans="1:16" x14ac:dyDescent="0.25">
      <c r="A45" s="85">
        <v>42</v>
      </c>
      <c r="B45" s="85">
        <v>11.020325</v>
      </c>
      <c r="C45" s="85">
        <v>29.6084</v>
      </c>
      <c r="D45" s="85">
        <v>1022.7617</v>
      </c>
      <c r="F45" s="37" t="s">
        <v>93</v>
      </c>
      <c r="G45" s="138">
        <f t="shared" si="7"/>
        <v>5142.5255191276938</v>
      </c>
      <c r="H45" s="162">
        <f t="shared" si="8"/>
        <v>5.1425255191276937</v>
      </c>
      <c r="I45" s="158">
        <f t="shared" si="9"/>
        <v>2373.4733165204739</v>
      </c>
      <c r="J45" s="162">
        <f t="shared" si="10"/>
        <v>2.373473316520474</v>
      </c>
      <c r="K45" s="163"/>
      <c r="L45" s="165" t="s">
        <v>93</v>
      </c>
      <c r="M45" s="138">
        <f t="shared" si="11"/>
        <v>2571.2627595638469</v>
      </c>
      <c r="N45" s="162">
        <f t="shared" si="12"/>
        <v>2.5712627595638469</v>
      </c>
      <c r="O45" s="158">
        <f t="shared" si="13"/>
        <v>1186.7366582602369</v>
      </c>
      <c r="P45" s="164">
        <f t="shared" si="14"/>
        <v>1.186736658260237</v>
      </c>
    </row>
    <row r="46" spans="1:16" ht="15.75" thickBot="1" x14ac:dyDescent="0.3">
      <c r="A46" s="85">
        <v>43</v>
      </c>
      <c r="B46" s="85">
        <v>10.944725</v>
      </c>
      <c r="C46" s="85">
        <v>29.636050000000001</v>
      </c>
      <c r="D46" s="85">
        <v>1022.8013</v>
      </c>
      <c r="F46" s="130"/>
      <c r="G46" s="159"/>
      <c r="H46" s="159"/>
      <c r="I46" s="159"/>
      <c r="J46" s="159"/>
      <c r="K46" s="163"/>
      <c r="L46" s="159"/>
      <c r="M46" s="159"/>
      <c r="N46" s="159"/>
      <c r="O46" s="159"/>
      <c r="P46" s="166"/>
    </row>
    <row r="47" spans="1:16" ht="30" x14ac:dyDescent="0.25">
      <c r="A47" s="85">
        <v>44</v>
      </c>
      <c r="B47" s="85">
        <v>10.875200000000001</v>
      </c>
      <c r="C47" s="85">
        <v>29.66</v>
      </c>
      <c r="D47" s="85">
        <v>1022.8371</v>
      </c>
      <c r="F47" s="42" t="s">
        <v>115</v>
      </c>
      <c r="G47" s="160" t="s">
        <v>174</v>
      </c>
      <c r="H47" s="167" t="s">
        <v>61</v>
      </c>
      <c r="I47" s="160" t="s">
        <v>175</v>
      </c>
      <c r="J47" s="167" t="s">
        <v>61</v>
      </c>
      <c r="K47" s="168"/>
      <c r="L47" s="169" t="s">
        <v>117</v>
      </c>
      <c r="M47" s="160" t="s">
        <v>174</v>
      </c>
      <c r="N47" s="167" t="s">
        <v>61</v>
      </c>
      <c r="O47" s="160" t="s">
        <v>175</v>
      </c>
      <c r="P47" s="170" t="s">
        <v>61</v>
      </c>
    </row>
    <row r="48" spans="1:16" x14ac:dyDescent="0.25">
      <c r="A48" s="85">
        <v>45</v>
      </c>
      <c r="B48" s="85">
        <v>10.810174999999999</v>
      </c>
      <c r="C48" s="85">
        <v>29.682725000000001</v>
      </c>
      <c r="D48" s="85">
        <v>1022.8706</v>
      </c>
      <c r="F48" s="20" t="s">
        <v>90</v>
      </c>
      <c r="G48" s="138">
        <f>20*($I$19/$G27)</f>
        <v>99.565435856602562</v>
      </c>
      <c r="H48" s="162">
        <f>G48/1000</f>
        <v>9.956543585660256E-2</v>
      </c>
      <c r="I48" s="158">
        <f>20*($I$20/$G27)</f>
        <v>45.953278087662717</v>
      </c>
      <c r="J48" s="162">
        <f>I48/1000</f>
        <v>4.5953278087662718E-2</v>
      </c>
      <c r="K48" s="163"/>
      <c r="L48" s="158" t="s">
        <v>90</v>
      </c>
      <c r="M48" s="138">
        <f>1*($I$19/$G27)</f>
        <v>4.9782717928301281</v>
      </c>
      <c r="N48" s="162">
        <f>M48/1000</f>
        <v>4.9782717928301282E-3</v>
      </c>
      <c r="O48" s="158">
        <f>1*($I$20/$G27)</f>
        <v>2.2976639043831359</v>
      </c>
      <c r="P48" s="164">
        <f>O48/1000</f>
        <v>2.2976639043831358E-3</v>
      </c>
    </row>
    <row r="49" spans="1:16" x14ac:dyDescent="0.25">
      <c r="A49" s="85">
        <v>46</v>
      </c>
      <c r="B49" s="85">
        <v>10.750275</v>
      </c>
      <c r="C49" s="85">
        <v>29.7041</v>
      </c>
      <c r="D49" s="85">
        <v>1022.902875</v>
      </c>
      <c r="F49" s="20" t="s">
        <v>89</v>
      </c>
      <c r="G49" s="138">
        <f t="shared" ref="G49:G53" si="15">20*($I$19/$G28)</f>
        <v>176.5720034870231</v>
      </c>
      <c r="H49" s="162">
        <f t="shared" ref="H49:H53" si="16">G49/1000</f>
        <v>0.17657200348702309</v>
      </c>
      <c r="I49" s="158">
        <f t="shared" ref="I49:I53" si="17">20*($I$20/$G28)</f>
        <v>81.49477084016452</v>
      </c>
      <c r="J49" s="162">
        <f t="shared" ref="J49:J53" si="18">I49/1000</f>
        <v>8.1494770840164515E-2</v>
      </c>
      <c r="K49" s="163"/>
      <c r="L49" s="158" t="s">
        <v>89</v>
      </c>
      <c r="M49" s="138">
        <f t="shared" ref="M49:M53" si="19">1*($I$19/$G28)</f>
        <v>8.8286001743511555</v>
      </c>
      <c r="N49" s="162">
        <f t="shared" ref="N49:N53" si="20">M49/1000</f>
        <v>8.8286001743511557E-3</v>
      </c>
      <c r="O49" s="158">
        <f t="shared" ref="O49:O53" si="21">1*($I$20/$G28)</f>
        <v>4.0747385420082258</v>
      </c>
      <c r="P49" s="164">
        <f t="shared" ref="P49:P53" si="22">O49/1000</f>
        <v>4.0747385420082261E-3</v>
      </c>
    </row>
    <row r="50" spans="1:16" x14ac:dyDescent="0.25">
      <c r="A50" s="85">
        <v>47</v>
      </c>
      <c r="B50" s="85">
        <v>10.697025</v>
      </c>
      <c r="C50" s="85">
        <v>29.723625000000002</v>
      </c>
      <c r="D50" s="85">
        <v>1022.9324</v>
      </c>
      <c r="F50" s="20" t="s">
        <v>91</v>
      </c>
      <c r="G50" s="138">
        <f t="shared" si="15"/>
        <v>625.17654426041554</v>
      </c>
      <c r="H50" s="162">
        <f t="shared" si="16"/>
        <v>0.62517654426041558</v>
      </c>
      <c r="I50" s="158">
        <f t="shared" si="17"/>
        <v>288.54302042788407</v>
      </c>
      <c r="J50" s="162">
        <f t="shared" si="18"/>
        <v>0.2885430204278841</v>
      </c>
      <c r="K50" s="163"/>
      <c r="L50" s="158" t="s">
        <v>91</v>
      </c>
      <c r="M50" s="138">
        <f t="shared" si="19"/>
        <v>31.25882721302078</v>
      </c>
      <c r="N50" s="162">
        <f t="shared" si="20"/>
        <v>3.1258827213020778E-2</v>
      </c>
      <c r="O50" s="158">
        <f t="shared" si="21"/>
        <v>14.427151021394204</v>
      </c>
      <c r="P50" s="164">
        <f t="shared" si="22"/>
        <v>1.4427151021394203E-2</v>
      </c>
    </row>
    <row r="51" spans="1:16" x14ac:dyDescent="0.25">
      <c r="A51" s="85">
        <v>48</v>
      </c>
      <c r="B51" s="85">
        <v>10.638574999999999</v>
      </c>
      <c r="C51" s="85">
        <v>29.747824999999999</v>
      </c>
      <c r="D51" s="85">
        <v>1022.96545</v>
      </c>
      <c r="F51" s="20" t="s">
        <v>92</v>
      </c>
      <c r="G51" s="138">
        <f t="shared" si="15"/>
        <v>1410.8437638210403</v>
      </c>
      <c r="H51" s="162">
        <f t="shared" si="16"/>
        <v>1.4108437638210403</v>
      </c>
      <c r="I51" s="158">
        <f t="shared" si="17"/>
        <v>651.15866022509545</v>
      </c>
      <c r="J51" s="162">
        <f t="shared" si="18"/>
        <v>0.6511586602250955</v>
      </c>
      <c r="K51" s="163"/>
      <c r="L51" s="158" t="s">
        <v>92</v>
      </c>
      <c r="M51" s="138">
        <f t="shared" si="19"/>
        <v>70.54218819105202</v>
      </c>
      <c r="N51" s="162">
        <f t="shared" si="20"/>
        <v>7.0542188191052013E-2</v>
      </c>
      <c r="O51" s="158">
        <f t="shared" si="21"/>
        <v>32.557933011254775</v>
      </c>
      <c r="P51" s="164">
        <f t="shared" si="22"/>
        <v>3.2557933011254772E-2</v>
      </c>
    </row>
    <row r="52" spans="1:16" x14ac:dyDescent="0.25">
      <c r="A52" s="85">
        <v>49</v>
      </c>
      <c r="B52" s="85">
        <v>10.577349999999999</v>
      </c>
      <c r="C52" s="85">
        <v>29.776399999999999</v>
      </c>
      <c r="D52" s="85">
        <v>1023.002625</v>
      </c>
      <c r="F52" s="20" t="s">
        <v>94</v>
      </c>
      <c r="G52" s="138">
        <f t="shared" si="15"/>
        <v>3894.9305707002659</v>
      </c>
      <c r="H52" s="162">
        <f t="shared" si="16"/>
        <v>3.8949305707002657</v>
      </c>
      <c r="I52" s="158">
        <f t="shared" si="17"/>
        <v>1797.6602634001224</v>
      </c>
      <c r="J52" s="162">
        <f t="shared" si="18"/>
        <v>1.7976602634001224</v>
      </c>
      <c r="K52" s="163"/>
      <c r="L52" s="158" t="s">
        <v>94</v>
      </c>
      <c r="M52" s="138">
        <f t="shared" si="19"/>
        <v>194.74652853501328</v>
      </c>
      <c r="N52" s="162">
        <f t="shared" si="20"/>
        <v>0.19474652853501329</v>
      </c>
      <c r="O52" s="158">
        <f t="shared" si="21"/>
        <v>89.883013170006123</v>
      </c>
      <c r="P52" s="164">
        <f t="shared" si="22"/>
        <v>8.9883013170006118E-2</v>
      </c>
    </row>
    <row r="53" spans="1:16" ht="15.75" thickBot="1" x14ac:dyDescent="0.3">
      <c r="A53" s="85">
        <v>50</v>
      </c>
      <c r="B53" s="85">
        <v>10.5314</v>
      </c>
      <c r="C53" s="85">
        <v>29.802950000000003</v>
      </c>
      <c r="D53" s="85">
        <v>1023.0354</v>
      </c>
      <c r="F53" s="38" t="s">
        <v>93</v>
      </c>
      <c r="G53" s="141">
        <f t="shared" si="15"/>
        <v>10285.051038255388</v>
      </c>
      <c r="H53" s="171">
        <f t="shared" si="16"/>
        <v>10.285051038255387</v>
      </c>
      <c r="I53" s="161">
        <f t="shared" si="17"/>
        <v>4746.9466330409477</v>
      </c>
      <c r="J53" s="171">
        <f t="shared" si="18"/>
        <v>4.746946633040948</v>
      </c>
      <c r="K53" s="172"/>
      <c r="L53" s="173" t="s">
        <v>93</v>
      </c>
      <c r="M53" s="141">
        <f t="shared" si="19"/>
        <v>514.25255191276938</v>
      </c>
      <c r="N53" s="171">
        <f t="shared" si="20"/>
        <v>0.51425255191276942</v>
      </c>
      <c r="O53" s="161">
        <f t="shared" si="21"/>
        <v>237.34733165204739</v>
      </c>
      <c r="P53" s="174">
        <f t="shared" si="22"/>
        <v>0.23734733165204738</v>
      </c>
    </row>
    <row r="54" spans="1:16" x14ac:dyDescent="0.25">
      <c r="A54" s="85">
        <v>51</v>
      </c>
      <c r="B54" s="85">
        <v>10.49605</v>
      </c>
      <c r="C54" s="85">
        <v>29.8248</v>
      </c>
      <c r="D54" s="85">
        <v>1023.0628999999999</v>
      </c>
    </row>
    <row r="55" spans="1:16" x14ac:dyDescent="0.25">
      <c r="A55" s="85">
        <v>52</v>
      </c>
      <c r="B55" s="85">
        <v>10.465999999999999</v>
      </c>
      <c r="C55" s="85">
        <v>29.842199999999998</v>
      </c>
      <c r="D55" s="85">
        <v>1023.0869749999999</v>
      </c>
    </row>
    <row r="56" spans="1:16" x14ac:dyDescent="0.25">
      <c r="A56" s="85">
        <v>53</v>
      </c>
      <c r="B56" s="85">
        <v>10.442</v>
      </c>
      <c r="C56" s="85">
        <v>29.8552</v>
      </c>
      <c r="D56" s="85">
        <v>1023.106225</v>
      </c>
    </row>
    <row r="57" spans="1:16" x14ac:dyDescent="0.25">
      <c r="A57" s="85">
        <v>54</v>
      </c>
      <c r="B57" s="85">
        <v>10.41855</v>
      </c>
      <c r="C57" s="85">
        <v>29.867525000000001</v>
      </c>
      <c r="D57" s="85">
        <v>1023.124125</v>
      </c>
    </row>
    <row r="58" spans="1:16" x14ac:dyDescent="0.25">
      <c r="A58" s="85">
        <v>55</v>
      </c>
      <c r="B58" s="85">
        <v>10.38935</v>
      </c>
      <c r="C58" s="85">
        <v>29.883399999999998</v>
      </c>
      <c r="D58" s="85">
        <v>1023.1457</v>
      </c>
    </row>
    <row r="59" spans="1:16" x14ac:dyDescent="0.25">
      <c r="A59" s="85">
        <v>56</v>
      </c>
      <c r="B59" s="85">
        <v>10.358274999999999</v>
      </c>
      <c r="C59" s="85">
        <v>29.897650000000002</v>
      </c>
      <c r="D59" s="85">
        <v>1023.166925</v>
      </c>
    </row>
    <row r="60" spans="1:16" x14ac:dyDescent="0.25">
      <c r="A60" s="85">
        <v>57</v>
      </c>
      <c r="B60" s="85">
        <v>10.331199999999999</v>
      </c>
      <c r="C60" s="85">
        <v>29.91245</v>
      </c>
      <c r="D60" s="85">
        <v>1023.1873999999999</v>
      </c>
    </row>
    <row r="61" spans="1:16" x14ac:dyDescent="0.25">
      <c r="A61" s="85">
        <v>58</v>
      </c>
      <c r="B61" s="85">
        <v>10.308249999999999</v>
      </c>
      <c r="C61" s="85">
        <v>29.927524999999999</v>
      </c>
      <c r="D61" s="85">
        <v>1023.2074</v>
      </c>
    </row>
    <row r="62" spans="1:16" x14ac:dyDescent="0.25">
      <c r="A62" s="85">
        <v>59</v>
      </c>
      <c r="B62" s="85">
        <v>10.291550000000001</v>
      </c>
      <c r="C62" s="85">
        <v>29.942625</v>
      </c>
      <c r="D62" s="85">
        <v>1023.2269249999999</v>
      </c>
    </row>
    <row r="63" spans="1:16" x14ac:dyDescent="0.25">
      <c r="A63" s="85">
        <v>60</v>
      </c>
      <c r="B63" s="85">
        <v>10.2835</v>
      </c>
      <c r="C63" s="85">
        <v>29.9557</v>
      </c>
      <c r="D63" s="85">
        <v>1023.2433000000001</v>
      </c>
    </row>
    <row r="64" spans="1:16" x14ac:dyDescent="0.25">
      <c r="A64" s="85">
        <v>61</v>
      </c>
      <c r="B64" s="85">
        <v>10.2813</v>
      </c>
      <c r="C64" s="85">
        <v>29.972149999999999</v>
      </c>
      <c r="D64" s="85">
        <v>1023.2609</v>
      </c>
    </row>
    <row r="65" spans="1:4" x14ac:dyDescent="0.25">
      <c r="A65" s="85">
        <v>62</v>
      </c>
      <c r="B65" s="85">
        <v>10.284025</v>
      </c>
      <c r="C65" s="85">
        <v>29.987500000000001</v>
      </c>
      <c r="D65" s="85">
        <v>1023.2775250000001</v>
      </c>
    </row>
    <row r="66" spans="1:4" x14ac:dyDescent="0.25">
      <c r="A66" s="85">
        <v>63</v>
      </c>
      <c r="B66" s="85">
        <v>10.29345</v>
      </c>
      <c r="C66" s="85">
        <v>30.002224999999996</v>
      </c>
      <c r="D66" s="85">
        <v>1023.2921249999999</v>
      </c>
    </row>
    <row r="67" spans="1:4" x14ac:dyDescent="0.25">
      <c r="A67" s="85">
        <v>64</v>
      </c>
      <c r="B67" s="85">
        <v>10.30805</v>
      </c>
      <c r="C67" s="85">
        <v>30.015650000000001</v>
      </c>
      <c r="D67" s="85">
        <v>1023.3049500000001</v>
      </c>
    </row>
    <row r="68" spans="1:4" x14ac:dyDescent="0.25">
      <c r="A68" s="85">
        <v>65</v>
      </c>
      <c r="B68" s="85">
        <v>10.328875</v>
      </c>
      <c r="C68" s="85">
        <v>30.037924999999998</v>
      </c>
      <c r="D68" s="85">
        <v>1023.3216000000001</v>
      </c>
    </row>
    <row r="69" spans="1:4" x14ac:dyDescent="0.25">
      <c r="A69" s="85">
        <v>66</v>
      </c>
      <c r="B69" s="85">
        <v>10.37355</v>
      </c>
      <c r="C69" s="85">
        <v>30.072924999999998</v>
      </c>
      <c r="D69" s="85">
        <v>1023.3452</v>
      </c>
    </row>
    <row r="70" spans="1:4" x14ac:dyDescent="0.25">
      <c r="A70" s="85">
        <v>67</v>
      </c>
      <c r="B70" s="85">
        <v>10.44745</v>
      </c>
      <c r="C70" s="85">
        <v>30.112500000000001</v>
      </c>
      <c r="D70" s="85">
        <v>1023.3698000000001</v>
      </c>
    </row>
    <row r="71" spans="1:4" x14ac:dyDescent="0.25">
      <c r="A71" s="85">
        <v>68</v>
      </c>
      <c r="B71" s="85">
        <v>10.510149999999999</v>
      </c>
      <c r="C71" s="85">
        <v>30.132225000000002</v>
      </c>
      <c r="D71" s="85">
        <v>1023.381575</v>
      </c>
    </row>
    <row r="72" spans="1:4" x14ac:dyDescent="0.25">
      <c r="A72" s="85">
        <v>69</v>
      </c>
      <c r="B72" s="85">
        <v>10.53105</v>
      </c>
      <c r="C72" s="85">
        <v>30.143575000000002</v>
      </c>
      <c r="D72" s="85">
        <v>1023.3903749999999</v>
      </c>
    </row>
    <row r="73" spans="1:4" x14ac:dyDescent="0.25">
      <c r="A73" s="85">
        <v>70</v>
      </c>
      <c r="B73" s="85">
        <v>10.531675</v>
      </c>
      <c r="C73" s="85">
        <v>30.156950000000002</v>
      </c>
      <c r="D73" s="85">
        <v>1023.40495</v>
      </c>
    </row>
    <row r="74" spans="1:4" x14ac:dyDescent="0.25">
      <c r="A74" s="85">
        <v>71</v>
      </c>
      <c r="B74" s="85">
        <v>10.526125</v>
      </c>
      <c r="C74" s="85">
        <v>30.171050000000001</v>
      </c>
      <c r="D74" s="85">
        <v>1023.42105</v>
      </c>
    </row>
    <row r="75" spans="1:4" x14ac:dyDescent="0.25">
      <c r="A75" s="85">
        <v>72</v>
      </c>
      <c r="B75" s="85">
        <v>10.524550000000001</v>
      </c>
      <c r="C75" s="85">
        <v>30.194024999999996</v>
      </c>
      <c r="D75" s="85">
        <v>1023.4429</v>
      </c>
    </row>
    <row r="76" spans="1:4" x14ac:dyDescent="0.25">
      <c r="A76" s="85">
        <v>73</v>
      </c>
      <c r="B76" s="85">
        <v>10.5258</v>
      </c>
      <c r="C76" s="85">
        <v>30.216224999999998</v>
      </c>
      <c r="D76" s="85">
        <v>1023.465025</v>
      </c>
    </row>
    <row r="77" spans="1:4" x14ac:dyDescent="0.25">
      <c r="A77" s="85">
        <v>74</v>
      </c>
      <c r="B77" s="85">
        <v>10.5221</v>
      </c>
      <c r="C77" s="85">
        <v>30.23695</v>
      </c>
      <c r="D77" s="85">
        <v>1023.4866249999999</v>
      </c>
    </row>
    <row r="78" spans="1:4" x14ac:dyDescent="0.25">
      <c r="A78" s="85">
        <v>75</v>
      </c>
      <c r="B78" s="85">
        <v>10.513625000000001</v>
      </c>
      <c r="C78" s="85">
        <v>30.248800000000003</v>
      </c>
      <c r="D78" s="85">
        <v>1023.50225</v>
      </c>
    </row>
    <row r="79" spans="1:4" x14ac:dyDescent="0.25">
      <c r="A79" s="85">
        <v>76</v>
      </c>
      <c r="B79" s="85">
        <v>10.50065</v>
      </c>
      <c r="C79" s="85">
        <v>30.269075000000001</v>
      </c>
      <c r="D79" s="85">
        <v>1023.5234250000001</v>
      </c>
    </row>
    <row r="80" spans="1:4" x14ac:dyDescent="0.25">
      <c r="A80" s="85">
        <v>77</v>
      </c>
      <c r="B80" s="85">
        <v>10.498200000000001</v>
      </c>
      <c r="C80" s="85">
        <v>30.290574999999997</v>
      </c>
      <c r="D80" s="85">
        <v>1023.545675</v>
      </c>
    </row>
    <row r="81" spans="1:4" x14ac:dyDescent="0.25">
      <c r="A81" s="85">
        <v>78</v>
      </c>
      <c r="B81" s="85">
        <v>10.508324999999999</v>
      </c>
      <c r="C81" s="85">
        <v>30.315525000000001</v>
      </c>
      <c r="D81" s="85">
        <v>1023.567175</v>
      </c>
    </row>
    <row r="82" spans="1:4" x14ac:dyDescent="0.25">
      <c r="A82" s="85">
        <v>79</v>
      </c>
      <c r="B82" s="85">
        <v>10.529399999999999</v>
      </c>
      <c r="C82" s="85">
        <v>30.345649999999999</v>
      </c>
      <c r="D82" s="85">
        <v>1023.592325</v>
      </c>
    </row>
    <row r="83" spans="1:4" x14ac:dyDescent="0.25">
      <c r="A83" s="85">
        <v>80</v>
      </c>
      <c r="B83" s="85">
        <v>10.55345</v>
      </c>
      <c r="C83" s="85">
        <v>30.370350000000002</v>
      </c>
      <c r="D83" s="85">
        <v>1023.61265</v>
      </c>
    </row>
    <row r="84" spans="1:4" x14ac:dyDescent="0.25">
      <c r="A84" s="85">
        <v>81</v>
      </c>
      <c r="B84" s="85">
        <v>10.570350000000001</v>
      </c>
      <c r="C84" s="85">
        <v>30.396425000000001</v>
      </c>
      <c r="D84" s="85">
        <v>1023.634575</v>
      </c>
    </row>
    <row r="85" spans="1:4" x14ac:dyDescent="0.25">
      <c r="A85" s="85">
        <v>82</v>
      </c>
      <c r="B85" s="85">
        <v>10.5885</v>
      </c>
      <c r="C85" s="85">
        <v>30.425525</v>
      </c>
      <c r="D85" s="85">
        <v>1023.6585</v>
      </c>
    </row>
    <row r="86" spans="1:4" x14ac:dyDescent="0.25">
      <c r="A86" s="85">
        <v>83</v>
      </c>
      <c r="B86" s="85">
        <v>10.604700000000001</v>
      </c>
      <c r="C86" s="85">
        <v>30.457924999999999</v>
      </c>
      <c r="D86" s="85">
        <v>1023.6855</v>
      </c>
    </row>
    <row r="87" spans="1:4" x14ac:dyDescent="0.25">
      <c r="A87" s="85">
        <v>84</v>
      </c>
      <c r="B87" s="85">
        <v>10.609575</v>
      </c>
      <c r="C87" s="85">
        <v>30.478699999999996</v>
      </c>
      <c r="D87" s="85">
        <v>1023.7063750000001</v>
      </c>
    </row>
    <row r="88" spans="1:4" x14ac:dyDescent="0.25">
      <c r="A88" s="85">
        <v>85</v>
      </c>
      <c r="B88" s="85">
        <v>10.615</v>
      </c>
      <c r="C88" s="85">
        <v>30.497425</v>
      </c>
      <c r="D88" s="85">
        <v>1023.7240749999999</v>
      </c>
    </row>
    <row r="89" spans="1:4" x14ac:dyDescent="0.25">
      <c r="A89" s="85">
        <v>86</v>
      </c>
      <c r="B89" s="85">
        <v>10.628125000000001</v>
      </c>
      <c r="C89" s="85">
        <v>30.519725000000001</v>
      </c>
      <c r="D89" s="85">
        <v>1023.7441250000001</v>
      </c>
    </row>
    <row r="90" spans="1:4" x14ac:dyDescent="0.25">
      <c r="A90" s="85">
        <v>87</v>
      </c>
      <c r="B90" s="85">
        <v>10.638950000000001</v>
      </c>
      <c r="C90" s="85">
        <v>30.536750000000001</v>
      </c>
      <c r="D90" s="85">
        <v>1023.7602000000001</v>
      </c>
    </row>
    <row r="91" spans="1:4" x14ac:dyDescent="0.25">
      <c r="A91" s="85">
        <v>88</v>
      </c>
      <c r="B91" s="85">
        <v>10.648675000000001</v>
      </c>
      <c r="C91" s="85">
        <v>30.553474999999999</v>
      </c>
      <c r="D91" s="85">
        <v>1023.7764500000001</v>
      </c>
    </row>
    <row r="92" spans="1:4" x14ac:dyDescent="0.25">
      <c r="A92" s="85">
        <v>89</v>
      </c>
      <c r="B92" s="85">
        <v>10.65235</v>
      </c>
      <c r="C92" s="85">
        <v>30.572000000000003</v>
      </c>
      <c r="D92" s="85">
        <v>1023.7945500000001</v>
      </c>
    </row>
    <row r="93" spans="1:4" x14ac:dyDescent="0.25">
      <c r="A93" s="85">
        <v>90</v>
      </c>
      <c r="B93" s="85">
        <v>10.672750000000001</v>
      </c>
      <c r="C93" s="85">
        <v>30.619249999999997</v>
      </c>
      <c r="D93" s="85">
        <v>1023.833075</v>
      </c>
    </row>
    <row r="94" spans="1:4" x14ac:dyDescent="0.25">
      <c r="A94" s="85">
        <v>91</v>
      </c>
      <c r="B94" s="85">
        <v>10.6732</v>
      </c>
      <c r="C94" s="85">
        <v>30.625724999999999</v>
      </c>
      <c r="D94" s="85">
        <v>1023.8425749999999</v>
      </c>
    </row>
    <row r="95" spans="1:4" x14ac:dyDescent="0.25">
      <c r="A95" s="85">
        <v>92</v>
      </c>
      <c r="B95" s="85">
        <v>10.676724999999999</v>
      </c>
      <c r="C95" s="85">
        <v>30.636199999999999</v>
      </c>
      <c r="D95" s="85">
        <v>1023.8551</v>
      </c>
    </row>
    <row r="96" spans="1:4" x14ac:dyDescent="0.25">
      <c r="A96" s="85">
        <v>93</v>
      </c>
      <c r="B96" s="85">
        <v>10.678549999999998</v>
      </c>
      <c r="C96" s="85">
        <v>30.641725000000001</v>
      </c>
      <c r="D96" s="85">
        <v>1023.8641</v>
      </c>
    </row>
    <row r="97" spans="1:4" x14ac:dyDescent="0.25">
      <c r="A97" s="85">
        <v>94</v>
      </c>
      <c r="B97" s="85">
        <v>10.677049999999999</v>
      </c>
      <c r="C97" s="85">
        <v>30.649250000000002</v>
      </c>
      <c r="D97" s="85">
        <v>1023.87425</v>
      </c>
    </row>
    <row r="98" spans="1:4" x14ac:dyDescent="0.25">
      <c r="A98" s="85">
        <v>95</v>
      </c>
      <c r="B98" s="85">
        <v>10.671374999999999</v>
      </c>
      <c r="C98" s="85">
        <v>30.663374999999995</v>
      </c>
      <c r="D98" s="85">
        <v>1023.8905</v>
      </c>
    </row>
    <row r="99" spans="1:4" x14ac:dyDescent="0.25">
      <c r="A99" s="85">
        <v>96</v>
      </c>
      <c r="B99" s="85">
        <v>10.666975000000001</v>
      </c>
      <c r="C99" s="85">
        <v>30.6736</v>
      </c>
      <c r="D99" s="85">
        <v>1023.9041</v>
      </c>
    </row>
    <row r="100" spans="1:4" x14ac:dyDescent="0.25">
      <c r="A100" s="85">
        <v>97</v>
      </c>
      <c r="B100" s="85">
        <v>10.66375</v>
      </c>
      <c r="C100" s="85">
        <v>30.682000000000002</v>
      </c>
      <c r="D100" s="85">
        <v>1023.915575</v>
      </c>
    </row>
    <row r="101" spans="1:4" x14ac:dyDescent="0.25">
      <c r="A101" s="85">
        <v>98</v>
      </c>
      <c r="B101" s="85">
        <v>10.658750000000001</v>
      </c>
      <c r="C101" s="85">
        <v>30.694699999999997</v>
      </c>
      <c r="D101" s="85">
        <v>1023.9303249999999</v>
      </c>
    </row>
    <row r="102" spans="1:4" x14ac:dyDescent="0.25">
      <c r="A102" s="85">
        <v>99</v>
      </c>
      <c r="B102" s="85">
        <v>10.651250000000001</v>
      </c>
      <c r="C102" s="85">
        <v>30.706775</v>
      </c>
      <c r="D102" s="85">
        <v>1023.9459750000001</v>
      </c>
    </row>
    <row r="103" spans="1:4" x14ac:dyDescent="0.25">
      <c r="A103" s="85">
        <v>100</v>
      </c>
      <c r="B103" s="85">
        <v>10.644024999999999</v>
      </c>
      <c r="C103" s="85">
        <v>30.726424999999999</v>
      </c>
      <c r="D103" s="85">
        <v>1023.967425</v>
      </c>
    </row>
    <row r="104" spans="1:4" x14ac:dyDescent="0.25">
      <c r="A104" s="85">
        <v>101</v>
      </c>
      <c r="B104" s="85">
        <v>10.642175</v>
      </c>
      <c r="C104" s="85">
        <v>30.736424999999997</v>
      </c>
      <c r="D104" s="85">
        <v>1023.980475</v>
      </c>
    </row>
    <row r="105" spans="1:4" x14ac:dyDescent="0.25">
      <c r="A105" s="85">
        <v>102</v>
      </c>
      <c r="B105" s="85">
        <v>10.643125</v>
      </c>
      <c r="C105" s="85">
        <v>30.741374999999998</v>
      </c>
      <c r="D105" s="85">
        <v>1023.9886749999999</v>
      </c>
    </row>
    <row r="106" spans="1:4" x14ac:dyDescent="0.25">
      <c r="A106" s="85">
        <v>103</v>
      </c>
      <c r="B106" s="85">
        <v>10.644725000000001</v>
      </c>
      <c r="C106" s="85">
        <v>30.745699999999999</v>
      </c>
      <c r="D106" s="85">
        <v>1023.9964</v>
      </c>
    </row>
    <row r="107" spans="1:4" x14ac:dyDescent="0.25">
      <c r="A107" s="85">
        <v>104</v>
      </c>
      <c r="B107" s="85">
        <v>10.646575</v>
      </c>
      <c r="C107" s="85">
        <v>30.748999999999999</v>
      </c>
      <c r="D107" s="85">
        <v>1024.0033500000002</v>
      </c>
    </row>
    <row r="108" spans="1:4" x14ac:dyDescent="0.25">
      <c r="A108" s="85">
        <v>105</v>
      </c>
      <c r="B108" s="85">
        <v>10.648900000000001</v>
      </c>
      <c r="C108" s="85">
        <v>30.751725</v>
      </c>
      <c r="D108" s="85">
        <v>1024.009675</v>
      </c>
    </row>
    <row r="109" spans="1:4" x14ac:dyDescent="0.25">
      <c r="A109" s="85">
        <v>106</v>
      </c>
      <c r="B109" s="85">
        <v>10.652175</v>
      </c>
      <c r="C109" s="85">
        <v>30.755500000000001</v>
      </c>
      <c r="D109" s="85">
        <v>1024.016525</v>
      </c>
    </row>
    <row r="110" spans="1:4" x14ac:dyDescent="0.25">
      <c r="A110" s="85">
        <v>107</v>
      </c>
      <c r="B110" s="85">
        <v>10.655750000000001</v>
      </c>
      <c r="C110" s="85">
        <v>30.760475</v>
      </c>
      <c r="D110" s="85">
        <v>1024.0241500000002</v>
      </c>
    </row>
    <row r="111" spans="1:4" x14ac:dyDescent="0.25">
      <c r="A111" s="85">
        <v>108</v>
      </c>
      <c r="B111" s="85">
        <v>10.657</v>
      </c>
      <c r="C111" s="85">
        <v>30.767200000000003</v>
      </c>
      <c r="D111" s="85">
        <v>1024.0335</v>
      </c>
    </row>
    <row r="112" spans="1:4" x14ac:dyDescent="0.25">
      <c r="A112" s="85">
        <v>109</v>
      </c>
      <c r="B112" s="85">
        <v>10.654574999999999</v>
      </c>
      <c r="C112" s="85">
        <v>30.77515</v>
      </c>
      <c r="D112" s="85">
        <v>1024.0445500000001</v>
      </c>
    </row>
    <row r="113" spans="1:4" x14ac:dyDescent="0.25">
      <c r="A113" s="85">
        <v>110</v>
      </c>
      <c r="B113" s="85">
        <v>10.650824999999999</v>
      </c>
      <c r="C113" s="85">
        <v>30.781625000000002</v>
      </c>
      <c r="D113" s="85">
        <v>1024.054875</v>
      </c>
    </row>
    <row r="114" spans="1:4" x14ac:dyDescent="0.25">
      <c r="A114" s="85">
        <v>111</v>
      </c>
      <c r="B114" s="85">
        <v>10.647825000000001</v>
      </c>
      <c r="C114" s="85">
        <v>30.789424999999998</v>
      </c>
      <c r="D114" s="85">
        <v>1024.065975</v>
      </c>
    </row>
    <row r="115" spans="1:4" x14ac:dyDescent="0.25">
      <c r="A115" s="85">
        <v>112</v>
      </c>
      <c r="B115" s="85">
        <v>10.6464</v>
      </c>
      <c r="C115" s="85">
        <v>30.795825000000001</v>
      </c>
      <c r="D115" s="85">
        <v>1024.075775</v>
      </c>
    </row>
    <row r="116" spans="1:4" x14ac:dyDescent="0.25">
      <c r="A116" s="85">
        <v>113</v>
      </c>
      <c r="B116" s="85">
        <v>10.645975</v>
      </c>
      <c r="C116" s="85">
        <v>30.800699999999999</v>
      </c>
      <c r="D116" s="85">
        <v>1024.0843749999999</v>
      </c>
    </row>
    <row r="117" spans="1:4" x14ac:dyDescent="0.25">
      <c r="A117" s="85">
        <v>114</v>
      </c>
      <c r="B117" s="85">
        <v>10.6462</v>
      </c>
      <c r="C117" s="85">
        <v>30.806800000000003</v>
      </c>
      <c r="D117" s="85">
        <v>1024.0932499999999</v>
      </c>
    </row>
    <row r="118" spans="1:4" x14ac:dyDescent="0.25">
      <c r="A118" s="85">
        <v>115</v>
      </c>
      <c r="B118" s="85">
        <v>10.646975000000001</v>
      </c>
      <c r="C118" s="85">
        <v>30.814599999999999</v>
      </c>
      <c r="D118" s="85">
        <v>1024.1032499999999</v>
      </c>
    </row>
    <row r="119" spans="1:4" x14ac:dyDescent="0.25">
      <c r="A119" s="85">
        <v>116</v>
      </c>
      <c r="B119" s="85">
        <v>10.64875</v>
      </c>
      <c r="C119" s="85">
        <v>30.826174999999999</v>
      </c>
      <c r="D119" s="85">
        <v>1024.116025</v>
      </c>
    </row>
    <row r="120" spans="1:4" x14ac:dyDescent="0.25">
      <c r="A120" s="85">
        <v>117</v>
      </c>
      <c r="B120" s="85">
        <v>10.651174999999999</v>
      </c>
      <c r="C120" s="85">
        <v>30.833674999999999</v>
      </c>
      <c r="D120" s="85">
        <v>1024.1271750000001</v>
      </c>
    </row>
    <row r="121" spans="1:4" x14ac:dyDescent="0.25">
      <c r="A121" s="85">
        <v>118</v>
      </c>
      <c r="B121" s="85">
        <v>10.651624999999999</v>
      </c>
      <c r="C121" s="85">
        <v>30.838874999999998</v>
      </c>
      <c r="D121" s="85">
        <v>1024.1356250000001</v>
      </c>
    </row>
    <row r="122" spans="1:4" x14ac:dyDescent="0.25">
      <c r="A122" s="85">
        <v>119</v>
      </c>
      <c r="B122" s="85">
        <v>10.65175</v>
      </c>
      <c r="C122" s="85">
        <v>30.84675</v>
      </c>
      <c r="D122" s="85">
        <v>1024.1456000000001</v>
      </c>
    </row>
    <row r="123" spans="1:4" x14ac:dyDescent="0.25">
      <c r="A123" s="85">
        <v>120</v>
      </c>
      <c r="B123" s="85">
        <v>10.650399999999999</v>
      </c>
      <c r="C123" s="85">
        <v>30.860674999999997</v>
      </c>
      <c r="D123" s="85">
        <v>1024.1603</v>
      </c>
    </row>
    <row r="124" spans="1:4" x14ac:dyDescent="0.25">
      <c r="A124" s="85">
        <v>121</v>
      </c>
      <c r="B124" s="85">
        <v>10.646575</v>
      </c>
      <c r="C124" s="85">
        <v>30.86985</v>
      </c>
      <c r="D124" s="85">
        <v>1024.1737000000001</v>
      </c>
    </row>
    <row r="125" spans="1:4" x14ac:dyDescent="0.25">
      <c r="A125" s="85">
        <v>122</v>
      </c>
      <c r="B125" s="85">
        <v>10.642325</v>
      </c>
      <c r="C125" s="85">
        <v>30.874599999999997</v>
      </c>
      <c r="D125" s="85">
        <v>1024.1833000000001</v>
      </c>
    </row>
    <row r="126" spans="1:4" x14ac:dyDescent="0.25">
      <c r="A126" s="85">
        <v>123</v>
      </c>
      <c r="B126" s="85">
        <v>10.637599999999999</v>
      </c>
      <c r="C126" s="85">
        <v>30.878574999999998</v>
      </c>
      <c r="D126" s="85">
        <v>1024.191875</v>
      </c>
    </row>
    <row r="127" spans="1:4" x14ac:dyDescent="0.25">
      <c r="A127" s="85">
        <v>124</v>
      </c>
      <c r="B127" s="85">
        <v>10.633574999999999</v>
      </c>
      <c r="C127" s="85">
        <v>30.882450000000002</v>
      </c>
      <c r="D127" s="85">
        <v>1024.2002749999999</v>
      </c>
    </row>
    <row r="128" spans="1:4" x14ac:dyDescent="0.25">
      <c r="A128" s="85">
        <v>125</v>
      </c>
      <c r="B128" s="85">
        <v>10.625375</v>
      </c>
      <c r="C128" s="85">
        <v>30.889775</v>
      </c>
      <c r="D128" s="85">
        <v>1024.2111749999999</v>
      </c>
    </row>
    <row r="129" spans="1:4" x14ac:dyDescent="0.25">
      <c r="A129" s="85">
        <v>126</v>
      </c>
      <c r="B129" s="85">
        <v>10.609649999999998</v>
      </c>
      <c r="C129" s="85">
        <v>30.902274999999999</v>
      </c>
      <c r="D129" s="85">
        <v>1024.228175</v>
      </c>
    </row>
    <row r="130" spans="1:4" x14ac:dyDescent="0.25">
      <c r="A130" s="85">
        <v>127</v>
      </c>
      <c r="B130" s="85">
        <v>10.596450000000001</v>
      </c>
      <c r="C130" s="85">
        <v>30.909700000000001</v>
      </c>
      <c r="D130" s="85">
        <v>1024.241125</v>
      </c>
    </row>
    <row r="131" spans="1:4" x14ac:dyDescent="0.25">
      <c r="A131" s="85">
        <v>128</v>
      </c>
      <c r="B131" s="85">
        <v>10.585025</v>
      </c>
      <c r="C131" s="85">
        <v>30.9148</v>
      </c>
      <c r="D131" s="85">
        <v>1024.251475</v>
      </c>
    </row>
    <row r="132" spans="1:4" x14ac:dyDescent="0.25">
      <c r="A132" s="85">
        <v>129</v>
      </c>
      <c r="B132" s="85">
        <v>10.574999999999999</v>
      </c>
      <c r="C132" s="85">
        <v>30.919474999999998</v>
      </c>
      <c r="D132" s="85">
        <v>1024.2615000000001</v>
      </c>
    </row>
    <row r="133" spans="1:4" x14ac:dyDescent="0.25">
      <c r="A133" s="85">
        <v>130</v>
      </c>
      <c r="B133" s="85">
        <v>10.565625000000001</v>
      </c>
      <c r="C133" s="85">
        <v>30.923850000000002</v>
      </c>
      <c r="D133" s="85">
        <v>1024.2712750000001</v>
      </c>
    </row>
    <row r="134" spans="1:4" x14ac:dyDescent="0.25">
      <c r="A134" s="85">
        <v>131</v>
      </c>
      <c r="B134" s="85">
        <v>10.557825000000001</v>
      </c>
      <c r="C134" s="85">
        <v>30.928100000000001</v>
      </c>
      <c r="D134" s="85">
        <v>1024.2806249999999</v>
      </c>
    </row>
    <row r="135" spans="1:4" x14ac:dyDescent="0.25">
      <c r="A135" s="85">
        <v>132</v>
      </c>
      <c r="B135" s="85">
        <v>10.551</v>
      </c>
      <c r="C135" s="85">
        <v>30.931349999999998</v>
      </c>
      <c r="D135" s="85">
        <v>1024.289125</v>
      </c>
    </row>
    <row r="136" spans="1:4" x14ac:dyDescent="0.25">
      <c r="A136" s="85">
        <v>133</v>
      </c>
      <c r="B136" s="85">
        <v>10.544725</v>
      </c>
      <c r="C136" s="85">
        <v>30.934000000000001</v>
      </c>
      <c r="D136" s="85">
        <v>1024.2968249999999</v>
      </c>
    </row>
    <row r="137" spans="1:4" x14ac:dyDescent="0.25">
      <c r="A137" s="85">
        <v>134</v>
      </c>
      <c r="B137" s="85">
        <v>10.5297</v>
      </c>
      <c r="C137" s="85">
        <v>30.940975000000002</v>
      </c>
      <c r="D137" s="85">
        <v>1024.3082999999999</v>
      </c>
    </row>
    <row r="138" spans="1:4" x14ac:dyDescent="0.25">
      <c r="A138" s="85">
        <v>135</v>
      </c>
      <c r="B138" s="85">
        <v>10.508375000000001</v>
      </c>
      <c r="C138" s="85">
        <v>30.951949999999997</v>
      </c>
      <c r="D138" s="85">
        <v>1024.324775</v>
      </c>
    </row>
    <row r="139" spans="1:4" x14ac:dyDescent="0.25">
      <c r="A139" s="85">
        <v>136</v>
      </c>
      <c r="B139" s="85">
        <v>10.489875000000001</v>
      </c>
      <c r="C139" s="85">
        <v>30.965174999999999</v>
      </c>
      <c r="D139" s="85">
        <v>1024.3425750000001</v>
      </c>
    </row>
    <row r="140" spans="1:4" x14ac:dyDescent="0.25">
      <c r="A140" s="85">
        <v>137</v>
      </c>
      <c r="B140" s="85">
        <v>10.475425</v>
      </c>
      <c r="C140" s="85">
        <v>30.978625000000001</v>
      </c>
      <c r="D140" s="85">
        <v>1024.3607</v>
      </c>
    </row>
    <row r="141" spans="1:4" x14ac:dyDescent="0.25">
      <c r="A141" s="85">
        <v>138</v>
      </c>
      <c r="B141" s="85">
        <v>10.466825</v>
      </c>
      <c r="C141" s="85">
        <v>30.986075000000003</v>
      </c>
      <c r="D141" s="85">
        <v>1024.373</v>
      </c>
    </row>
    <row r="142" spans="1:4" x14ac:dyDescent="0.25">
      <c r="A142" s="85">
        <v>139</v>
      </c>
      <c r="B142" s="85">
        <v>10.455475</v>
      </c>
      <c r="C142" s="85">
        <v>30.994324999999996</v>
      </c>
      <c r="D142" s="85">
        <v>1024.3860249999998</v>
      </c>
    </row>
    <row r="143" spans="1:4" x14ac:dyDescent="0.25">
      <c r="A143" s="85">
        <v>140</v>
      </c>
      <c r="B143" s="85">
        <v>10.4405</v>
      </c>
      <c r="C143" s="85">
        <v>31.004574999999999</v>
      </c>
      <c r="D143" s="85">
        <v>1024.400975</v>
      </c>
    </row>
    <row r="144" spans="1:4" x14ac:dyDescent="0.25">
      <c r="A144" s="85">
        <v>141</v>
      </c>
      <c r="B144" s="85">
        <v>10.420450000000001</v>
      </c>
      <c r="C144" s="85">
        <v>31.017624999999999</v>
      </c>
      <c r="D144" s="85">
        <v>1024.4186999999999</v>
      </c>
    </row>
    <row r="145" spans="1:4" x14ac:dyDescent="0.25">
      <c r="A145" s="85">
        <v>142</v>
      </c>
      <c r="B145" s="85">
        <v>10.410125000000001</v>
      </c>
      <c r="C145" s="85">
        <v>31.024175</v>
      </c>
      <c r="D145" s="85">
        <v>1024.430525</v>
      </c>
    </row>
    <row r="146" spans="1:4" x14ac:dyDescent="0.25">
      <c r="A146" s="85">
        <v>143</v>
      </c>
      <c r="B146" s="85">
        <v>10.400550000000001</v>
      </c>
      <c r="C146" s="85">
        <v>31.029400000000003</v>
      </c>
      <c r="D146" s="85">
        <v>1024.4407000000001</v>
      </c>
    </row>
    <row r="147" spans="1:4" x14ac:dyDescent="0.25">
      <c r="A147" s="85">
        <v>144</v>
      </c>
      <c r="B147" s="85">
        <v>10.387599999999999</v>
      </c>
      <c r="C147" s="85">
        <v>31.037174999999998</v>
      </c>
      <c r="D147" s="85">
        <v>1024.4530500000001</v>
      </c>
    </row>
    <row r="148" spans="1:4" x14ac:dyDescent="0.25">
      <c r="A148" s="85">
        <v>145</v>
      </c>
      <c r="B148" s="85">
        <v>10.372250000000001</v>
      </c>
      <c r="C148" s="85">
        <v>31.048850000000002</v>
      </c>
      <c r="D148" s="85">
        <v>1024.4686999999999</v>
      </c>
    </row>
    <row r="149" spans="1:4" x14ac:dyDescent="0.25">
      <c r="A149" s="85">
        <v>146</v>
      </c>
      <c r="B149" s="85">
        <v>10.356325</v>
      </c>
      <c r="C149" s="85">
        <v>31.065874999999998</v>
      </c>
      <c r="D149" s="85">
        <v>1024.4892249999998</v>
      </c>
    </row>
    <row r="150" spans="1:4" x14ac:dyDescent="0.25">
      <c r="A150" s="85">
        <v>147</v>
      </c>
      <c r="B150" s="85">
        <v>10.342624999999998</v>
      </c>
      <c r="C150" s="85">
        <v>31.077699999999997</v>
      </c>
      <c r="D150" s="85">
        <v>1024.5064500000001</v>
      </c>
    </row>
    <row r="151" spans="1:4" x14ac:dyDescent="0.25">
      <c r="A151" s="85">
        <v>148</v>
      </c>
      <c r="B151" s="85">
        <v>10.331074999999998</v>
      </c>
      <c r="C151" s="85">
        <v>31.082925000000003</v>
      </c>
      <c r="D151" s="85">
        <v>1024.5173749999999</v>
      </c>
    </row>
    <row r="152" spans="1:4" x14ac:dyDescent="0.25">
      <c r="A152" s="85">
        <v>149</v>
      </c>
      <c r="B152" s="85">
        <v>10.32145</v>
      </c>
      <c r="C152" s="85">
        <v>31.086750000000002</v>
      </c>
      <c r="D152" s="85">
        <v>1024.526775</v>
      </c>
    </row>
    <row r="153" spans="1:4" x14ac:dyDescent="0.25">
      <c r="A153" s="85">
        <v>150</v>
      </c>
      <c r="B153" s="85">
        <v>10.313549999999999</v>
      </c>
      <c r="C153" s="85">
        <v>31.08925</v>
      </c>
      <c r="D153" s="85">
        <v>1024.53485</v>
      </c>
    </row>
    <row r="154" spans="1:4" x14ac:dyDescent="0.25">
      <c r="A154" s="85">
        <v>151</v>
      </c>
      <c r="B154" s="85">
        <v>10.302524999999999</v>
      </c>
      <c r="C154" s="85">
        <v>31.0931</v>
      </c>
      <c r="D154" s="85">
        <v>1024.54405</v>
      </c>
    </row>
    <row r="155" spans="1:4" x14ac:dyDescent="0.25">
      <c r="A155" s="85">
        <v>152</v>
      </c>
      <c r="B155" s="85">
        <v>10.276475000000001</v>
      </c>
      <c r="C155" s="85">
        <v>31.103549999999998</v>
      </c>
      <c r="D155" s="85">
        <v>1024.56095</v>
      </c>
    </row>
    <row r="156" spans="1:4" x14ac:dyDescent="0.25">
      <c r="A156" s="85">
        <v>153</v>
      </c>
      <c r="B156" s="85">
        <v>10.271799999999999</v>
      </c>
      <c r="C156" s="85">
        <v>31.108575000000002</v>
      </c>
      <c r="D156" s="85">
        <v>1024.5709500000003</v>
      </c>
    </row>
    <row r="157" spans="1:4" x14ac:dyDescent="0.25">
      <c r="A157" s="85">
        <v>154</v>
      </c>
      <c r="B157" s="85">
        <v>10.270050000000001</v>
      </c>
      <c r="C157" s="85">
        <v>31.109000000000002</v>
      </c>
      <c r="D157" s="85">
        <v>1024.5758250000001</v>
      </c>
    </row>
    <row r="158" spans="1:4" x14ac:dyDescent="0.25">
      <c r="A158" s="85">
        <v>155</v>
      </c>
      <c r="B158" s="85">
        <v>10.269499999999999</v>
      </c>
      <c r="C158" s="85">
        <v>31.118675000000003</v>
      </c>
      <c r="D158" s="85">
        <v>1024.5876250000001</v>
      </c>
    </row>
    <row r="159" spans="1:4" x14ac:dyDescent="0.25">
      <c r="A159" s="85">
        <v>156</v>
      </c>
      <c r="B159" s="85">
        <v>10.264424999999999</v>
      </c>
      <c r="C159" s="85">
        <v>31.124724999999998</v>
      </c>
      <c r="D159" s="85">
        <v>1024.59845</v>
      </c>
    </row>
    <row r="160" spans="1:4" x14ac:dyDescent="0.25">
      <c r="A160" s="85">
        <v>157</v>
      </c>
      <c r="B160" s="85">
        <v>10.266549999999999</v>
      </c>
      <c r="C160" s="85">
        <v>31.124499999999998</v>
      </c>
      <c r="D160" s="85">
        <v>1024.6024499999999</v>
      </c>
    </row>
    <row r="161" spans="1:4" x14ac:dyDescent="0.25">
      <c r="A161" s="85">
        <v>158</v>
      </c>
      <c r="B161" s="85">
        <v>10.271349999999998</v>
      </c>
      <c r="C161" s="85">
        <v>31.124000000000002</v>
      </c>
      <c r="D161" s="85">
        <v>1024.6059499999999</v>
      </c>
    </row>
    <row r="162" spans="1:4" x14ac:dyDescent="0.25">
      <c r="A162" s="85">
        <v>159</v>
      </c>
      <c r="B162" s="85">
        <v>10.275500000000001</v>
      </c>
      <c r="C162" s="85">
        <v>31.126200000000001</v>
      </c>
      <c r="D162" s="85">
        <v>1024.6115</v>
      </c>
    </row>
    <row r="163" spans="1:4" x14ac:dyDescent="0.25">
      <c r="A163" s="85">
        <v>160</v>
      </c>
      <c r="B163" s="85">
        <v>10.275475</v>
      </c>
      <c r="C163" s="85">
        <v>31.126799999999999</v>
      </c>
      <c r="D163" s="85">
        <v>1024.6166499999999</v>
      </c>
    </row>
    <row r="164" spans="1:4" x14ac:dyDescent="0.25">
      <c r="A164" s="85">
        <v>161</v>
      </c>
      <c r="B164" s="85">
        <v>10.276625000000001</v>
      </c>
      <c r="C164" s="85">
        <v>31.128</v>
      </c>
      <c r="D164" s="85">
        <v>1024.6219000000001</v>
      </c>
    </row>
    <row r="165" spans="1:4" x14ac:dyDescent="0.25">
      <c r="A165" s="85">
        <v>162</v>
      </c>
      <c r="B165" s="85">
        <v>10.2775</v>
      </c>
      <c r="C165" s="85">
        <v>31.126850000000001</v>
      </c>
      <c r="D165" s="85">
        <v>1024.6254749999998</v>
      </c>
    </row>
    <row r="166" spans="1:4" x14ac:dyDescent="0.25">
      <c r="A166" s="85">
        <v>163</v>
      </c>
      <c r="B166" s="85">
        <v>10.2781</v>
      </c>
      <c r="C166" s="85">
        <v>31.127749999999999</v>
      </c>
      <c r="D166" s="85">
        <v>1024.6304749999999</v>
      </c>
    </row>
    <row r="167" spans="1:4" x14ac:dyDescent="0.25">
      <c r="A167" s="85">
        <v>164</v>
      </c>
      <c r="B167" s="85">
        <v>10.278125000000001</v>
      </c>
      <c r="C167" s="85">
        <v>31.129674999999999</v>
      </c>
      <c r="D167" s="85">
        <v>1024.6366</v>
      </c>
    </row>
    <row r="168" spans="1:4" x14ac:dyDescent="0.25">
      <c r="A168" s="85">
        <v>165</v>
      </c>
      <c r="B168" s="85">
        <v>10.27765</v>
      </c>
      <c r="C168" s="85">
        <v>31.129150000000003</v>
      </c>
      <c r="D168" s="85">
        <v>1024.6409249999999</v>
      </c>
    </row>
    <row r="169" spans="1:4" x14ac:dyDescent="0.25">
      <c r="A169" s="85">
        <v>166</v>
      </c>
      <c r="B169" s="85">
        <v>10.276925</v>
      </c>
      <c r="C169" s="85">
        <v>31.128674999999998</v>
      </c>
      <c r="D169" s="85">
        <v>1024.6452749999999</v>
      </c>
    </row>
    <row r="170" spans="1:4" x14ac:dyDescent="0.25">
      <c r="A170" s="85">
        <v>167</v>
      </c>
      <c r="B170" s="85">
        <v>10.281500000000001</v>
      </c>
      <c r="C170" s="85">
        <v>31.126725</v>
      </c>
      <c r="D170" s="85">
        <v>1024.6475250000001</v>
      </c>
    </row>
    <row r="171" spans="1:4" x14ac:dyDescent="0.25">
      <c r="A171" s="85">
        <v>168</v>
      </c>
      <c r="B171" s="85">
        <v>10.273475000000001</v>
      </c>
      <c r="C171" s="85">
        <v>31.134974999999997</v>
      </c>
      <c r="D171" s="85">
        <v>1024.6598750000001</v>
      </c>
    </row>
    <row r="172" spans="1:4" x14ac:dyDescent="0.25">
      <c r="A172" s="85">
        <v>169</v>
      </c>
      <c r="B172" s="85">
        <v>10.270925</v>
      </c>
      <c r="C172" s="85">
        <v>31.135024999999999</v>
      </c>
      <c r="D172" s="85">
        <v>1024.6648749999999</v>
      </c>
    </row>
    <row r="173" spans="1:4" x14ac:dyDescent="0.25">
      <c r="A173" s="85">
        <v>170</v>
      </c>
      <c r="B173" s="85">
        <v>10.251433333333333</v>
      </c>
      <c r="C173" s="85">
        <v>31.114366666666665</v>
      </c>
      <c r="D173" s="85">
        <v>1024.6567333333332</v>
      </c>
    </row>
    <row r="174" spans="1:4" x14ac:dyDescent="0.25">
      <c r="A174" s="85">
        <v>171</v>
      </c>
      <c r="B174" s="85">
        <v>10.232466666666667</v>
      </c>
      <c r="C174" s="85">
        <v>31.119533333333333</v>
      </c>
      <c r="D174" s="85">
        <v>1024.6686</v>
      </c>
    </row>
    <row r="175" spans="1:4" x14ac:dyDescent="0.25">
      <c r="A175" s="85">
        <v>172</v>
      </c>
      <c r="B175" s="85">
        <v>10.2438</v>
      </c>
      <c r="C175" s="85">
        <v>31.117233333333331</v>
      </c>
      <c r="D175" s="85">
        <v>1024.6693333333335</v>
      </c>
    </row>
    <row r="176" spans="1:4" x14ac:dyDescent="0.25">
      <c r="A176" s="85">
        <v>173</v>
      </c>
      <c r="B176" s="85">
        <v>10.242600000000001</v>
      </c>
      <c r="C176" s="85">
        <v>31.1172</v>
      </c>
      <c r="D176" s="85">
        <v>1024.6740666666667</v>
      </c>
    </row>
    <row r="177" spans="1:4" x14ac:dyDescent="0.25">
      <c r="A177" s="85">
        <v>174</v>
      </c>
      <c r="B177" s="85">
        <v>10.241400000000001</v>
      </c>
      <c r="C177" s="85">
        <v>31.1174</v>
      </c>
      <c r="D177" s="85">
        <v>1024.6790333333333</v>
      </c>
    </row>
    <row r="178" spans="1:4" x14ac:dyDescent="0.25">
      <c r="A178" s="85">
        <v>175</v>
      </c>
      <c r="B178" s="85">
        <v>10.2403</v>
      </c>
      <c r="C178" s="85">
        <v>31.117999999999999</v>
      </c>
      <c r="D178" s="85">
        <v>1024.6842666666669</v>
      </c>
    </row>
    <row r="179" spans="1:4" x14ac:dyDescent="0.25">
      <c r="A179" s="85">
        <v>176</v>
      </c>
      <c r="B179" s="85">
        <v>10.242200000000002</v>
      </c>
      <c r="C179" s="85">
        <v>31.117266666666666</v>
      </c>
      <c r="D179" s="85">
        <v>1024.6879333333334</v>
      </c>
    </row>
    <row r="180" spans="1:4" x14ac:dyDescent="0.25">
      <c r="A180" s="85">
        <v>177</v>
      </c>
      <c r="B180" s="85">
        <v>10.248433333333333</v>
      </c>
      <c r="C180" s="85">
        <v>31.117133333333332</v>
      </c>
      <c r="D180" s="85">
        <v>1024.6910333333333</v>
      </c>
    </row>
    <row r="181" spans="1:4" x14ac:dyDescent="0.25">
      <c r="A181" s="85">
        <v>178</v>
      </c>
      <c r="B181" s="85">
        <v>10.2456</v>
      </c>
      <c r="C181" s="85">
        <v>31.1187</v>
      </c>
      <c r="D181" s="85">
        <v>1024.6976000000002</v>
      </c>
    </row>
    <row r="182" spans="1:4" x14ac:dyDescent="0.25">
      <c r="A182" s="85">
        <v>179</v>
      </c>
      <c r="B182" s="85">
        <v>10.2621</v>
      </c>
      <c r="C182" s="85">
        <v>31.110400000000002</v>
      </c>
      <c r="D182" s="85">
        <v>1024.6924000000001</v>
      </c>
    </row>
    <row r="183" spans="1:4" x14ac:dyDescent="0.25">
      <c r="A183" s="85">
        <v>180</v>
      </c>
      <c r="B183" s="85">
        <v>10.26755</v>
      </c>
      <c r="C183" s="85">
        <v>31.11205</v>
      </c>
      <c r="D183" s="85">
        <v>1024.6975</v>
      </c>
    </row>
    <row r="184" spans="1:4" x14ac:dyDescent="0.25">
      <c r="A184" s="85">
        <v>181</v>
      </c>
      <c r="B184" s="85">
        <v>10.286</v>
      </c>
      <c r="C184" s="85">
        <v>31.08325</v>
      </c>
      <c r="D184" s="85">
        <v>1024.67715</v>
      </c>
    </row>
    <row r="185" spans="1:4" x14ac:dyDescent="0.25">
      <c r="A185" s="85">
        <v>182</v>
      </c>
      <c r="B185" s="85">
        <v>10.274699999999999</v>
      </c>
      <c r="C185" s="85">
        <v>31.089449999999999</v>
      </c>
      <c r="D185" s="85">
        <v>1024.6882000000001</v>
      </c>
    </row>
    <row r="186" spans="1:4" x14ac:dyDescent="0.25">
      <c r="A186" s="85">
        <v>183</v>
      </c>
      <c r="B186" s="85">
        <v>10.261200000000001</v>
      </c>
      <c r="C186" s="85">
        <v>31.097300000000001</v>
      </c>
      <c r="D186" s="85">
        <v>1024.701</v>
      </c>
    </row>
    <row r="187" spans="1:4" x14ac:dyDescent="0.25">
      <c r="A187" s="85">
        <v>184</v>
      </c>
      <c r="B187" s="85">
        <v>10.25825</v>
      </c>
      <c r="C187" s="85">
        <v>31.098700000000001</v>
      </c>
      <c r="D187" s="85">
        <v>1024.7073</v>
      </c>
    </row>
    <row r="188" spans="1:4" x14ac:dyDescent="0.25">
      <c r="A188" s="85">
        <v>185</v>
      </c>
      <c r="B188" s="85">
        <v>10.25545</v>
      </c>
      <c r="C188" s="85">
        <v>31.098050000000001</v>
      </c>
      <c r="D188" s="85">
        <v>1024.7121</v>
      </c>
    </row>
  </sheetData>
  <mergeCells count="6">
    <mergeCell ref="I24:J30"/>
    <mergeCell ref="F2:M2"/>
    <mergeCell ref="F3:M3"/>
    <mergeCell ref="F5:H5"/>
    <mergeCell ref="F13:P13"/>
    <mergeCell ref="F22:J2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U85"/>
  <sheetViews>
    <sheetView zoomScale="80" zoomScaleNormal="80" workbookViewId="0">
      <selection activeCell="C19" sqref="C19:C24"/>
    </sheetView>
  </sheetViews>
  <sheetFormatPr defaultRowHeight="15" x14ac:dyDescent="0.25"/>
  <cols>
    <col min="1" max="1" width="5.7109375" style="85" customWidth="1"/>
    <col min="2" max="2" width="22.7109375" customWidth="1"/>
    <col min="3" max="3" width="33.42578125" customWidth="1"/>
    <col min="4" max="4" width="34.7109375" customWidth="1"/>
    <col min="5" max="5" width="28.7109375" customWidth="1"/>
    <col min="6" max="6" width="28.28515625" customWidth="1"/>
    <col min="7" max="7" width="23.28515625" customWidth="1"/>
    <col min="8" max="11" width="22.140625" customWidth="1"/>
    <col min="13" max="15" width="21.7109375" customWidth="1"/>
    <col min="16" max="18" width="8.140625" customWidth="1"/>
    <col min="19" max="19" width="11.140625" customWidth="1"/>
    <col min="20" max="20" width="9.7109375" customWidth="1"/>
    <col min="21" max="21" width="15.28515625" customWidth="1"/>
  </cols>
  <sheetData>
    <row r="1" spans="2:21" s="85" customFormat="1" x14ac:dyDescent="0.25"/>
    <row r="2" spans="2:21" s="85" customFormat="1" ht="15.75" thickBot="1" x14ac:dyDescent="0.3"/>
    <row r="3" spans="2:21" ht="21" x14ac:dyDescent="0.25">
      <c r="B3" s="331" t="s">
        <v>216</v>
      </c>
      <c r="C3" s="332"/>
      <c r="D3" s="332"/>
      <c r="E3" s="332"/>
      <c r="F3" s="333"/>
      <c r="M3" s="337" t="s">
        <v>243</v>
      </c>
      <c r="N3" s="338"/>
      <c r="O3" s="224" t="s">
        <v>86</v>
      </c>
      <c r="P3" s="225"/>
      <c r="Q3" s="225"/>
      <c r="R3" s="225"/>
      <c r="S3" s="225"/>
      <c r="T3" s="225"/>
      <c r="U3" s="226" t="s">
        <v>104</v>
      </c>
    </row>
    <row r="4" spans="2:21" x14ac:dyDescent="0.25">
      <c r="B4" s="151" t="s">
        <v>105</v>
      </c>
      <c r="C4" s="148" t="s">
        <v>188</v>
      </c>
      <c r="D4" s="148" t="s">
        <v>106</v>
      </c>
      <c r="E4" s="148" t="s">
        <v>87</v>
      </c>
      <c r="F4" s="152" t="s">
        <v>86</v>
      </c>
      <c r="G4" s="85"/>
      <c r="M4" s="235" t="s">
        <v>244</v>
      </c>
      <c r="N4" s="228">
        <v>1</v>
      </c>
      <c r="O4" s="228" t="s">
        <v>245</v>
      </c>
      <c r="P4" s="228"/>
      <c r="Q4" s="228"/>
      <c r="R4" s="228"/>
      <c r="S4" s="228"/>
      <c r="T4" s="228" t="s">
        <v>231</v>
      </c>
      <c r="U4" s="229" t="s">
        <v>233</v>
      </c>
    </row>
    <row r="5" spans="2:21" ht="31.5" x14ac:dyDescent="0.35">
      <c r="B5" s="41"/>
      <c r="C5" s="8" t="s">
        <v>184</v>
      </c>
      <c r="D5" s="132" t="s">
        <v>183</v>
      </c>
      <c r="E5" s="8">
        <f>((6*12)*60*60)+(60*25)</f>
        <v>260700</v>
      </c>
      <c r="F5" s="55" t="s">
        <v>185</v>
      </c>
      <c r="G5" s="85"/>
      <c r="M5" s="227" t="s">
        <v>246</v>
      </c>
      <c r="N5" s="228">
        <v>0.1</v>
      </c>
      <c r="O5" s="228" t="s">
        <v>56</v>
      </c>
      <c r="P5" s="228"/>
      <c r="Q5" s="228"/>
      <c r="R5" s="228"/>
      <c r="S5" s="230" t="s">
        <v>90</v>
      </c>
      <c r="T5" s="231">
        <v>212</v>
      </c>
      <c r="U5" s="232">
        <f>'Distance&amp;Height&amp;Time with Tide'!C19</f>
        <v>2.6073303088437531E-2</v>
      </c>
    </row>
    <row r="6" spans="2:21" ht="20.25" x14ac:dyDescent="0.25">
      <c r="B6" s="206" t="s">
        <v>209</v>
      </c>
      <c r="C6" s="132" t="s">
        <v>186</v>
      </c>
      <c r="D6" s="205" t="s">
        <v>182</v>
      </c>
      <c r="E6" s="8">
        <f>(2*PI())/E5</f>
        <v>2.4101209463673134E-5</v>
      </c>
      <c r="F6" s="55"/>
      <c r="G6" s="85"/>
      <c r="M6" s="227" t="s">
        <v>247</v>
      </c>
      <c r="N6" s="228">
        <f>N4/$U$10</f>
        <v>3961.3921600597714</v>
      </c>
      <c r="O6" s="228" t="s">
        <v>185</v>
      </c>
      <c r="P6" s="228"/>
      <c r="Q6" s="228"/>
      <c r="R6" s="228"/>
      <c r="S6" s="230" t="s">
        <v>89</v>
      </c>
      <c r="T6" s="230">
        <v>159</v>
      </c>
      <c r="U6" s="232">
        <f>'Distance&amp;Height&amp;Time with Tide'!C20</f>
        <v>1.47022717383098E-2</v>
      </c>
    </row>
    <row r="7" spans="2:21" ht="31.5" x14ac:dyDescent="0.35">
      <c r="B7" s="206" t="s">
        <v>210</v>
      </c>
      <c r="C7" s="153" t="s">
        <v>187</v>
      </c>
      <c r="D7" s="154" t="s">
        <v>214</v>
      </c>
      <c r="E7" s="8">
        <f>PI()/E6</f>
        <v>130350</v>
      </c>
      <c r="F7" s="55" t="s">
        <v>185</v>
      </c>
      <c r="G7" s="85"/>
      <c r="M7" s="236" t="s">
        <v>248</v>
      </c>
      <c r="N7" s="237">
        <f>($N6*$N5)/1000</f>
        <v>0.39613921600597718</v>
      </c>
      <c r="O7" s="237" t="s">
        <v>219</v>
      </c>
      <c r="P7" s="228"/>
      <c r="Q7" s="228"/>
      <c r="R7" s="228"/>
      <c r="S7" s="230" t="s">
        <v>91</v>
      </c>
      <c r="T7" s="230">
        <v>84.5</v>
      </c>
      <c r="U7" s="232">
        <f>'Distance&amp;Height&amp;Time with Tide'!C21</f>
        <v>4.1524423788404947E-3</v>
      </c>
    </row>
    <row r="8" spans="2:21" ht="20.25" x14ac:dyDescent="0.25">
      <c r="B8" s="206" t="s">
        <v>190</v>
      </c>
      <c r="C8" s="132" t="s">
        <v>189</v>
      </c>
      <c r="D8" s="132">
        <v>30</v>
      </c>
      <c r="E8" s="8">
        <f>D8/100</f>
        <v>0.3</v>
      </c>
      <c r="F8" s="55" t="s">
        <v>55</v>
      </c>
      <c r="G8" s="85"/>
      <c r="M8" s="222"/>
      <c r="N8" s="223"/>
      <c r="O8" s="223"/>
      <c r="P8" s="228"/>
      <c r="Q8" s="228"/>
      <c r="R8" s="228"/>
      <c r="S8" s="230" t="s">
        <v>92</v>
      </c>
      <c r="T8" s="230">
        <v>54</v>
      </c>
      <c r="U8" s="232">
        <f>'Distance&amp;Height&amp;Time with Tide'!C22</f>
        <v>1.8402621365035483E-3</v>
      </c>
    </row>
    <row r="9" spans="2:21" ht="30.75" thickBot="1" x14ac:dyDescent="0.3">
      <c r="B9" s="207" t="s">
        <v>211</v>
      </c>
      <c r="C9" s="155" t="s">
        <v>192</v>
      </c>
      <c r="D9" s="155"/>
      <c r="E9" s="93"/>
      <c r="F9" s="95"/>
      <c r="G9" s="85"/>
      <c r="M9" s="235" t="s">
        <v>244</v>
      </c>
      <c r="N9" s="228">
        <v>2</v>
      </c>
      <c r="O9" s="228" t="s">
        <v>245</v>
      </c>
      <c r="P9" s="228"/>
      <c r="Q9" s="228"/>
      <c r="R9" s="228"/>
      <c r="S9" s="230" t="s">
        <v>94</v>
      </c>
      <c r="T9" s="230">
        <v>32.5</v>
      </c>
      <c r="U9" s="232">
        <f>'Distance&amp;Height&amp;Time with Tide'!C23</f>
        <v>6.6659015146840618E-4</v>
      </c>
    </row>
    <row r="10" spans="2:21" ht="15.75" thickBot="1" x14ac:dyDescent="0.3">
      <c r="G10" s="85"/>
      <c r="M10" s="227" t="s">
        <v>246</v>
      </c>
      <c r="N10" s="228">
        <v>0.15</v>
      </c>
      <c r="O10" s="228" t="s">
        <v>56</v>
      </c>
      <c r="P10" s="228"/>
      <c r="Q10" s="228"/>
      <c r="R10" s="228"/>
      <c r="S10" s="240" t="s">
        <v>93</v>
      </c>
      <c r="T10" s="241">
        <v>20</v>
      </c>
      <c r="U10" s="242">
        <f>'Distance&amp;Height&amp;Time with Tide'!C24</f>
        <v>2.5243650706495858E-4</v>
      </c>
    </row>
    <row r="11" spans="2:21" ht="21" x14ac:dyDescent="0.25">
      <c r="B11" s="331" t="s">
        <v>217</v>
      </c>
      <c r="C11" s="332"/>
      <c r="D11" s="332"/>
      <c r="E11" s="332"/>
      <c r="F11" s="333"/>
      <c r="G11" s="85"/>
      <c r="M11" s="227" t="s">
        <v>247</v>
      </c>
      <c r="N11" s="228">
        <f>N9/$U$10</f>
        <v>7922.7843201195428</v>
      </c>
      <c r="O11" s="228" t="s">
        <v>185</v>
      </c>
      <c r="P11" s="228"/>
      <c r="Q11" s="228"/>
      <c r="R11" s="228"/>
      <c r="S11" s="228"/>
      <c r="T11" s="230"/>
      <c r="U11" s="229"/>
    </row>
    <row r="12" spans="2:21" s="85" customFormat="1" x14ac:dyDescent="0.25">
      <c r="B12" s="151" t="s">
        <v>105</v>
      </c>
      <c r="C12" s="148" t="s">
        <v>188</v>
      </c>
      <c r="D12" s="148" t="s">
        <v>218</v>
      </c>
      <c r="E12" s="148" t="s">
        <v>87</v>
      </c>
      <c r="F12" s="152" t="s">
        <v>86</v>
      </c>
      <c r="M12" s="236" t="s">
        <v>248</v>
      </c>
      <c r="N12" s="237">
        <f>($N11*$N10)/1000</f>
        <v>1.1884176480179314</v>
      </c>
      <c r="O12" s="237" t="s">
        <v>219</v>
      </c>
      <c r="P12" s="228"/>
      <c r="Q12" s="228"/>
      <c r="R12" s="228"/>
      <c r="S12" s="228"/>
      <c r="T12" s="228"/>
      <c r="U12" s="229"/>
    </row>
    <row r="13" spans="2:21" ht="21" thickBot="1" x14ac:dyDescent="0.3">
      <c r="B13" s="207" t="s">
        <v>212</v>
      </c>
      <c r="C13" s="204" t="s">
        <v>224</v>
      </c>
      <c r="D13" s="150">
        <f>(1/$E$6)*$D$8*(1-COS($E$6*$E$7))</f>
        <v>2489501.6198434271</v>
      </c>
      <c r="E13" s="146">
        <f>D13*0.00001</f>
        <v>24.895016198434273</v>
      </c>
      <c r="F13" s="95" t="s">
        <v>219</v>
      </c>
      <c r="G13" s="85"/>
      <c r="M13" s="222"/>
      <c r="N13" s="223"/>
      <c r="O13" s="223"/>
      <c r="P13" s="228"/>
      <c r="Q13" s="228"/>
      <c r="R13" s="228"/>
      <c r="S13" s="228"/>
      <c r="T13" s="228"/>
      <c r="U13" s="229"/>
    </row>
    <row r="14" spans="2:21" s="85" customFormat="1" ht="19.5" thickBot="1" x14ac:dyDescent="0.35">
      <c r="B14" s="136"/>
      <c r="C14" s="137"/>
      <c r="D14" s="149"/>
      <c r="E14" s="142"/>
      <c r="M14" s="235" t="s">
        <v>244</v>
      </c>
      <c r="N14" s="228">
        <v>3.5</v>
      </c>
      <c r="O14" s="228" t="s">
        <v>245</v>
      </c>
      <c r="P14" s="228"/>
      <c r="Q14" s="228"/>
      <c r="R14" s="228"/>
      <c r="S14" s="228"/>
      <c r="T14" s="228"/>
      <c r="U14" s="229"/>
    </row>
    <row r="15" spans="2:21" ht="25.5" customHeight="1" x14ac:dyDescent="0.25">
      <c r="B15" s="334" t="s">
        <v>208</v>
      </c>
      <c r="C15" s="335"/>
      <c r="D15" s="335"/>
      <c r="E15" s="336"/>
      <c r="F15" s="85"/>
      <c r="G15" s="85"/>
      <c r="M15" s="227" t="s">
        <v>246</v>
      </c>
      <c r="N15" s="228">
        <v>0.2</v>
      </c>
      <c r="O15" s="228" t="s">
        <v>56</v>
      </c>
      <c r="P15" s="228"/>
      <c r="Q15" s="228"/>
      <c r="R15" s="228"/>
      <c r="S15" s="228"/>
      <c r="T15" s="228"/>
      <c r="U15" s="229"/>
    </row>
    <row r="16" spans="2:21" ht="68.25" customHeight="1" x14ac:dyDescent="0.25">
      <c r="B16" s="208" t="s">
        <v>213</v>
      </c>
      <c r="C16" s="156" t="s">
        <v>191</v>
      </c>
      <c r="D16" s="203" t="s">
        <v>215</v>
      </c>
      <c r="E16" s="157"/>
      <c r="M16" s="227" t="s">
        <v>247</v>
      </c>
      <c r="N16" s="228">
        <f>N14/$U$10</f>
        <v>13864.8725602092</v>
      </c>
      <c r="O16" s="228" t="s">
        <v>185</v>
      </c>
      <c r="P16" s="228"/>
      <c r="Q16" s="228"/>
      <c r="R16" s="228"/>
      <c r="S16" s="228"/>
      <c r="T16" s="228"/>
      <c r="U16" s="229"/>
    </row>
    <row r="17" spans="2:21" x14ac:dyDescent="0.25">
      <c r="B17" s="41"/>
      <c r="C17" s="8"/>
      <c r="D17" s="8"/>
      <c r="E17" s="55"/>
      <c r="L17" s="85"/>
      <c r="M17" s="236" t="s">
        <v>248</v>
      </c>
      <c r="N17" s="237">
        <f>($N16*$N15)/1000</f>
        <v>2.7729745120418401</v>
      </c>
      <c r="O17" s="237" t="s">
        <v>219</v>
      </c>
      <c r="P17" s="228"/>
      <c r="Q17" s="228"/>
      <c r="R17" s="228"/>
      <c r="S17" s="228"/>
      <c r="T17" s="228"/>
      <c r="U17" s="229"/>
    </row>
    <row r="18" spans="2:21" ht="48" x14ac:dyDescent="0.35">
      <c r="B18" s="42" t="s">
        <v>194</v>
      </c>
      <c r="C18" s="43" t="s">
        <v>193</v>
      </c>
      <c r="D18" s="26" t="s">
        <v>202</v>
      </c>
      <c r="E18" s="143" t="s">
        <v>207</v>
      </c>
      <c r="K18" s="190"/>
      <c r="L18" s="85"/>
      <c r="M18" s="222"/>
      <c r="N18" s="223"/>
      <c r="O18" s="223"/>
      <c r="P18" s="228"/>
      <c r="Q18" s="228"/>
      <c r="R18" s="228"/>
      <c r="S18" s="228"/>
      <c r="T18" s="228"/>
      <c r="U18" s="229"/>
    </row>
    <row r="19" spans="2:21" x14ac:dyDescent="0.25">
      <c r="B19" s="20" t="s">
        <v>90</v>
      </c>
      <c r="C19" s="139">
        <f>'Hecate Strait'!G27</f>
        <v>2.6073303088437531E-2</v>
      </c>
      <c r="D19" s="91">
        <f>C19*$E$7</f>
        <v>3398.6550575778319</v>
      </c>
      <c r="E19" s="144">
        <f>D19/1000</f>
        <v>3.398655057577832</v>
      </c>
      <c r="F19" s="85"/>
      <c r="G19" s="85"/>
      <c r="H19" s="85"/>
      <c r="I19" s="85"/>
      <c r="J19" s="85"/>
      <c r="K19" s="85"/>
      <c r="L19" s="85"/>
      <c r="M19" s="235" t="s">
        <v>244</v>
      </c>
      <c r="N19" s="228">
        <v>5</v>
      </c>
      <c r="O19" s="228" t="s">
        <v>245</v>
      </c>
      <c r="P19" s="228"/>
      <c r="Q19" s="228"/>
      <c r="R19" s="228"/>
      <c r="S19" s="228"/>
      <c r="T19" s="228"/>
      <c r="U19" s="229"/>
    </row>
    <row r="20" spans="2:21" x14ac:dyDescent="0.25">
      <c r="B20" s="20" t="s">
        <v>89</v>
      </c>
      <c r="C20" s="139">
        <f>'Hecate Strait'!G28</f>
        <v>1.47022717383098E-2</v>
      </c>
      <c r="D20" s="91">
        <f t="shared" ref="D20:D24" si="0">C20*$E$7</f>
        <v>1916.4411210886824</v>
      </c>
      <c r="E20" s="144">
        <f t="shared" ref="E20:E24" si="1">D20/1000</f>
        <v>1.9164411210886825</v>
      </c>
      <c r="F20" s="85"/>
      <c r="G20" s="85"/>
      <c r="H20" s="85"/>
      <c r="I20" s="85"/>
      <c r="J20" s="85"/>
      <c r="K20" s="85"/>
      <c r="L20" s="85"/>
      <c r="M20" s="227" t="s">
        <v>246</v>
      </c>
      <c r="N20" s="228">
        <v>0.3</v>
      </c>
      <c r="O20" s="228" t="s">
        <v>56</v>
      </c>
      <c r="P20" s="228"/>
      <c r="Q20" s="228"/>
      <c r="R20" s="228"/>
      <c r="S20" s="228"/>
      <c r="T20" s="228"/>
      <c r="U20" s="229"/>
    </row>
    <row r="21" spans="2:21" x14ac:dyDescent="0.25">
      <c r="B21" s="20" t="s">
        <v>91</v>
      </c>
      <c r="C21" s="139">
        <f>'Hecate Strait'!G29</f>
        <v>4.1524423788404947E-3</v>
      </c>
      <c r="D21" s="91">
        <f t="shared" si="0"/>
        <v>541.27086408185846</v>
      </c>
      <c r="E21" s="144">
        <f t="shared" si="1"/>
        <v>0.54127086408185843</v>
      </c>
      <c r="F21" s="85"/>
      <c r="G21" s="212" t="s">
        <v>228</v>
      </c>
      <c r="H21" s="85"/>
      <c r="I21" s="85"/>
      <c r="J21" s="85"/>
      <c r="K21" s="85"/>
      <c r="L21" s="85"/>
      <c r="M21" s="235" t="s">
        <v>247</v>
      </c>
      <c r="N21" s="228">
        <f>N19/$U$10</f>
        <v>19806.960800298857</v>
      </c>
      <c r="O21" s="243" t="s">
        <v>185</v>
      </c>
      <c r="P21" s="228"/>
      <c r="Q21" s="228"/>
      <c r="R21" s="228"/>
      <c r="S21" s="228"/>
      <c r="T21" s="228"/>
      <c r="U21" s="229"/>
    </row>
    <row r="22" spans="2:21" ht="15.75" thickBot="1" x14ac:dyDescent="0.3">
      <c r="B22" s="20" t="s">
        <v>92</v>
      </c>
      <c r="C22" s="139">
        <f>'Hecate Strait'!G30</f>
        <v>1.8402621365035483E-3</v>
      </c>
      <c r="D22" s="91">
        <f t="shared" si="0"/>
        <v>239.87816949323752</v>
      </c>
      <c r="E22" s="144">
        <f t="shared" si="1"/>
        <v>0.23987816949323751</v>
      </c>
      <c r="F22" s="85"/>
      <c r="G22" s="85" t="s">
        <v>229</v>
      </c>
      <c r="H22" s="85"/>
      <c r="I22" s="85"/>
      <c r="J22" s="85"/>
      <c r="K22" s="85"/>
      <c r="L22" s="85"/>
      <c r="M22" s="238" t="s">
        <v>248</v>
      </c>
      <c r="N22" s="237">
        <f>($N21*$N20)/1000</f>
        <v>5.9420882400896575</v>
      </c>
      <c r="O22" s="239" t="s">
        <v>219</v>
      </c>
      <c r="P22" s="233"/>
      <c r="Q22" s="233"/>
      <c r="R22" s="233"/>
      <c r="S22" s="233"/>
      <c r="T22" s="233"/>
      <c r="U22" s="234"/>
    </row>
    <row r="23" spans="2:21" x14ac:dyDescent="0.25">
      <c r="B23" s="20" t="s">
        <v>94</v>
      </c>
      <c r="C23" s="139">
        <f>'Hecate Strait'!G31</f>
        <v>6.6659015146840618E-4</v>
      </c>
      <c r="D23" s="91">
        <f t="shared" si="0"/>
        <v>86.890026243906746</v>
      </c>
      <c r="E23" s="144">
        <f t="shared" si="1"/>
        <v>8.6890026243906751E-2</v>
      </c>
      <c r="F23" s="85"/>
      <c r="G23" s="85" t="s">
        <v>230</v>
      </c>
      <c r="H23" s="85"/>
      <c r="I23" s="85"/>
      <c r="J23" s="85"/>
      <c r="K23" s="85"/>
    </row>
    <row r="24" spans="2:21" ht="15.75" thickBot="1" x14ac:dyDescent="0.3">
      <c r="B24" s="38" t="s">
        <v>93</v>
      </c>
      <c r="C24" s="145">
        <f>'Hecate Strait'!G32</f>
        <v>2.5243650706495858E-4</v>
      </c>
      <c r="D24" s="146">
        <f t="shared" si="0"/>
        <v>32.905098695917353</v>
      </c>
      <c r="E24" s="147">
        <f t="shared" si="1"/>
        <v>3.2905098695917352E-2</v>
      </c>
      <c r="F24" s="85"/>
      <c r="G24" s="85"/>
      <c r="H24" s="85"/>
      <c r="I24" s="85"/>
      <c r="J24" s="85"/>
      <c r="K24" s="85"/>
      <c r="L24" s="85"/>
    </row>
    <row r="25" spans="2:21" ht="15.75" thickBot="1" x14ac:dyDescent="0.3">
      <c r="L25" s="85"/>
    </row>
    <row r="26" spans="2:21" ht="21" x14ac:dyDescent="0.25">
      <c r="B26" s="331" t="s">
        <v>199</v>
      </c>
      <c r="C26" s="332"/>
      <c r="D26" s="332"/>
      <c r="E26" s="332"/>
      <c r="F26" s="332"/>
      <c r="G26" s="332"/>
      <c r="H26" s="332"/>
      <c r="I26" s="332"/>
      <c r="J26" s="332"/>
      <c r="K26" s="333"/>
      <c r="L26" s="85"/>
    </row>
    <row r="27" spans="2:21" ht="52.5" customHeight="1" x14ac:dyDescent="0.25">
      <c r="B27" s="200"/>
      <c r="C27" s="7"/>
      <c r="D27" s="201" t="s">
        <v>222</v>
      </c>
      <c r="E27" s="1" t="s">
        <v>225</v>
      </c>
      <c r="F27" s="202" t="s">
        <v>223</v>
      </c>
      <c r="G27" s="8"/>
      <c r="H27" s="8"/>
      <c r="I27" s="8"/>
      <c r="J27" s="8"/>
      <c r="K27" s="55"/>
      <c r="L27" s="85"/>
    </row>
    <row r="28" spans="2:21" ht="45" x14ac:dyDescent="0.25">
      <c r="B28" s="42" t="s">
        <v>194</v>
      </c>
      <c r="C28" s="43" t="s">
        <v>193</v>
      </c>
      <c r="D28" s="175" t="s">
        <v>195</v>
      </c>
      <c r="E28" s="175" t="s">
        <v>203</v>
      </c>
      <c r="F28" s="181" t="s">
        <v>196</v>
      </c>
      <c r="G28" s="181" t="s">
        <v>204</v>
      </c>
      <c r="H28" s="184" t="s">
        <v>197</v>
      </c>
      <c r="I28" s="184" t="s">
        <v>205</v>
      </c>
      <c r="J28" s="178" t="s">
        <v>198</v>
      </c>
      <c r="K28" s="187" t="s">
        <v>206</v>
      </c>
      <c r="L28" s="85"/>
    </row>
    <row r="29" spans="2:21" x14ac:dyDescent="0.25">
      <c r="B29" s="20" t="s">
        <v>90</v>
      </c>
      <c r="C29" s="139">
        <f>'Hecate Strait'!G27</f>
        <v>2.6073303088437531E-2</v>
      </c>
      <c r="D29" s="176">
        <f>20/$C29</f>
        <v>767.06813602259706</v>
      </c>
      <c r="E29" s="176">
        <f>D29/3600</f>
        <v>0.21307448222849917</v>
      </c>
      <c r="F29" s="182">
        <f t="shared" ref="F29:F34" si="2">10/$C29</f>
        <v>383.53406801129853</v>
      </c>
      <c r="G29" s="182">
        <f>F29/3600</f>
        <v>0.10653724111424959</v>
      </c>
      <c r="H29" s="185">
        <f t="shared" ref="H29:H34" si="3">5/$C29</f>
        <v>191.76703400564926</v>
      </c>
      <c r="I29" s="185">
        <f>H29/3600</f>
        <v>5.3268620557124793E-2</v>
      </c>
      <c r="J29" s="179">
        <f t="shared" ref="J29:J34" si="4">1/$C29</f>
        <v>38.35340680112985</v>
      </c>
      <c r="K29" s="188">
        <f>J29/3600</f>
        <v>1.0653724111424958E-2</v>
      </c>
      <c r="L29" s="85"/>
    </row>
    <row r="30" spans="2:21" x14ac:dyDescent="0.25">
      <c r="B30" s="20" t="s">
        <v>89</v>
      </c>
      <c r="C30" s="139">
        <f>'Hecate Strait'!G28</f>
        <v>1.47022717383098E-2</v>
      </c>
      <c r="D30" s="176">
        <f>20/C30</f>
        <v>1360.3339916433374</v>
      </c>
      <c r="E30" s="176">
        <f t="shared" ref="E30:G34" si="5">D30/3600</f>
        <v>0.37787055323426039</v>
      </c>
      <c r="F30" s="182">
        <f t="shared" si="2"/>
        <v>680.16699582166871</v>
      </c>
      <c r="G30" s="182">
        <f t="shared" si="5"/>
        <v>0.18893527661713019</v>
      </c>
      <c r="H30" s="185">
        <f t="shared" si="3"/>
        <v>340.08349791083435</v>
      </c>
      <c r="I30" s="185">
        <f t="shared" ref="I30" si="6">H30/3600</f>
        <v>9.4467638308565097E-2</v>
      </c>
      <c r="J30" s="179">
        <f t="shared" si="4"/>
        <v>68.016699582166879</v>
      </c>
      <c r="K30" s="188">
        <f t="shared" ref="K30" si="7">J30/3600</f>
        <v>1.8893527661713021E-2</v>
      </c>
    </row>
    <row r="31" spans="2:21" x14ac:dyDescent="0.25">
      <c r="B31" s="20" t="s">
        <v>91</v>
      </c>
      <c r="C31" s="139">
        <f>'Hecate Strait'!G29</f>
        <v>4.1524423788404947E-3</v>
      </c>
      <c r="D31" s="176">
        <f>20/C31</f>
        <v>4816.4425114996275</v>
      </c>
      <c r="E31" s="176">
        <f t="shared" si="5"/>
        <v>1.3379006976387855</v>
      </c>
      <c r="F31" s="182">
        <f t="shared" si="2"/>
        <v>2408.2212557498137</v>
      </c>
      <c r="G31" s="182">
        <f t="shared" si="5"/>
        <v>0.66895034881939275</v>
      </c>
      <c r="H31" s="185">
        <f t="shared" si="3"/>
        <v>1204.1106278749069</v>
      </c>
      <c r="I31" s="185">
        <f t="shared" ref="I31" si="8">H31/3600</f>
        <v>0.33447517440969637</v>
      </c>
      <c r="J31" s="179">
        <f t="shared" si="4"/>
        <v>240.82212557498138</v>
      </c>
      <c r="K31" s="188">
        <f t="shared" ref="K31" si="9">J31/3600</f>
        <v>6.6895034881939278E-2</v>
      </c>
    </row>
    <row r="32" spans="2:21" x14ac:dyDescent="0.25">
      <c r="B32" s="20" t="s">
        <v>92</v>
      </c>
      <c r="C32" s="139">
        <f>'Hecate Strait'!G30</f>
        <v>1.8402621365035483E-3</v>
      </c>
      <c r="D32" s="176">
        <f>20/C32</f>
        <v>10868.016900026805</v>
      </c>
      <c r="E32" s="176">
        <f t="shared" si="5"/>
        <v>3.0188935833407791</v>
      </c>
      <c r="F32" s="182">
        <f t="shared" si="2"/>
        <v>5434.0084500134026</v>
      </c>
      <c r="G32" s="182">
        <f t="shared" si="5"/>
        <v>1.5094467916703895</v>
      </c>
      <c r="H32" s="185">
        <f t="shared" si="3"/>
        <v>2717.0042250067013</v>
      </c>
      <c r="I32" s="185">
        <f t="shared" ref="I32" si="10">H32/3600</f>
        <v>0.75472339583519477</v>
      </c>
      <c r="J32" s="179">
        <f t="shared" si="4"/>
        <v>543.40084500134026</v>
      </c>
      <c r="K32" s="188">
        <f t="shared" ref="K32" si="11">J32/3600</f>
        <v>0.15094467916703896</v>
      </c>
    </row>
    <row r="33" spans="2:11" x14ac:dyDescent="0.25">
      <c r="B33" s="20" t="s">
        <v>94</v>
      </c>
      <c r="C33" s="139">
        <f>'Hecate Strait'!G31</f>
        <v>6.6659015146840618E-4</v>
      </c>
      <c r="D33" s="176">
        <f>20/C33</f>
        <v>30003.443579150935</v>
      </c>
      <c r="E33" s="176">
        <f t="shared" si="5"/>
        <v>8.3342898830974814</v>
      </c>
      <c r="F33" s="182">
        <f t="shared" si="2"/>
        <v>15001.721789575467</v>
      </c>
      <c r="G33" s="182">
        <f t="shared" si="5"/>
        <v>4.1671449415487407</v>
      </c>
      <c r="H33" s="185">
        <f t="shared" si="3"/>
        <v>7500.8608947877337</v>
      </c>
      <c r="I33" s="185">
        <f t="shared" ref="I33" si="12">H33/3600</f>
        <v>2.0835724707743704</v>
      </c>
      <c r="J33" s="179">
        <f t="shared" si="4"/>
        <v>1500.1721789575467</v>
      </c>
      <c r="K33" s="188">
        <f t="shared" ref="K33" si="13">J33/3600</f>
        <v>0.4167144941548741</v>
      </c>
    </row>
    <row r="34" spans="2:11" ht="15.75" thickBot="1" x14ac:dyDescent="0.3">
      <c r="B34" s="38" t="s">
        <v>93</v>
      </c>
      <c r="C34" s="145">
        <f>'Hecate Strait'!G32</f>
        <v>2.5243650706495858E-4</v>
      </c>
      <c r="D34" s="177">
        <f>20/C34</f>
        <v>79227.843201195428</v>
      </c>
      <c r="E34" s="177">
        <f t="shared" si="5"/>
        <v>22.007734222554287</v>
      </c>
      <c r="F34" s="183">
        <f t="shared" si="2"/>
        <v>39613.921600597714</v>
      </c>
      <c r="G34" s="183">
        <f t="shared" si="5"/>
        <v>11.003867111277144</v>
      </c>
      <c r="H34" s="186">
        <f t="shared" si="3"/>
        <v>19806.960800298857</v>
      </c>
      <c r="I34" s="186">
        <f t="shared" ref="I34" si="14">H34/3600</f>
        <v>5.5019335556385718</v>
      </c>
      <c r="J34" s="180">
        <f t="shared" si="4"/>
        <v>3961.3921600597714</v>
      </c>
      <c r="K34" s="189">
        <f t="shared" ref="K34" si="15">J34/3600</f>
        <v>1.1003867111277144</v>
      </c>
    </row>
    <row r="36" spans="2:11" x14ac:dyDescent="0.25">
      <c r="C36" s="23">
        <v>212</v>
      </c>
      <c r="D36" s="176">
        <v>0.21307448222849917</v>
      </c>
      <c r="E36">
        <v>0.10653724111424959</v>
      </c>
      <c r="F36">
        <v>5.3268620557124793E-2</v>
      </c>
      <c r="G36">
        <v>1.0653724111424958E-2</v>
      </c>
    </row>
    <row r="37" spans="2:11" x14ac:dyDescent="0.25">
      <c r="C37" s="16">
        <v>159</v>
      </c>
      <c r="D37" s="176">
        <v>0.37787055323426039</v>
      </c>
      <c r="E37">
        <v>0.18893527661713019</v>
      </c>
      <c r="F37">
        <v>9.4467638308565097E-2</v>
      </c>
      <c r="G37">
        <v>1.8893527661713021E-2</v>
      </c>
    </row>
    <row r="38" spans="2:11" x14ac:dyDescent="0.25">
      <c r="C38" s="16">
        <v>84.5</v>
      </c>
      <c r="D38" s="176">
        <v>1.3379006976387855</v>
      </c>
      <c r="E38">
        <v>0.66895034881939275</v>
      </c>
      <c r="F38">
        <v>0.33447517440969637</v>
      </c>
      <c r="G38">
        <v>6.6895034881939278E-2</v>
      </c>
    </row>
    <row r="39" spans="2:11" x14ac:dyDescent="0.25">
      <c r="C39" s="16">
        <v>54</v>
      </c>
      <c r="D39" s="176">
        <v>3.0188935833407791</v>
      </c>
      <c r="E39">
        <v>1.5094467916703895</v>
      </c>
      <c r="F39">
        <v>0.75472339583519477</v>
      </c>
      <c r="G39">
        <v>0.15094467916703896</v>
      </c>
    </row>
    <row r="40" spans="2:11" x14ac:dyDescent="0.25">
      <c r="C40" s="16">
        <v>32.5</v>
      </c>
      <c r="D40" s="176">
        <v>8.3342898830974814</v>
      </c>
      <c r="E40">
        <v>4.1671449415487407</v>
      </c>
      <c r="F40">
        <v>2.0835724707743704</v>
      </c>
      <c r="G40">
        <v>0.4167144941548741</v>
      </c>
    </row>
    <row r="41" spans="2:11" ht="15.75" thickBot="1" x14ac:dyDescent="0.3">
      <c r="C41" s="26">
        <v>20</v>
      </c>
      <c r="D41" s="177">
        <v>22.00773422255428</v>
      </c>
      <c r="E41">
        <v>11.00386711127714</v>
      </c>
      <c r="F41">
        <v>5.50193355563857</v>
      </c>
      <c r="G41">
        <v>1.1003867111277141</v>
      </c>
    </row>
    <row r="42" spans="2:11" x14ac:dyDescent="0.25">
      <c r="C42" t="s">
        <v>231</v>
      </c>
      <c r="D42" t="s">
        <v>232</v>
      </c>
      <c r="E42" t="s">
        <v>233</v>
      </c>
    </row>
    <row r="43" spans="2:11" x14ac:dyDescent="0.25">
      <c r="C43" s="23">
        <v>212</v>
      </c>
      <c r="D43" s="8">
        <f>$E$8</f>
        <v>0.3</v>
      </c>
      <c r="E43" s="213">
        <f>C29</f>
        <v>2.6073303088437531E-2</v>
      </c>
    </row>
    <row r="44" spans="2:11" x14ac:dyDescent="0.25">
      <c r="C44" s="16">
        <v>159</v>
      </c>
      <c r="D44" s="8">
        <f t="shared" ref="D44:D48" si="16">$E$8</f>
        <v>0.3</v>
      </c>
      <c r="E44" s="213">
        <f t="shared" ref="E44:E48" si="17">C30</f>
        <v>1.47022717383098E-2</v>
      </c>
      <c r="F44" s="85"/>
      <c r="G44" s="85"/>
    </row>
    <row r="45" spans="2:11" x14ac:dyDescent="0.25">
      <c r="C45" s="16">
        <v>84.5</v>
      </c>
      <c r="D45" s="8">
        <f t="shared" si="16"/>
        <v>0.3</v>
      </c>
      <c r="E45" s="213">
        <f t="shared" si="17"/>
        <v>4.1524423788404947E-3</v>
      </c>
      <c r="F45" s="85"/>
      <c r="G45" s="85"/>
    </row>
    <row r="46" spans="2:11" x14ac:dyDescent="0.25">
      <c r="C46" s="16">
        <v>54</v>
      </c>
      <c r="D46" s="8">
        <f t="shared" si="16"/>
        <v>0.3</v>
      </c>
      <c r="E46" s="213">
        <f t="shared" si="17"/>
        <v>1.8402621365035483E-3</v>
      </c>
      <c r="F46" s="85"/>
      <c r="G46" s="85"/>
    </row>
    <row r="47" spans="2:11" x14ac:dyDescent="0.25">
      <c r="C47" s="16">
        <v>32.5</v>
      </c>
      <c r="D47" s="8">
        <f t="shared" si="16"/>
        <v>0.3</v>
      </c>
      <c r="E47" s="213">
        <f t="shared" si="17"/>
        <v>6.6659015146840618E-4</v>
      </c>
      <c r="F47" s="85"/>
      <c r="G47" s="85"/>
    </row>
    <row r="48" spans="2:11" x14ac:dyDescent="0.25">
      <c r="C48" s="26">
        <v>20</v>
      </c>
      <c r="D48" s="8">
        <f t="shared" si="16"/>
        <v>0.3</v>
      </c>
      <c r="E48" s="213">
        <f t="shared" si="17"/>
        <v>2.5243650706495858E-4</v>
      </c>
      <c r="F48" s="85"/>
      <c r="G48" s="85"/>
    </row>
    <row r="49" spans="3:9" x14ac:dyDescent="0.25">
      <c r="C49" s="16"/>
      <c r="I49" s="26">
        <v>20</v>
      </c>
    </row>
    <row r="50" spans="3:9" x14ac:dyDescent="0.25">
      <c r="C50" s="8"/>
    </row>
    <row r="51" spans="3:9" x14ac:dyDescent="0.25">
      <c r="C51" s="8" t="s">
        <v>231</v>
      </c>
      <c r="D51" s="23">
        <v>212</v>
      </c>
      <c r="E51" s="16">
        <v>159</v>
      </c>
      <c r="F51" s="16">
        <v>84.5</v>
      </c>
      <c r="G51" s="16">
        <v>54</v>
      </c>
      <c r="H51" s="16">
        <v>32.5</v>
      </c>
      <c r="I51" s="214">
        <v>20</v>
      </c>
    </row>
    <row r="52" spans="3:9" x14ac:dyDescent="0.25">
      <c r="C52" s="8" t="s">
        <v>234</v>
      </c>
      <c r="D52" s="9">
        <f>20/E43</f>
        <v>767.06813602259706</v>
      </c>
      <c r="E52" s="9">
        <f>20/E44</f>
        <v>1360.3339916433374</v>
      </c>
      <c r="F52">
        <f>20/E45</f>
        <v>4816.4425114996275</v>
      </c>
      <c r="G52" s="85">
        <f>20/E46</f>
        <v>10868.016900026805</v>
      </c>
      <c r="H52" s="85">
        <f>20/E47</f>
        <v>30003.443579150935</v>
      </c>
      <c r="I52" s="85">
        <f>20/E48</f>
        <v>79227.843201195428</v>
      </c>
    </row>
    <row r="53" spans="3:9" x14ac:dyDescent="0.25">
      <c r="C53" s="8" t="s">
        <v>234</v>
      </c>
      <c r="D53" s="8">
        <f>10/E43</f>
        <v>383.53406801129853</v>
      </c>
      <c r="E53" s="8">
        <f>10/E44</f>
        <v>680.16699582166871</v>
      </c>
      <c r="F53" s="85">
        <f>10/E45</f>
        <v>2408.2212557498137</v>
      </c>
      <c r="G53" s="85">
        <f>10/E46</f>
        <v>5434.0084500134026</v>
      </c>
      <c r="H53" s="85">
        <f>10/E47</f>
        <v>15001.721789575467</v>
      </c>
      <c r="I53" s="85">
        <f>10/E48</f>
        <v>39613.921600597714</v>
      </c>
    </row>
    <row r="54" spans="3:9" x14ac:dyDescent="0.25">
      <c r="C54" s="8" t="s">
        <v>234</v>
      </c>
      <c r="D54" s="8">
        <f>5/E43</f>
        <v>191.76703400564926</v>
      </c>
      <c r="E54" s="8">
        <f>5/E44</f>
        <v>340.08349791083435</v>
      </c>
      <c r="F54" s="85">
        <f>5/E45</f>
        <v>1204.1106278749069</v>
      </c>
      <c r="G54" s="85">
        <f>5/E46</f>
        <v>2717.0042250067013</v>
      </c>
      <c r="H54" s="85">
        <f>5/E47</f>
        <v>7500.8608947877337</v>
      </c>
      <c r="I54" s="85">
        <f>5/E48</f>
        <v>19806.960800298857</v>
      </c>
    </row>
    <row r="55" spans="3:9" x14ac:dyDescent="0.25">
      <c r="C55" s="8" t="s">
        <v>234</v>
      </c>
      <c r="D55" s="8">
        <f>1/E43</f>
        <v>38.35340680112985</v>
      </c>
      <c r="E55" s="8">
        <f>1/E44</f>
        <v>68.016699582166879</v>
      </c>
      <c r="F55" s="85">
        <f>1/E45</f>
        <v>240.82212557498138</v>
      </c>
      <c r="G55" s="85">
        <f>1/E46</f>
        <v>543.40084500134026</v>
      </c>
      <c r="H55" s="85">
        <f>1/E47</f>
        <v>1500.1721789575467</v>
      </c>
      <c r="I55" s="85">
        <f>1/E48</f>
        <v>3961.3921600597714</v>
      </c>
    </row>
    <row r="56" spans="3:9" x14ac:dyDescent="0.25">
      <c r="C56" s="8" t="s">
        <v>231</v>
      </c>
      <c r="D56" s="23">
        <v>212</v>
      </c>
      <c r="E56" s="16">
        <v>159</v>
      </c>
      <c r="F56" s="16">
        <v>84.5</v>
      </c>
      <c r="G56" s="16">
        <v>54</v>
      </c>
      <c r="H56" s="16">
        <v>32.5</v>
      </c>
      <c r="I56" s="214">
        <v>20</v>
      </c>
    </row>
    <row r="57" spans="3:9" x14ac:dyDescent="0.25">
      <c r="C57" t="s">
        <v>235</v>
      </c>
      <c r="D57">
        <f>$D$43*D52</f>
        <v>230.1204408067791</v>
      </c>
      <c r="E57" s="85">
        <f>E52*$D$44</f>
        <v>408.10019749300119</v>
      </c>
      <c r="F57" s="85">
        <f>F52*$D$45</f>
        <v>1444.9327534498882</v>
      </c>
      <c r="G57" s="85">
        <f>$D$46*G52</f>
        <v>3260.4050700080415</v>
      </c>
      <c r="H57" s="85">
        <f>H52*$D$47</f>
        <v>9001.0330737452805</v>
      </c>
      <c r="I57" s="85">
        <f>I52*$D$48</f>
        <v>23768.352960358628</v>
      </c>
    </row>
    <row r="58" spans="3:9" x14ac:dyDescent="0.25">
      <c r="C58" s="85" t="s">
        <v>236</v>
      </c>
      <c r="D58" s="85">
        <f t="shared" ref="D58:D60" si="18">$D$43*D53</f>
        <v>115.06022040338955</v>
      </c>
      <c r="E58" s="85">
        <f t="shared" ref="E58:E60" si="19">E53*$D$44</f>
        <v>204.05009874650059</v>
      </c>
      <c r="F58" s="85">
        <f t="shared" ref="F58:F60" si="20">F53*$D$45</f>
        <v>722.4663767249441</v>
      </c>
      <c r="G58" s="85">
        <f t="shared" ref="G58:G60" si="21">$D$46*G53</f>
        <v>1630.2025350040208</v>
      </c>
      <c r="H58" s="85">
        <f t="shared" ref="H58:H60" si="22">H53*$D$47</f>
        <v>4500.5165368726402</v>
      </c>
      <c r="I58" s="85">
        <f t="shared" ref="I58:I59" si="23">I53*$D$48</f>
        <v>11884.176480179314</v>
      </c>
    </row>
    <row r="59" spans="3:9" x14ac:dyDescent="0.25">
      <c r="C59" s="85" t="s">
        <v>237</v>
      </c>
      <c r="D59" s="85">
        <f t="shared" si="18"/>
        <v>57.530110201694775</v>
      </c>
      <c r="E59" s="85">
        <f t="shared" si="19"/>
        <v>102.0250493732503</v>
      </c>
      <c r="F59" s="85">
        <f t="shared" si="20"/>
        <v>361.23318836247205</v>
      </c>
      <c r="G59" s="85">
        <f t="shared" si="21"/>
        <v>815.10126750201039</v>
      </c>
      <c r="H59" s="85">
        <f t="shared" si="22"/>
        <v>2250.2582684363201</v>
      </c>
      <c r="I59" s="85">
        <f t="shared" si="23"/>
        <v>5942.0882400896571</v>
      </c>
    </row>
    <row r="60" spans="3:9" x14ac:dyDescent="0.25">
      <c r="C60" s="85" t="s">
        <v>238</v>
      </c>
      <c r="D60" s="85">
        <f t="shared" si="18"/>
        <v>11.506022040338955</v>
      </c>
      <c r="E60" s="85">
        <f t="shared" si="19"/>
        <v>20.405009874650062</v>
      </c>
      <c r="F60" s="85">
        <f t="shared" si="20"/>
        <v>72.246637672494415</v>
      </c>
      <c r="G60" s="85">
        <f t="shared" si="21"/>
        <v>163.02025350040208</v>
      </c>
      <c r="H60" s="85">
        <f t="shared" si="22"/>
        <v>450.05165368726404</v>
      </c>
      <c r="I60" s="85">
        <f>I55*$D$48</f>
        <v>1188.4176480179315</v>
      </c>
    </row>
    <row r="62" spans="3:9" x14ac:dyDescent="0.25">
      <c r="C62" s="85" t="s">
        <v>239</v>
      </c>
      <c r="D62">
        <f>D57/1000</f>
        <v>0.2301204408067791</v>
      </c>
      <c r="E62" s="85">
        <f t="shared" ref="E62:I62" si="24">E57/1000</f>
        <v>0.40810019749300119</v>
      </c>
      <c r="F62" s="85">
        <f t="shared" si="24"/>
        <v>1.4449327534498881</v>
      </c>
      <c r="G62" s="85">
        <f t="shared" si="24"/>
        <v>3.2604050700080416</v>
      </c>
      <c r="H62" s="85">
        <f t="shared" si="24"/>
        <v>9.0010330737452797</v>
      </c>
      <c r="I62" s="85">
        <f t="shared" si="24"/>
        <v>23.76835296035863</v>
      </c>
    </row>
    <row r="63" spans="3:9" x14ac:dyDescent="0.25">
      <c r="C63" s="85" t="s">
        <v>240</v>
      </c>
      <c r="D63" s="85">
        <f t="shared" ref="D63:I65" si="25">D58/1000</f>
        <v>0.11506022040338955</v>
      </c>
      <c r="E63" s="85">
        <f t="shared" si="25"/>
        <v>0.2040500987465006</v>
      </c>
      <c r="F63" s="85">
        <f t="shared" si="25"/>
        <v>0.72246637672494407</v>
      </c>
      <c r="G63" s="85">
        <f t="shared" si="25"/>
        <v>1.6302025350040208</v>
      </c>
      <c r="H63" s="85">
        <f t="shared" si="25"/>
        <v>4.5005165368726399</v>
      </c>
      <c r="I63" s="85">
        <f t="shared" si="25"/>
        <v>11.884176480179315</v>
      </c>
    </row>
    <row r="64" spans="3:9" x14ac:dyDescent="0.25">
      <c r="C64" s="85" t="s">
        <v>241</v>
      </c>
      <c r="D64" s="85">
        <f t="shared" si="25"/>
        <v>5.7530110201694774E-2</v>
      </c>
      <c r="E64" s="85">
        <f t="shared" si="25"/>
        <v>0.1020250493732503</v>
      </c>
      <c r="F64" s="85">
        <f t="shared" si="25"/>
        <v>0.36123318836247204</v>
      </c>
      <c r="G64" s="85">
        <f t="shared" si="25"/>
        <v>0.8151012675020104</v>
      </c>
      <c r="H64" s="85">
        <f t="shared" si="25"/>
        <v>2.2502582684363199</v>
      </c>
      <c r="I64" s="85">
        <f t="shared" si="25"/>
        <v>5.9420882400896575</v>
      </c>
    </row>
    <row r="65" spans="3:11" x14ac:dyDescent="0.25">
      <c r="C65" s="85" t="s">
        <v>242</v>
      </c>
      <c r="D65" s="85">
        <f t="shared" si="25"/>
        <v>1.1506022040338956E-2</v>
      </c>
      <c r="E65" s="85">
        <f t="shared" si="25"/>
        <v>2.0405009874650062E-2</v>
      </c>
      <c r="F65" s="85">
        <f t="shared" si="25"/>
        <v>7.224663767249441E-2</v>
      </c>
      <c r="G65" s="85">
        <f t="shared" si="25"/>
        <v>0.16302025350040208</v>
      </c>
      <c r="H65" s="85">
        <f t="shared" si="25"/>
        <v>0.45005165368726402</v>
      </c>
      <c r="I65" s="85">
        <f t="shared" si="25"/>
        <v>1.1884176480179314</v>
      </c>
    </row>
    <row r="66" spans="3:11" x14ac:dyDescent="0.25">
      <c r="D66" s="85"/>
    </row>
    <row r="68" spans="3:11" x14ac:dyDescent="0.25">
      <c r="D68" s="85"/>
    </row>
    <row r="69" spans="3:11" x14ac:dyDescent="0.25">
      <c r="D69" s="85"/>
      <c r="H69" s="85"/>
      <c r="I69" s="85"/>
      <c r="J69" s="85"/>
      <c r="K69" s="85"/>
    </row>
    <row r="70" spans="3:11" x14ac:dyDescent="0.25">
      <c r="D70" s="85"/>
      <c r="H70" s="85"/>
      <c r="I70" s="85"/>
      <c r="J70" s="85"/>
      <c r="K70" s="85"/>
    </row>
    <row r="71" spans="3:11" x14ac:dyDescent="0.25">
      <c r="D71" s="85"/>
      <c r="H71" s="85"/>
      <c r="I71" s="85"/>
      <c r="J71" s="85"/>
      <c r="K71" s="85"/>
    </row>
    <row r="72" spans="3:11" x14ac:dyDescent="0.25">
      <c r="D72" s="85" t="s">
        <v>235</v>
      </c>
      <c r="E72" s="85" t="s">
        <v>236</v>
      </c>
      <c r="F72" s="85" t="s">
        <v>237</v>
      </c>
      <c r="G72" s="85" t="s">
        <v>238</v>
      </c>
      <c r="H72" s="85"/>
      <c r="I72" s="85"/>
      <c r="J72" s="142"/>
      <c r="K72" s="85"/>
    </row>
    <row r="73" spans="3:11" x14ac:dyDescent="0.25">
      <c r="C73" s="23">
        <v>212</v>
      </c>
      <c r="D73" s="85">
        <v>92.04817632271164</v>
      </c>
      <c r="E73" s="85">
        <v>46.02408816135582</v>
      </c>
      <c r="F73" s="85">
        <v>23.01204408067791</v>
      </c>
      <c r="G73" s="85">
        <v>4.6024088161355818</v>
      </c>
      <c r="H73" s="85"/>
      <c r="I73" s="85"/>
      <c r="J73" s="142"/>
      <c r="K73" s="85"/>
    </row>
    <row r="74" spans="3:11" x14ac:dyDescent="0.25">
      <c r="C74" s="16">
        <v>159</v>
      </c>
      <c r="D74" s="85">
        <v>163.24007899720047</v>
      </c>
      <c r="E74" s="85">
        <v>81.620039498600235</v>
      </c>
      <c r="F74" s="85">
        <v>40.810019749300118</v>
      </c>
      <c r="G74" s="85">
        <v>8.1620039498600256</v>
      </c>
      <c r="H74" s="85"/>
      <c r="I74" s="85"/>
      <c r="J74" s="142"/>
      <c r="K74" s="85"/>
    </row>
    <row r="75" spans="3:11" x14ac:dyDescent="0.25">
      <c r="C75" s="16">
        <v>84.5</v>
      </c>
      <c r="D75" s="85">
        <v>577.97310137995532</v>
      </c>
      <c r="E75" s="85">
        <v>288.98655068997766</v>
      </c>
      <c r="F75" s="85">
        <v>144.49327534498883</v>
      </c>
      <c r="G75" s="85">
        <v>28.898655068997765</v>
      </c>
      <c r="J75" s="142"/>
    </row>
    <row r="76" spans="3:11" x14ac:dyDescent="0.25">
      <c r="C76" s="16">
        <v>54</v>
      </c>
      <c r="D76" s="85">
        <v>1304.1620280032166</v>
      </c>
      <c r="E76" s="85">
        <v>652.08101400160831</v>
      </c>
      <c r="F76" s="85">
        <v>326.04050700080415</v>
      </c>
      <c r="G76" s="85">
        <v>65.208101400160828</v>
      </c>
      <c r="J76" s="142"/>
    </row>
    <row r="77" spans="3:11" x14ac:dyDescent="0.25">
      <c r="C77" s="16">
        <v>32.5</v>
      </c>
      <c r="D77" s="85">
        <v>3600.4132294981123</v>
      </c>
      <c r="E77" s="85">
        <v>1800.2066147490561</v>
      </c>
      <c r="F77" s="85">
        <v>900.10330737452807</v>
      </c>
      <c r="G77" s="85">
        <v>180.02066147490561</v>
      </c>
      <c r="J77" s="142"/>
    </row>
    <row r="78" spans="3:11" x14ac:dyDescent="0.25">
      <c r="C78" s="214">
        <v>20</v>
      </c>
      <c r="D78" s="85">
        <v>9507.3411841434499</v>
      </c>
      <c r="E78" s="85">
        <v>4753.670592071725</v>
      </c>
      <c r="F78" s="85">
        <v>2376.8352960358625</v>
      </c>
      <c r="G78" s="85">
        <v>475.36705920717242</v>
      </c>
    </row>
    <row r="79" spans="3:11" x14ac:dyDescent="0.25">
      <c r="D79" s="85" t="s">
        <v>239</v>
      </c>
      <c r="E79" s="85" t="s">
        <v>240</v>
      </c>
      <c r="F79" s="85" t="s">
        <v>241</v>
      </c>
      <c r="G79" s="85" t="s">
        <v>242</v>
      </c>
    </row>
    <row r="80" spans="3:11" x14ac:dyDescent="0.25">
      <c r="C80" s="23">
        <v>212</v>
      </c>
      <c r="D80" s="85">
        <v>9.2048176322711645E-2</v>
      </c>
      <c r="E80" s="85">
        <v>4.6024088161355822E-2</v>
      </c>
      <c r="F80" s="85">
        <v>2.3012044080677911E-2</v>
      </c>
      <c r="G80" s="85">
        <v>4.6024088161355815E-3</v>
      </c>
    </row>
    <row r="81" spans="3:7" x14ac:dyDescent="0.25">
      <c r="C81" s="16">
        <v>159</v>
      </c>
      <c r="D81" s="85">
        <v>0.16324007899720047</v>
      </c>
      <c r="E81" s="85">
        <v>8.1620039498600236E-2</v>
      </c>
      <c r="F81" s="85">
        <v>4.0810019749300118E-2</v>
      </c>
      <c r="G81" s="85">
        <v>8.162003949860025E-3</v>
      </c>
    </row>
    <row r="82" spans="3:7" x14ac:dyDescent="0.25">
      <c r="C82" s="16">
        <v>84.5</v>
      </c>
      <c r="D82" s="85">
        <v>0.57797310137995528</v>
      </c>
      <c r="E82" s="85">
        <v>0.28898655068997764</v>
      </c>
      <c r="F82" s="85">
        <v>0.14449327534498882</v>
      </c>
      <c r="G82" s="85">
        <v>2.8898655068997765E-2</v>
      </c>
    </row>
    <row r="83" spans="3:7" x14ac:dyDescent="0.25">
      <c r="C83" s="16">
        <v>54</v>
      </c>
      <c r="D83" s="85">
        <v>1.3041620280032167</v>
      </c>
      <c r="E83" s="85">
        <v>0.65208101400160834</v>
      </c>
      <c r="F83" s="85">
        <v>0.32604050700080417</v>
      </c>
      <c r="G83" s="85">
        <v>6.5208101400160826E-2</v>
      </c>
    </row>
    <row r="84" spans="3:7" x14ac:dyDescent="0.25">
      <c r="C84" s="16">
        <v>32.5</v>
      </c>
      <c r="D84" s="85">
        <v>3.6004132294981122</v>
      </c>
      <c r="E84" s="85">
        <v>1.8002066147490561</v>
      </c>
      <c r="F84" s="85">
        <v>0.90010330737452804</v>
      </c>
      <c r="G84" s="85">
        <v>0.18002066147490561</v>
      </c>
    </row>
    <row r="85" spans="3:7" x14ac:dyDescent="0.25">
      <c r="C85" s="214">
        <v>20</v>
      </c>
      <c r="D85" s="85">
        <v>9.5073411841434492</v>
      </c>
      <c r="E85" s="85">
        <v>4.7536705920717246</v>
      </c>
      <c r="F85" s="85">
        <v>2.3768352960358623</v>
      </c>
      <c r="G85" s="85">
        <v>0.47536705920717243</v>
      </c>
    </row>
  </sheetData>
  <mergeCells count="5">
    <mergeCell ref="B26:K26"/>
    <mergeCell ref="B11:F11"/>
    <mergeCell ref="B3:F3"/>
    <mergeCell ref="B15:E15"/>
    <mergeCell ref="M3:N3"/>
  </mergeCells>
  <pageMargins left="0.7" right="0.7" top="0.75" bottom="0.75" header="0.3" footer="0.3"/>
  <pageSetup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AM51"/>
  <sheetViews>
    <sheetView zoomScale="70" zoomScaleNormal="70" workbookViewId="0">
      <selection activeCell="G29" sqref="G29"/>
    </sheetView>
  </sheetViews>
  <sheetFormatPr defaultRowHeight="15" x14ac:dyDescent="0.25"/>
  <cols>
    <col min="1" max="3" width="21.85546875" style="215" customWidth="1"/>
    <col min="4" max="4" width="28.85546875" style="215" customWidth="1"/>
    <col min="5" max="9" width="21.85546875" style="215" customWidth="1"/>
    <col min="10" max="10" width="16.42578125" style="215" customWidth="1"/>
    <col min="11" max="11" width="21.7109375" customWidth="1"/>
    <col min="12" max="13" width="17.5703125" customWidth="1"/>
    <col min="14" max="14" width="15.7109375" customWidth="1"/>
    <col min="19" max="19" width="20" customWidth="1"/>
    <col min="21" max="29" width="15.28515625" customWidth="1"/>
    <col min="31" max="39" width="14.85546875" customWidth="1"/>
  </cols>
  <sheetData>
    <row r="2" spans="1:39" ht="15.75" thickBot="1" x14ac:dyDescent="0.3">
      <c r="A2" s="219"/>
      <c r="B2" s="219"/>
      <c r="C2" s="219"/>
      <c r="D2" s="219"/>
      <c r="E2" s="219"/>
      <c r="F2" s="219"/>
      <c r="G2" s="217"/>
      <c r="H2" s="217"/>
      <c r="I2" s="217"/>
    </row>
    <row r="3" spans="1:39" ht="30" x14ac:dyDescent="0.25">
      <c r="A3" s="128" t="s">
        <v>250</v>
      </c>
      <c r="B3">
        <v>5</v>
      </c>
      <c r="C3" s="215">
        <f>5-L10</f>
        <v>4</v>
      </c>
      <c r="D3" s="215">
        <f>5-L15</f>
        <v>3</v>
      </c>
      <c r="E3" s="215">
        <f>5-L20</f>
        <v>1.5</v>
      </c>
      <c r="F3" s="215">
        <f>5-L25</f>
        <v>0</v>
      </c>
    </row>
    <row r="4" spans="1:39" ht="30.75" thickBot="1" x14ac:dyDescent="0.3">
      <c r="A4" s="262" t="s">
        <v>249</v>
      </c>
      <c r="B4" s="219">
        <v>30</v>
      </c>
      <c r="C4" s="219">
        <v>20</v>
      </c>
      <c r="D4" s="219">
        <v>15</v>
      </c>
      <c r="E4" s="219">
        <v>10</v>
      </c>
      <c r="F4" s="219">
        <v>0</v>
      </c>
      <c r="G4" s="217"/>
      <c r="H4" s="217"/>
      <c r="I4" s="217"/>
    </row>
    <row r="5" spans="1:39" ht="15.75" thickBot="1" x14ac:dyDescent="0.3">
      <c r="A5" s="263"/>
      <c r="B5" s="339" t="s">
        <v>251</v>
      </c>
      <c r="C5" s="339"/>
      <c r="D5" s="339"/>
      <c r="E5" s="339"/>
      <c r="F5" s="339"/>
      <c r="G5" s="258"/>
      <c r="H5" s="258"/>
      <c r="I5" s="258"/>
    </row>
    <row r="6" spans="1:39" x14ac:dyDescent="0.25">
      <c r="A6" s="261" t="s">
        <v>90</v>
      </c>
      <c r="B6" s="96">
        <v>0</v>
      </c>
      <c r="C6" s="96">
        <f>AF36</f>
        <v>3.835340680112985E-3</v>
      </c>
      <c r="D6" s="96">
        <f>AF41</f>
        <v>1.1506022040338956E-2</v>
      </c>
      <c r="E6" s="96">
        <f>AF46</f>
        <v>2.6847384760790897E-2</v>
      </c>
      <c r="F6" s="96">
        <f>AF51</f>
        <v>5.7530110201694774E-2</v>
      </c>
      <c r="G6" s="220"/>
      <c r="H6" s="220"/>
      <c r="I6" s="220"/>
    </row>
    <row r="7" spans="1:39" ht="15.75" thickBot="1" x14ac:dyDescent="0.3">
      <c r="A7" s="261" t="s">
        <v>89</v>
      </c>
      <c r="B7" s="96">
        <v>0</v>
      </c>
      <c r="C7" s="96">
        <f>V36</f>
        <v>6.8016699582166889E-3</v>
      </c>
      <c r="D7" s="96">
        <f>V41</f>
        <v>2.0405009874650062E-2</v>
      </c>
      <c r="E7" s="96">
        <f>V46</f>
        <v>4.7611689707516815E-2</v>
      </c>
      <c r="F7" s="96">
        <f>V51</f>
        <v>0.1020250493732503</v>
      </c>
      <c r="G7" s="220"/>
      <c r="H7" s="220"/>
      <c r="I7" s="220"/>
    </row>
    <row r="8" spans="1:39" ht="17.25" customHeight="1" thickBot="1" x14ac:dyDescent="0.3">
      <c r="A8" s="261" t="s">
        <v>91</v>
      </c>
      <c r="B8" s="96">
        <v>0</v>
      </c>
      <c r="C8" s="96">
        <f>L36</f>
        <v>2.408221255749814E-2</v>
      </c>
      <c r="D8" s="96">
        <f>L41</f>
        <v>7.224663767249441E-2</v>
      </c>
      <c r="E8" s="96">
        <f>L46</f>
        <v>0.16857548790248697</v>
      </c>
      <c r="F8" s="96">
        <f>L51</f>
        <v>0.36123318836247204</v>
      </c>
      <c r="G8" s="220"/>
      <c r="H8" s="220"/>
      <c r="I8" s="220"/>
      <c r="K8" s="340" t="s">
        <v>93</v>
      </c>
      <c r="L8" s="339"/>
      <c r="M8" s="339"/>
      <c r="N8" s="339"/>
      <c r="O8" s="339"/>
      <c r="P8" s="339"/>
      <c r="Q8" s="339"/>
      <c r="R8" s="339"/>
      <c r="S8" s="341"/>
      <c r="U8" s="340" t="s">
        <v>94</v>
      </c>
      <c r="V8" s="339"/>
      <c r="W8" s="339"/>
      <c r="X8" s="339"/>
      <c r="Y8" s="339"/>
      <c r="Z8" s="339"/>
      <c r="AA8" s="339"/>
      <c r="AB8" s="339"/>
      <c r="AC8" s="341"/>
      <c r="AE8" s="340" t="s">
        <v>92</v>
      </c>
      <c r="AF8" s="339"/>
      <c r="AG8" s="339"/>
      <c r="AH8" s="339"/>
      <c r="AI8" s="339"/>
      <c r="AJ8" s="339"/>
      <c r="AK8" s="339"/>
      <c r="AL8" s="339"/>
      <c r="AM8" s="341"/>
    </row>
    <row r="9" spans="1:39" ht="15" customHeight="1" x14ac:dyDescent="0.25">
      <c r="A9" s="261" t="s">
        <v>92</v>
      </c>
      <c r="B9" s="96">
        <v>0</v>
      </c>
      <c r="C9" s="96">
        <f>AF13</f>
        <v>5.4340084500134028E-2</v>
      </c>
      <c r="D9" s="96">
        <f>AF18</f>
        <v>0.16302025350040208</v>
      </c>
      <c r="E9" s="96">
        <f>AF23</f>
        <v>0.38038059150093823</v>
      </c>
      <c r="F9" s="96">
        <f>AF28</f>
        <v>0.8151012675020104</v>
      </c>
      <c r="G9" s="220"/>
      <c r="H9" s="220"/>
      <c r="I9" s="220"/>
      <c r="K9" s="342" t="s">
        <v>243</v>
      </c>
      <c r="L9" s="343">
        <v>0</v>
      </c>
      <c r="M9" s="244" t="s">
        <v>86</v>
      </c>
      <c r="N9" s="245"/>
      <c r="O9" s="245"/>
      <c r="P9" s="245"/>
      <c r="Q9" s="245"/>
      <c r="R9" s="245"/>
      <c r="S9" s="246" t="s">
        <v>104</v>
      </c>
      <c r="U9" s="342" t="s">
        <v>243</v>
      </c>
      <c r="V9" s="343">
        <v>0</v>
      </c>
      <c r="W9" s="244" t="s">
        <v>86</v>
      </c>
      <c r="X9" s="245"/>
      <c r="Y9" s="245"/>
      <c r="Z9" s="245"/>
      <c r="AA9" s="245"/>
      <c r="AB9" s="245"/>
      <c r="AC9" s="246" t="s">
        <v>104</v>
      </c>
      <c r="AE9" s="342" t="s">
        <v>243</v>
      </c>
      <c r="AF9" s="343">
        <v>0</v>
      </c>
      <c r="AG9" s="244" t="s">
        <v>86</v>
      </c>
      <c r="AH9" s="245"/>
      <c r="AI9" s="245"/>
      <c r="AJ9" s="245"/>
      <c r="AK9" s="245"/>
      <c r="AL9" s="245"/>
      <c r="AM9" s="246" t="s">
        <v>104</v>
      </c>
    </row>
    <row r="10" spans="1:39" ht="30" customHeight="1" x14ac:dyDescent="0.25">
      <c r="A10" s="261" t="s">
        <v>94</v>
      </c>
      <c r="B10" s="96">
        <v>0</v>
      </c>
      <c r="C10" s="96">
        <f>V13</f>
        <v>0.15001721789575467</v>
      </c>
      <c r="D10" s="96">
        <f>V18</f>
        <v>0.45005165368726402</v>
      </c>
      <c r="E10" s="96">
        <f>V23</f>
        <v>1.0501205252702828</v>
      </c>
      <c r="F10" s="96">
        <f>V28</f>
        <v>2.2502582684363199</v>
      </c>
      <c r="G10" s="220"/>
      <c r="H10" s="220"/>
      <c r="I10" s="220"/>
      <c r="K10" s="247" t="s">
        <v>244</v>
      </c>
      <c r="L10" s="230">
        <v>1</v>
      </c>
      <c r="M10" s="230" t="s">
        <v>245</v>
      </c>
      <c r="N10" s="230"/>
      <c r="O10" s="230"/>
      <c r="P10" s="230"/>
      <c r="Q10" s="230"/>
      <c r="R10" s="230" t="s">
        <v>231</v>
      </c>
      <c r="S10" s="248" t="s">
        <v>233</v>
      </c>
      <c r="U10" s="247" t="s">
        <v>244</v>
      </c>
      <c r="V10" s="230">
        <v>1</v>
      </c>
      <c r="W10" s="230" t="s">
        <v>245</v>
      </c>
      <c r="X10" s="230"/>
      <c r="Y10" s="230"/>
      <c r="Z10" s="230"/>
      <c r="AA10" s="230"/>
      <c r="AB10" s="230" t="s">
        <v>231</v>
      </c>
      <c r="AC10" s="248" t="s">
        <v>233</v>
      </c>
      <c r="AE10" s="247" t="s">
        <v>244</v>
      </c>
      <c r="AF10" s="230">
        <v>1</v>
      </c>
      <c r="AG10" s="230" t="s">
        <v>245</v>
      </c>
      <c r="AH10" s="230"/>
      <c r="AI10" s="230"/>
      <c r="AJ10" s="230"/>
      <c r="AK10" s="230"/>
      <c r="AL10" s="230" t="s">
        <v>231</v>
      </c>
      <c r="AM10" s="248" t="s">
        <v>233</v>
      </c>
    </row>
    <row r="11" spans="1:39" ht="30" customHeight="1" thickBot="1" x14ac:dyDescent="0.3">
      <c r="A11" s="264" t="s">
        <v>93</v>
      </c>
      <c r="B11" s="265">
        <v>0</v>
      </c>
      <c r="C11" s="265">
        <f>L13</f>
        <v>0.39613921600597718</v>
      </c>
      <c r="D11" s="265">
        <f>L18</f>
        <v>1.1884176480179314</v>
      </c>
      <c r="E11" s="265">
        <f>L23</f>
        <v>2.7729745120418401</v>
      </c>
      <c r="F11" s="265">
        <f>L28</f>
        <v>5.9420882400896575</v>
      </c>
      <c r="G11" s="221"/>
      <c r="H11" s="221"/>
      <c r="I11" s="221"/>
      <c r="K11" s="249" t="s">
        <v>246</v>
      </c>
      <c r="L11" s="230">
        <v>0.1</v>
      </c>
      <c r="M11" s="230" t="s">
        <v>56</v>
      </c>
      <c r="N11" s="230"/>
      <c r="O11" s="230"/>
      <c r="P11" s="230"/>
      <c r="Q11" s="230" t="s">
        <v>90</v>
      </c>
      <c r="R11" s="230">
        <v>212</v>
      </c>
      <c r="S11" s="250">
        <f>'Distance&amp;Height&amp;Time with Tide'!C19</f>
        <v>2.6073303088437531E-2</v>
      </c>
      <c r="U11" s="249" t="s">
        <v>246</v>
      </c>
      <c r="V11" s="230">
        <v>0.1</v>
      </c>
      <c r="W11" s="230" t="s">
        <v>56</v>
      </c>
      <c r="X11" s="230"/>
      <c r="Y11" s="230"/>
      <c r="Z11" s="230"/>
      <c r="AA11" s="230" t="s">
        <v>90</v>
      </c>
      <c r="AB11" s="230">
        <v>212</v>
      </c>
      <c r="AC11" s="250">
        <f>'Distance&amp;Height&amp;Time with Tide'!C19</f>
        <v>2.6073303088437531E-2</v>
      </c>
      <c r="AE11" s="249" t="s">
        <v>246</v>
      </c>
      <c r="AF11" s="230">
        <v>0.1</v>
      </c>
      <c r="AG11" s="230" t="s">
        <v>56</v>
      </c>
      <c r="AH11" s="230"/>
      <c r="AI11" s="230"/>
      <c r="AJ11" s="230"/>
      <c r="AK11" s="230" t="s">
        <v>90</v>
      </c>
      <c r="AL11" s="230">
        <v>212</v>
      </c>
      <c r="AM11" s="250">
        <f>'Distance&amp;Height&amp;Time with Tide'!C19</f>
        <v>2.6073303088437531E-2</v>
      </c>
    </row>
    <row r="12" spans="1:39" ht="30" customHeight="1" thickBot="1" x14ac:dyDescent="0.3">
      <c r="A12"/>
      <c r="K12" s="249" t="s">
        <v>247</v>
      </c>
      <c r="L12" s="230">
        <f>L10/$S$16</f>
        <v>3961.3921600597714</v>
      </c>
      <c r="M12" s="230" t="s">
        <v>185</v>
      </c>
      <c r="N12" s="230"/>
      <c r="O12" s="230"/>
      <c r="P12" s="230"/>
      <c r="Q12" s="230" t="s">
        <v>89</v>
      </c>
      <c r="R12" s="230">
        <v>159</v>
      </c>
      <c r="S12" s="250">
        <f>'Distance&amp;Height&amp;Time with Tide'!C20</f>
        <v>1.47022717383098E-2</v>
      </c>
      <c r="U12" s="249" t="s">
        <v>247</v>
      </c>
      <c r="V12" s="230">
        <f>V10/$AC$15</f>
        <v>1500.1721789575467</v>
      </c>
      <c r="W12" s="230" t="s">
        <v>185</v>
      </c>
      <c r="X12" s="230"/>
      <c r="Y12" s="230"/>
      <c r="Z12" s="230"/>
      <c r="AA12" s="230" t="s">
        <v>89</v>
      </c>
      <c r="AB12" s="230">
        <v>159</v>
      </c>
      <c r="AC12" s="250">
        <f>'Distance&amp;Height&amp;Time with Tide'!C20</f>
        <v>1.47022717383098E-2</v>
      </c>
      <c r="AE12" s="249" t="s">
        <v>247</v>
      </c>
      <c r="AF12" s="230">
        <f>AF10/$AM$14</f>
        <v>543.40084500134026</v>
      </c>
      <c r="AG12" s="230" t="s">
        <v>185</v>
      </c>
      <c r="AH12" s="230"/>
      <c r="AI12" s="230"/>
      <c r="AJ12" s="230"/>
      <c r="AK12" s="230" t="s">
        <v>89</v>
      </c>
      <c r="AL12" s="230">
        <v>159</v>
      </c>
      <c r="AM12" s="250">
        <f>'Distance&amp;Height&amp;Time with Tide'!C20</f>
        <v>1.47022717383098E-2</v>
      </c>
    </row>
    <row r="13" spans="1:39" ht="30" customHeight="1" thickBot="1" x14ac:dyDescent="0.3">
      <c r="A13" s="272" t="s">
        <v>231</v>
      </c>
      <c r="B13" s="274" t="s">
        <v>252</v>
      </c>
      <c r="C13" s="275"/>
      <c r="D13" s="268" t="s">
        <v>254</v>
      </c>
      <c r="E13" s="268" t="s">
        <v>253</v>
      </c>
      <c r="F13" s="268" t="s">
        <v>255</v>
      </c>
      <c r="G13" s="268" t="s">
        <v>256</v>
      </c>
      <c r="H13" s="268" t="s">
        <v>257</v>
      </c>
      <c r="I13" s="268" t="s">
        <v>258</v>
      </c>
      <c r="K13" s="251" t="s">
        <v>248</v>
      </c>
      <c r="L13" s="241">
        <f>(L11*L12)/1000</f>
        <v>0.39613921600597718</v>
      </c>
      <c r="M13" s="241" t="s">
        <v>219</v>
      </c>
      <c r="N13" s="230"/>
      <c r="O13" s="230"/>
      <c r="P13" s="230"/>
      <c r="Q13" s="230" t="s">
        <v>91</v>
      </c>
      <c r="R13" s="230">
        <v>84.5</v>
      </c>
      <c r="S13" s="250">
        <f>'Distance&amp;Height&amp;Time with Tide'!C21</f>
        <v>4.1524423788404947E-3</v>
      </c>
      <c r="U13" s="251" t="s">
        <v>248</v>
      </c>
      <c r="V13" s="241">
        <f>(V11*V12)/1000</f>
        <v>0.15001721789575467</v>
      </c>
      <c r="W13" s="241" t="s">
        <v>219</v>
      </c>
      <c r="X13" s="230"/>
      <c r="Y13" s="230"/>
      <c r="Z13" s="230"/>
      <c r="AA13" s="230" t="s">
        <v>91</v>
      </c>
      <c r="AB13" s="230">
        <v>84.5</v>
      </c>
      <c r="AC13" s="250">
        <f>'Distance&amp;Height&amp;Time with Tide'!C21</f>
        <v>4.1524423788404947E-3</v>
      </c>
      <c r="AE13" s="251" t="s">
        <v>248</v>
      </c>
      <c r="AF13" s="241">
        <f>(AF11*AF12)/1000</f>
        <v>5.4340084500134028E-2</v>
      </c>
      <c r="AG13" s="241" t="s">
        <v>219</v>
      </c>
      <c r="AH13" s="230"/>
      <c r="AI13" s="230"/>
      <c r="AJ13" s="230"/>
      <c r="AK13" s="230" t="s">
        <v>91</v>
      </c>
      <c r="AL13" s="230">
        <v>84.5</v>
      </c>
      <c r="AM13" s="250">
        <f>'Distance&amp;Height&amp;Time with Tide'!C21</f>
        <v>4.1524423788404947E-3</v>
      </c>
    </row>
    <row r="14" spans="1:39" ht="30" customHeight="1" x14ac:dyDescent="0.25">
      <c r="A14" s="15" t="s">
        <v>90</v>
      </c>
      <c r="B14" s="271">
        <v>0.69460018114713784</v>
      </c>
      <c r="C14" s="217"/>
      <c r="D14" s="218">
        <f>500-(SUM($B14)*500)</f>
        <v>152.69990942643108</v>
      </c>
      <c r="E14" s="218">
        <v>0.05</v>
      </c>
      <c r="F14" s="218">
        <f>100-(SUM($B14)*100)</f>
        <v>30.53998188528621</v>
      </c>
      <c r="G14" s="218">
        <f>50-(SUM($B14)*50)</f>
        <v>15.269990942643105</v>
      </c>
      <c r="H14" s="218">
        <f>200-(SUM($B14)*200)</f>
        <v>61.079963770572419</v>
      </c>
      <c r="I14" s="218">
        <f>20-(SUM($B14)*20)</f>
        <v>6.1079963770572441</v>
      </c>
      <c r="K14" s="130"/>
      <c r="L14" s="252"/>
      <c r="M14" s="252"/>
      <c r="N14" s="230"/>
      <c r="O14" s="230"/>
      <c r="P14" s="230"/>
      <c r="Q14" s="230" t="s">
        <v>92</v>
      </c>
      <c r="R14" s="230">
        <v>54</v>
      </c>
      <c r="S14" s="250">
        <f>'Distance&amp;Height&amp;Time with Tide'!C22</f>
        <v>1.8402621365035483E-3</v>
      </c>
      <c r="U14" s="130"/>
      <c r="V14" s="252"/>
      <c r="W14" s="252"/>
      <c r="X14" s="230"/>
      <c r="Y14" s="230"/>
      <c r="Z14" s="230"/>
      <c r="AA14" s="230" t="s">
        <v>92</v>
      </c>
      <c r="AB14" s="230">
        <v>54</v>
      </c>
      <c r="AC14" s="250">
        <f>'Distance&amp;Height&amp;Time with Tide'!C22</f>
        <v>1.8402621365035483E-3</v>
      </c>
      <c r="AE14" s="130"/>
      <c r="AF14" s="252"/>
      <c r="AG14" s="252"/>
      <c r="AH14" s="230"/>
      <c r="AI14" s="230"/>
      <c r="AJ14" s="230"/>
      <c r="AK14" s="241" t="s">
        <v>92</v>
      </c>
      <c r="AL14" s="241">
        <v>54</v>
      </c>
      <c r="AM14" s="253">
        <f>'Distance&amp;Height&amp;Time with Tide'!C22</f>
        <v>1.8402621365035483E-3</v>
      </c>
    </row>
    <row r="15" spans="1:39" ht="30" customHeight="1" x14ac:dyDescent="0.25">
      <c r="A15" s="15" t="s">
        <v>89</v>
      </c>
      <c r="B15" s="271">
        <v>0.154016977763407</v>
      </c>
      <c r="C15" s="217"/>
      <c r="D15" s="218">
        <f>500-(SUM($B14:$B15)*500)</f>
        <v>75.691420544727578</v>
      </c>
      <c r="E15" s="218">
        <v>0.1</v>
      </c>
      <c r="F15" s="218">
        <f>100-(SUM($B14:$B15)*100)</f>
        <v>15.138284108945513</v>
      </c>
      <c r="G15" s="218">
        <f>50-(SUM($B14:$B15)*50)</f>
        <v>7.5691420544727563</v>
      </c>
      <c r="H15" s="218">
        <f>200-(SUM($B14:$B15)*200)</f>
        <v>30.276568217891025</v>
      </c>
      <c r="I15" s="218">
        <f>20-(SUM($B14:$B15)*20)</f>
        <v>3.0276568217891011</v>
      </c>
      <c r="K15" s="247" t="s">
        <v>244</v>
      </c>
      <c r="L15" s="230">
        <v>2</v>
      </c>
      <c r="M15" s="230" t="s">
        <v>245</v>
      </c>
      <c r="N15" s="230"/>
      <c r="O15" s="230"/>
      <c r="P15" s="230"/>
      <c r="Q15" s="230" t="s">
        <v>94</v>
      </c>
      <c r="R15" s="230">
        <v>32.5</v>
      </c>
      <c r="S15" s="250">
        <f>'Distance&amp;Height&amp;Time with Tide'!C23</f>
        <v>6.6659015146840618E-4</v>
      </c>
      <c r="U15" s="247" t="s">
        <v>244</v>
      </c>
      <c r="V15" s="230">
        <v>2</v>
      </c>
      <c r="W15" s="230" t="s">
        <v>245</v>
      </c>
      <c r="X15" s="230"/>
      <c r="Y15" s="230"/>
      <c r="Z15" s="230"/>
      <c r="AA15" s="241" t="s">
        <v>94</v>
      </c>
      <c r="AB15" s="241">
        <v>32.5</v>
      </c>
      <c r="AC15" s="253">
        <f>'Distance&amp;Height&amp;Time with Tide'!C23</f>
        <v>6.6659015146840618E-4</v>
      </c>
      <c r="AE15" s="247" t="s">
        <v>244</v>
      </c>
      <c r="AF15" s="230">
        <v>2</v>
      </c>
      <c r="AG15" s="230" t="s">
        <v>245</v>
      </c>
      <c r="AH15" s="230"/>
      <c r="AI15" s="230"/>
      <c r="AJ15" s="230"/>
      <c r="AK15" s="259" t="s">
        <v>94</v>
      </c>
      <c r="AL15" s="259">
        <v>32.5</v>
      </c>
      <c r="AM15" s="260">
        <f>'Distance&amp;Height&amp;Time with Tide'!C23</f>
        <v>6.6659015146840618E-4</v>
      </c>
    </row>
    <row r="16" spans="1:39" ht="30" customHeight="1" x14ac:dyDescent="0.25">
      <c r="A16" s="15" t="s">
        <v>91</v>
      </c>
      <c r="B16" s="271">
        <v>5.3692220234587279E-2</v>
      </c>
      <c r="C16" s="217"/>
      <c r="D16" s="218">
        <f>500-(SUM($B14:$B16)*500)</f>
        <v>48.845310427433901</v>
      </c>
      <c r="E16" s="218">
        <v>0.36</v>
      </c>
      <c r="F16" s="218">
        <f>100-(SUM($B14:$B16)*100)</f>
        <v>9.7690620854867802</v>
      </c>
      <c r="G16" s="218">
        <f>50-(SUM($B14:$B16)*50)</f>
        <v>4.8845310427433901</v>
      </c>
      <c r="H16" s="218">
        <f>200-(SUM($B14:$B16)*200)</f>
        <v>19.53812417097356</v>
      </c>
      <c r="I16" s="218">
        <f>20-(SUM($B14:$B16)*20)</f>
        <v>1.9538124170973568</v>
      </c>
      <c r="K16" s="249" t="s">
        <v>246</v>
      </c>
      <c r="L16" s="230">
        <v>0.15</v>
      </c>
      <c r="M16" s="230" t="s">
        <v>56</v>
      </c>
      <c r="N16" s="230"/>
      <c r="O16" s="230"/>
      <c r="P16" s="230"/>
      <c r="Q16" s="241" t="s">
        <v>93</v>
      </c>
      <c r="R16" s="241">
        <v>20</v>
      </c>
      <c r="S16" s="253">
        <f>'Distance&amp;Height&amp;Time with Tide'!C24</f>
        <v>2.5243650706495858E-4</v>
      </c>
      <c r="U16" s="249" t="s">
        <v>246</v>
      </c>
      <c r="V16" s="230">
        <v>0.15</v>
      </c>
      <c r="W16" s="230" t="s">
        <v>56</v>
      </c>
      <c r="X16" s="230"/>
      <c r="Y16" s="230"/>
      <c r="Z16" s="230"/>
      <c r="AA16" s="259" t="s">
        <v>93</v>
      </c>
      <c r="AB16" s="259">
        <v>20</v>
      </c>
      <c r="AC16" s="260">
        <f>'Distance&amp;Height&amp;Time with Tide'!C24</f>
        <v>2.5243650706495858E-4</v>
      </c>
      <c r="AE16" s="249" t="s">
        <v>246</v>
      </c>
      <c r="AF16" s="230">
        <v>0.15</v>
      </c>
      <c r="AG16" s="230" t="s">
        <v>56</v>
      </c>
      <c r="AH16" s="230"/>
      <c r="AI16" s="230"/>
      <c r="AJ16" s="230"/>
      <c r="AK16" s="259" t="s">
        <v>93</v>
      </c>
      <c r="AL16" s="259">
        <v>20</v>
      </c>
      <c r="AM16" s="260">
        <f>'Distance&amp;Height&amp;Time with Tide'!C24</f>
        <v>2.5243650706495858E-4</v>
      </c>
    </row>
    <row r="17" spans="1:39" ht="30" customHeight="1" x14ac:dyDescent="0.25">
      <c r="A17" s="15" t="s">
        <v>92</v>
      </c>
      <c r="B17" s="271">
        <v>2.9422154538326875E-2</v>
      </c>
      <c r="C17" s="217"/>
      <c r="D17" s="218">
        <f>500-(SUM($B14:$B17)*500)</f>
        <v>34.13423315827049</v>
      </c>
      <c r="E17" s="218">
        <v>0.8</v>
      </c>
      <c r="F17" s="218">
        <f>100-(SUM($B14:$B17)*100)</f>
        <v>6.8268466316540923</v>
      </c>
      <c r="G17" s="218">
        <f>50-(SUM($B14:$B17)*50)</f>
        <v>3.4134233158270462</v>
      </c>
      <c r="H17" s="218">
        <f>200-(SUM($B14:$B17)*200)</f>
        <v>13.653693263308185</v>
      </c>
      <c r="I17" s="218">
        <f>20-(SUM($B14:$B17)*20)</f>
        <v>1.3653693263308178</v>
      </c>
      <c r="K17" s="249" t="s">
        <v>247</v>
      </c>
      <c r="L17" s="230">
        <f>L15/$S$16</f>
        <v>7922.7843201195428</v>
      </c>
      <c r="M17" s="230" t="s">
        <v>185</v>
      </c>
      <c r="N17" s="230"/>
      <c r="O17" s="230"/>
      <c r="P17" s="230"/>
      <c r="Q17" s="230"/>
      <c r="R17" s="230"/>
      <c r="S17" s="248"/>
      <c r="U17" s="249" t="s">
        <v>247</v>
      </c>
      <c r="V17" s="230">
        <f>V15/$AC$15</f>
        <v>3000.3443579150935</v>
      </c>
      <c r="W17" s="230" t="s">
        <v>185</v>
      </c>
      <c r="X17" s="230"/>
      <c r="Y17" s="230"/>
      <c r="Z17" s="230"/>
      <c r="AA17" s="230"/>
      <c r="AB17" s="230"/>
      <c r="AC17" s="248"/>
      <c r="AE17" s="249" t="s">
        <v>247</v>
      </c>
      <c r="AF17" s="230">
        <f>AF15/$AM$14</f>
        <v>1086.8016900026805</v>
      </c>
      <c r="AG17" s="230" t="s">
        <v>185</v>
      </c>
      <c r="AH17" s="230"/>
      <c r="AI17" s="230"/>
      <c r="AJ17" s="230"/>
      <c r="AK17" s="230"/>
      <c r="AL17" s="230"/>
      <c r="AM17" s="248"/>
    </row>
    <row r="18" spans="1:39" ht="30" customHeight="1" x14ac:dyDescent="0.25">
      <c r="A18" s="15" t="s">
        <v>94</v>
      </c>
      <c r="B18" s="271">
        <v>6.1029200849062028E-2</v>
      </c>
      <c r="C18" s="217"/>
      <c r="D18" s="218">
        <f>500-(SUM($B14:$B18)*500)</f>
        <v>3.6196327337394223</v>
      </c>
      <c r="E18" s="218">
        <v>2.25</v>
      </c>
      <c r="F18" s="218">
        <f>100-(SUM($B14:$B18)*100)</f>
        <v>0.72392654674789014</v>
      </c>
      <c r="G18" s="218">
        <f>50-(SUM($B14:$B18)*50)</f>
        <v>0.36196327337394507</v>
      </c>
      <c r="H18" s="218">
        <f>200-(SUM($B14:$B18)*200)</f>
        <v>1.4478530934957803</v>
      </c>
      <c r="I18" s="218">
        <f>20-(SUM($B14:$B18)*20)</f>
        <v>0.14478530934957945</v>
      </c>
      <c r="K18" s="251" t="s">
        <v>248</v>
      </c>
      <c r="L18" s="241">
        <f>(L16*L17)/1000</f>
        <v>1.1884176480179314</v>
      </c>
      <c r="M18" s="241" t="s">
        <v>219</v>
      </c>
      <c r="N18" s="230"/>
      <c r="O18" s="230"/>
      <c r="P18" s="230"/>
      <c r="Q18" s="230"/>
      <c r="R18" s="230"/>
      <c r="S18" s="248"/>
      <c r="U18" s="251" t="s">
        <v>248</v>
      </c>
      <c r="V18" s="241">
        <f>(V16*V17)/1000</f>
        <v>0.45005165368726402</v>
      </c>
      <c r="W18" s="241" t="s">
        <v>219</v>
      </c>
      <c r="X18" s="230"/>
      <c r="Y18" s="230"/>
      <c r="Z18" s="230"/>
      <c r="AA18" s="230"/>
      <c r="AB18" s="230"/>
      <c r="AC18" s="248"/>
      <c r="AE18" s="251" t="s">
        <v>248</v>
      </c>
      <c r="AF18" s="241">
        <f>(AF16*AF17)/1000</f>
        <v>0.16302025350040208</v>
      </c>
      <c r="AG18" s="241" t="s">
        <v>219</v>
      </c>
      <c r="AH18" s="230"/>
      <c r="AI18" s="230"/>
      <c r="AJ18" s="230"/>
      <c r="AK18" s="230"/>
      <c r="AL18" s="230"/>
      <c r="AM18" s="248"/>
    </row>
    <row r="19" spans="1:39" ht="30" customHeight="1" thickBot="1" x14ac:dyDescent="0.3">
      <c r="A19" s="273" t="s">
        <v>93</v>
      </c>
      <c r="B19" s="266">
        <v>7.206770243887977E-3</v>
      </c>
      <c r="C19" s="217"/>
      <c r="D19" s="218">
        <f>500-(SUM($B14:$B19)*500)</f>
        <v>1.6247611795449757E-2</v>
      </c>
      <c r="E19" s="218">
        <v>5.94</v>
      </c>
      <c r="F19" s="218">
        <f>100-(SUM($B14:$B19)*100)</f>
        <v>3.2495223590984779E-3</v>
      </c>
      <c r="G19" s="218">
        <f>50-(SUM($B14:$B19)*50)</f>
        <v>1.6247611795492389E-3</v>
      </c>
      <c r="H19" s="218">
        <f>200-(SUM($B14:$B19)*200)</f>
        <v>6.4990447181969557E-3</v>
      </c>
      <c r="I19" s="218">
        <f>20-(SUM($B14:$B19)*20)</f>
        <v>6.4990447181756394E-4</v>
      </c>
      <c r="K19" s="130"/>
      <c r="L19" s="252"/>
      <c r="M19" s="252"/>
      <c r="N19" s="230"/>
      <c r="O19" s="230"/>
      <c r="P19" s="230"/>
      <c r="Q19" s="230"/>
      <c r="R19" s="230"/>
      <c r="S19" s="248"/>
      <c r="U19" s="130"/>
      <c r="V19" s="252"/>
      <c r="W19" s="252"/>
      <c r="X19" s="230"/>
      <c r="Y19" s="230"/>
      <c r="Z19" s="230"/>
      <c r="AA19" s="230"/>
      <c r="AB19" s="230"/>
      <c r="AC19" s="248"/>
      <c r="AE19" s="130"/>
      <c r="AF19" s="252"/>
      <c r="AG19" s="252"/>
      <c r="AH19" s="230"/>
      <c r="AI19" s="230"/>
      <c r="AJ19" s="230"/>
      <c r="AK19" s="230"/>
      <c r="AL19" s="230"/>
      <c r="AM19" s="248"/>
    </row>
    <row r="20" spans="1:39" ht="30" customHeight="1" x14ac:dyDescent="0.25">
      <c r="A20" s="216"/>
      <c r="B20" s="271">
        <f>SUM(B14:B19)</f>
        <v>0.99996750477640906</v>
      </c>
      <c r="C20" s="217"/>
      <c r="D20" s="217"/>
      <c r="E20" s="217"/>
      <c r="F20" s="217"/>
      <c r="G20" s="217"/>
      <c r="H20" s="217"/>
      <c r="I20" s="217"/>
      <c r="K20" s="247" t="s">
        <v>244</v>
      </c>
      <c r="L20" s="230">
        <v>3.5</v>
      </c>
      <c r="M20" s="230" t="s">
        <v>245</v>
      </c>
      <c r="N20" s="230"/>
      <c r="O20" s="230"/>
      <c r="P20" s="230"/>
      <c r="Q20" s="230"/>
      <c r="R20" s="230"/>
      <c r="S20" s="248"/>
      <c r="U20" s="247" t="s">
        <v>244</v>
      </c>
      <c r="V20" s="230">
        <v>3.5</v>
      </c>
      <c r="W20" s="230" t="s">
        <v>245</v>
      </c>
      <c r="X20" s="230"/>
      <c r="Y20" s="230"/>
      <c r="Z20" s="230"/>
      <c r="AA20" s="230"/>
      <c r="AB20" s="230"/>
      <c r="AC20" s="248"/>
      <c r="AE20" s="247" t="s">
        <v>244</v>
      </c>
      <c r="AF20" s="230">
        <v>3.5</v>
      </c>
      <c r="AG20" s="230" t="s">
        <v>245</v>
      </c>
      <c r="AH20" s="230"/>
      <c r="AI20" s="230"/>
      <c r="AJ20" s="230"/>
      <c r="AK20" s="230"/>
      <c r="AL20" s="230"/>
      <c r="AM20" s="248"/>
    </row>
    <row r="21" spans="1:39" ht="30" customHeight="1" x14ac:dyDescent="0.25">
      <c r="A21" s="268"/>
      <c r="D21" s="267"/>
      <c r="E21" s="270"/>
      <c r="F21" s="267"/>
      <c r="G21" s="267"/>
      <c r="H21" s="270"/>
      <c r="I21" s="270"/>
      <c r="K21" s="249" t="s">
        <v>246</v>
      </c>
      <c r="L21" s="230">
        <v>0.2</v>
      </c>
      <c r="M21" s="230" t="s">
        <v>56</v>
      </c>
      <c r="N21" s="230"/>
      <c r="O21" s="230"/>
      <c r="P21" s="230"/>
      <c r="Q21" s="230"/>
      <c r="R21" s="230"/>
      <c r="S21" s="248"/>
      <c r="U21" s="249" t="s">
        <v>246</v>
      </c>
      <c r="V21" s="230">
        <v>0.2</v>
      </c>
      <c r="W21" s="230" t="s">
        <v>56</v>
      </c>
      <c r="X21" s="230"/>
      <c r="Y21" s="230"/>
      <c r="Z21" s="230"/>
      <c r="AA21" s="230"/>
      <c r="AB21" s="230"/>
      <c r="AC21" s="248"/>
      <c r="AE21" s="249" t="s">
        <v>246</v>
      </c>
      <c r="AF21" s="230">
        <v>0.2</v>
      </c>
      <c r="AG21" s="230" t="s">
        <v>56</v>
      </c>
      <c r="AH21" s="230"/>
      <c r="AI21" s="230"/>
      <c r="AJ21" s="230"/>
      <c r="AK21" s="230"/>
      <c r="AL21" s="230"/>
      <c r="AM21" s="248"/>
    </row>
    <row r="22" spans="1:39" ht="30" customHeight="1" x14ac:dyDescent="0.25">
      <c r="A22" s="268"/>
      <c r="D22" s="267"/>
      <c r="E22" s="270"/>
      <c r="F22" s="267"/>
      <c r="G22" s="267"/>
      <c r="H22" s="270"/>
      <c r="I22" s="270"/>
      <c r="K22" s="249" t="s">
        <v>247</v>
      </c>
      <c r="L22" s="230">
        <f>L20/$S$16</f>
        <v>13864.8725602092</v>
      </c>
      <c r="M22" s="230" t="s">
        <v>185</v>
      </c>
      <c r="N22" s="230"/>
      <c r="O22" s="230"/>
      <c r="P22" s="230"/>
      <c r="Q22" s="230"/>
      <c r="R22" s="230"/>
      <c r="S22" s="248"/>
      <c r="U22" s="249" t="s">
        <v>247</v>
      </c>
      <c r="V22" s="230">
        <f>V20/$AC$15</f>
        <v>5250.6026263514132</v>
      </c>
      <c r="W22" s="230" t="s">
        <v>185</v>
      </c>
      <c r="X22" s="230"/>
      <c r="Y22" s="230"/>
      <c r="Z22" s="230"/>
      <c r="AA22" s="230"/>
      <c r="AB22" s="230"/>
      <c r="AC22" s="248"/>
      <c r="AE22" s="249" t="s">
        <v>247</v>
      </c>
      <c r="AF22" s="230">
        <f>AF20/$AM$14</f>
        <v>1901.9029575046911</v>
      </c>
      <c r="AG22" s="230" t="s">
        <v>185</v>
      </c>
      <c r="AH22" s="230"/>
      <c r="AI22" s="230"/>
      <c r="AJ22" s="230"/>
      <c r="AK22" s="230"/>
      <c r="AL22" s="230"/>
      <c r="AM22" s="248"/>
    </row>
    <row r="23" spans="1:39" ht="30" customHeight="1" x14ac:dyDescent="0.25">
      <c r="A23" s="269"/>
      <c r="D23" s="267"/>
      <c r="E23" s="270"/>
      <c r="F23" s="267"/>
      <c r="G23" s="267"/>
      <c r="H23" s="270"/>
      <c r="I23" s="270"/>
      <c r="K23" s="251" t="s">
        <v>248</v>
      </c>
      <c r="L23" s="241">
        <f>(L21*L22)/1000</f>
        <v>2.7729745120418401</v>
      </c>
      <c r="M23" s="241" t="s">
        <v>219</v>
      </c>
      <c r="N23" s="230"/>
      <c r="O23" s="230"/>
      <c r="P23" s="230"/>
      <c r="Q23" s="230"/>
      <c r="R23" s="230"/>
      <c r="S23" s="248"/>
      <c r="U23" s="251" t="s">
        <v>248</v>
      </c>
      <c r="V23" s="241">
        <f>(V21*V22)/1000</f>
        <v>1.0501205252702828</v>
      </c>
      <c r="W23" s="241" t="s">
        <v>219</v>
      </c>
      <c r="X23" s="230"/>
      <c r="Y23" s="230"/>
      <c r="Z23" s="230"/>
      <c r="AA23" s="230"/>
      <c r="AB23" s="230"/>
      <c r="AC23" s="248"/>
      <c r="AE23" s="251" t="s">
        <v>248</v>
      </c>
      <c r="AF23" s="241">
        <f>(AF21*AF22)/1000</f>
        <v>0.38038059150093823</v>
      </c>
      <c r="AG23" s="241" t="s">
        <v>219</v>
      </c>
      <c r="AH23" s="230"/>
      <c r="AI23" s="230"/>
      <c r="AJ23" s="230"/>
      <c r="AK23" s="230"/>
      <c r="AL23" s="230"/>
      <c r="AM23" s="248"/>
    </row>
    <row r="24" spans="1:39" ht="30" customHeight="1" x14ac:dyDescent="0.25">
      <c r="K24" s="130"/>
      <c r="L24" s="252"/>
      <c r="M24" s="252"/>
      <c r="N24" s="230"/>
      <c r="O24" s="230"/>
      <c r="P24" s="230"/>
      <c r="Q24" s="230"/>
      <c r="R24" s="230"/>
      <c r="S24" s="248"/>
      <c r="U24" s="130"/>
      <c r="V24" s="252"/>
      <c r="W24" s="252"/>
      <c r="X24" s="230"/>
      <c r="Y24" s="230"/>
      <c r="Z24" s="230"/>
      <c r="AA24" s="230"/>
      <c r="AB24" s="230"/>
      <c r="AC24" s="248"/>
      <c r="AE24" s="130"/>
      <c r="AF24" s="252"/>
      <c r="AG24" s="252"/>
      <c r="AH24" s="230"/>
      <c r="AI24" s="230"/>
      <c r="AJ24" s="230"/>
      <c r="AK24" s="230"/>
      <c r="AL24" s="230"/>
      <c r="AM24" s="248"/>
    </row>
    <row r="25" spans="1:39" ht="30" customHeight="1" x14ac:dyDescent="0.25">
      <c r="K25" s="247" t="s">
        <v>244</v>
      </c>
      <c r="L25" s="230">
        <v>5</v>
      </c>
      <c r="M25" s="230" t="s">
        <v>245</v>
      </c>
      <c r="N25" s="230"/>
      <c r="O25" s="230"/>
      <c r="P25" s="230"/>
      <c r="Q25" s="230"/>
      <c r="R25" s="230"/>
      <c r="S25" s="248"/>
      <c r="U25" s="247" t="s">
        <v>244</v>
      </c>
      <c r="V25" s="230">
        <v>5</v>
      </c>
      <c r="W25" s="230" t="s">
        <v>245</v>
      </c>
      <c r="X25" s="230"/>
      <c r="Y25" s="230"/>
      <c r="Z25" s="230"/>
      <c r="AA25" s="230"/>
      <c r="AB25" s="230"/>
      <c r="AC25" s="248"/>
      <c r="AE25" s="247" t="s">
        <v>244</v>
      </c>
      <c r="AF25" s="230">
        <v>5</v>
      </c>
      <c r="AG25" s="230" t="s">
        <v>245</v>
      </c>
      <c r="AH25" s="230"/>
      <c r="AI25" s="230"/>
      <c r="AJ25" s="230"/>
      <c r="AK25" s="230"/>
      <c r="AL25" s="230"/>
      <c r="AM25" s="248"/>
    </row>
    <row r="26" spans="1:39" ht="30" customHeight="1" x14ac:dyDescent="0.25">
      <c r="K26" s="249" t="s">
        <v>246</v>
      </c>
      <c r="L26" s="230">
        <v>0.3</v>
      </c>
      <c r="M26" s="230" t="s">
        <v>56</v>
      </c>
      <c r="N26" s="230"/>
      <c r="O26" s="230"/>
      <c r="P26" s="230"/>
      <c r="Q26" s="230"/>
      <c r="R26" s="230"/>
      <c r="S26" s="248"/>
      <c r="U26" s="249" t="s">
        <v>246</v>
      </c>
      <c r="V26" s="230">
        <v>0.3</v>
      </c>
      <c r="W26" s="230" t="s">
        <v>56</v>
      </c>
      <c r="X26" s="230"/>
      <c r="Y26" s="230"/>
      <c r="Z26" s="230"/>
      <c r="AA26" s="230"/>
      <c r="AB26" s="230"/>
      <c r="AC26" s="248"/>
      <c r="AE26" s="249" t="s">
        <v>246</v>
      </c>
      <c r="AF26" s="230">
        <v>0.3</v>
      </c>
      <c r="AG26" s="230" t="s">
        <v>56</v>
      </c>
      <c r="AH26" s="230"/>
      <c r="AI26" s="230"/>
      <c r="AJ26" s="230"/>
      <c r="AK26" s="230"/>
      <c r="AL26" s="230"/>
      <c r="AM26" s="248"/>
    </row>
    <row r="27" spans="1:39" ht="30" customHeight="1" x14ac:dyDescent="0.25">
      <c r="K27" s="247" t="s">
        <v>247</v>
      </c>
      <c r="L27" s="230">
        <f>L25/$S$16</f>
        <v>19806.960800298857</v>
      </c>
      <c r="M27" s="259" t="s">
        <v>185</v>
      </c>
      <c r="N27" s="230"/>
      <c r="O27" s="230"/>
      <c r="P27" s="230"/>
      <c r="Q27" s="230"/>
      <c r="R27" s="230"/>
      <c r="S27" s="248"/>
      <c r="U27" s="247" t="s">
        <v>247</v>
      </c>
      <c r="V27" s="230">
        <f>V25/$AC$15</f>
        <v>7500.8608947877337</v>
      </c>
      <c r="W27" s="259" t="s">
        <v>185</v>
      </c>
      <c r="X27" s="230"/>
      <c r="Y27" s="230"/>
      <c r="Z27" s="230"/>
      <c r="AA27" s="230"/>
      <c r="AB27" s="230"/>
      <c r="AC27" s="248"/>
      <c r="AE27" s="247" t="s">
        <v>247</v>
      </c>
      <c r="AF27" s="230">
        <f>AF25/$AM$14</f>
        <v>2717.0042250067013</v>
      </c>
      <c r="AG27" s="259" t="s">
        <v>185</v>
      </c>
      <c r="AH27" s="230"/>
      <c r="AI27" s="230"/>
      <c r="AJ27" s="230"/>
      <c r="AK27" s="230"/>
      <c r="AL27" s="230"/>
      <c r="AM27" s="248"/>
    </row>
    <row r="28" spans="1:39" ht="30" customHeight="1" thickBot="1" x14ac:dyDescent="0.3">
      <c r="K28" s="254" t="s">
        <v>248</v>
      </c>
      <c r="L28" s="255">
        <f>(L26*L27)/1000</f>
        <v>5.9420882400896575</v>
      </c>
      <c r="M28" s="255" t="s">
        <v>219</v>
      </c>
      <c r="N28" s="256"/>
      <c r="O28" s="256"/>
      <c r="P28" s="256"/>
      <c r="Q28" s="256"/>
      <c r="R28" s="256"/>
      <c r="S28" s="257"/>
      <c r="U28" s="254" t="s">
        <v>248</v>
      </c>
      <c r="V28" s="255">
        <f>(V26*V27)/1000</f>
        <v>2.2502582684363199</v>
      </c>
      <c r="W28" s="255" t="s">
        <v>219</v>
      </c>
      <c r="X28" s="256"/>
      <c r="Y28" s="256"/>
      <c r="Z28" s="256"/>
      <c r="AA28" s="256"/>
      <c r="AB28" s="256"/>
      <c r="AC28" s="257"/>
      <c r="AE28" s="254" t="s">
        <v>248</v>
      </c>
      <c r="AF28" s="255">
        <f>(AF26*AF27)/1000</f>
        <v>0.8151012675020104</v>
      </c>
      <c r="AG28" s="255" t="s">
        <v>219</v>
      </c>
      <c r="AH28" s="256"/>
      <c r="AI28" s="256"/>
      <c r="AJ28" s="256"/>
      <c r="AK28" s="256"/>
      <c r="AL28" s="256"/>
      <c r="AM28" s="257"/>
    </row>
    <row r="30" spans="1:39" ht="15.75" thickBot="1" x14ac:dyDescent="0.3"/>
    <row r="31" spans="1:39" ht="15.75" thickBot="1" x14ac:dyDescent="0.3">
      <c r="K31" s="340" t="s">
        <v>91</v>
      </c>
      <c r="L31" s="339"/>
      <c r="M31" s="339"/>
      <c r="N31" s="339"/>
      <c r="O31" s="339"/>
      <c r="P31" s="339"/>
      <c r="Q31" s="339"/>
      <c r="R31" s="339"/>
      <c r="S31" s="341"/>
      <c r="U31" s="340" t="s">
        <v>89</v>
      </c>
      <c r="V31" s="339"/>
      <c r="W31" s="339"/>
      <c r="X31" s="339"/>
      <c r="Y31" s="339"/>
      <c r="Z31" s="339"/>
      <c r="AA31" s="339"/>
      <c r="AB31" s="339"/>
      <c r="AC31" s="341"/>
      <c r="AE31" s="340" t="s">
        <v>89</v>
      </c>
      <c r="AF31" s="339"/>
      <c r="AG31" s="339"/>
      <c r="AH31" s="339"/>
      <c r="AI31" s="339"/>
      <c r="AJ31" s="339"/>
      <c r="AK31" s="339"/>
      <c r="AL31" s="339"/>
      <c r="AM31" s="341"/>
    </row>
    <row r="32" spans="1:39" ht="30" x14ac:dyDescent="0.25">
      <c r="K32" s="342" t="s">
        <v>243</v>
      </c>
      <c r="L32" s="343">
        <v>0</v>
      </c>
      <c r="M32" s="244" t="s">
        <v>86</v>
      </c>
      <c r="N32" s="245"/>
      <c r="O32" s="245"/>
      <c r="P32" s="245"/>
      <c r="Q32" s="245"/>
      <c r="R32" s="245"/>
      <c r="S32" s="246" t="s">
        <v>104</v>
      </c>
      <c r="U32" s="342" t="s">
        <v>243</v>
      </c>
      <c r="V32" s="343">
        <v>0</v>
      </c>
      <c r="W32" s="244" t="s">
        <v>86</v>
      </c>
      <c r="X32" s="245"/>
      <c r="Y32" s="245"/>
      <c r="Z32" s="245"/>
      <c r="AA32" s="245"/>
      <c r="AB32" s="245"/>
      <c r="AC32" s="246" t="s">
        <v>104</v>
      </c>
      <c r="AE32" s="342" t="s">
        <v>243</v>
      </c>
      <c r="AF32" s="343">
        <v>0</v>
      </c>
      <c r="AG32" s="244" t="s">
        <v>86</v>
      </c>
      <c r="AH32" s="245"/>
      <c r="AI32" s="245"/>
      <c r="AJ32" s="245"/>
      <c r="AK32" s="245"/>
      <c r="AL32" s="245"/>
      <c r="AM32" s="246" t="s">
        <v>104</v>
      </c>
    </row>
    <row r="33" spans="11:39" ht="45" x14ac:dyDescent="0.25">
      <c r="K33" s="247" t="s">
        <v>244</v>
      </c>
      <c r="L33" s="230">
        <v>1</v>
      </c>
      <c r="M33" s="230" t="s">
        <v>245</v>
      </c>
      <c r="N33" s="230"/>
      <c r="O33" s="230"/>
      <c r="P33" s="230"/>
      <c r="Q33" s="230"/>
      <c r="R33" s="230" t="s">
        <v>231</v>
      </c>
      <c r="S33" s="248" t="s">
        <v>233</v>
      </c>
      <c r="U33" s="247" t="s">
        <v>244</v>
      </c>
      <c r="V33" s="230">
        <v>1</v>
      </c>
      <c r="W33" s="230" t="s">
        <v>245</v>
      </c>
      <c r="X33" s="230"/>
      <c r="Y33" s="230"/>
      <c r="Z33" s="230"/>
      <c r="AA33" s="230"/>
      <c r="AB33" s="230" t="s">
        <v>231</v>
      </c>
      <c r="AC33" s="248" t="s">
        <v>233</v>
      </c>
      <c r="AE33" s="247" t="s">
        <v>244</v>
      </c>
      <c r="AF33" s="230">
        <v>1</v>
      </c>
      <c r="AG33" s="230" t="s">
        <v>245</v>
      </c>
      <c r="AH33" s="230"/>
      <c r="AI33" s="230"/>
      <c r="AJ33" s="230"/>
      <c r="AK33" s="230"/>
      <c r="AL33" s="230" t="s">
        <v>231</v>
      </c>
      <c r="AM33" s="248" t="s">
        <v>233</v>
      </c>
    </row>
    <row r="34" spans="11:39" ht="60" x14ac:dyDescent="0.25">
      <c r="K34" s="249" t="s">
        <v>246</v>
      </c>
      <c r="L34" s="230">
        <v>0.1</v>
      </c>
      <c r="M34" s="230" t="s">
        <v>56</v>
      </c>
      <c r="N34" s="230"/>
      <c r="O34" s="230"/>
      <c r="P34" s="230"/>
      <c r="Q34" s="230" t="s">
        <v>90</v>
      </c>
      <c r="R34" s="230">
        <v>212</v>
      </c>
      <c r="S34" s="250">
        <f>'Distance&amp;Height&amp;Time with Tide'!C19</f>
        <v>2.6073303088437531E-2</v>
      </c>
      <c r="U34" s="249" t="s">
        <v>246</v>
      </c>
      <c r="V34" s="230">
        <v>0.1</v>
      </c>
      <c r="W34" s="230" t="s">
        <v>56</v>
      </c>
      <c r="X34" s="230"/>
      <c r="Y34" s="230"/>
      <c r="Z34" s="230"/>
      <c r="AA34" s="230" t="s">
        <v>90</v>
      </c>
      <c r="AB34" s="230">
        <v>212</v>
      </c>
      <c r="AC34" s="250">
        <f>'Distance&amp;Height&amp;Time with Tide'!C19</f>
        <v>2.6073303088437531E-2</v>
      </c>
      <c r="AE34" s="249" t="s">
        <v>246</v>
      </c>
      <c r="AF34" s="230">
        <v>0.1</v>
      </c>
      <c r="AG34" s="230" t="s">
        <v>56</v>
      </c>
      <c r="AH34" s="230"/>
      <c r="AI34" s="230"/>
      <c r="AJ34" s="230"/>
      <c r="AK34" s="241" t="s">
        <v>90</v>
      </c>
      <c r="AL34" s="241">
        <v>212</v>
      </c>
      <c r="AM34" s="253">
        <f>'Distance&amp;Height&amp;Time with Tide'!C19</f>
        <v>2.6073303088437531E-2</v>
      </c>
    </row>
    <row r="35" spans="11:39" ht="30" x14ac:dyDescent="0.25">
      <c r="K35" s="249" t="s">
        <v>247</v>
      </c>
      <c r="L35" s="230">
        <f>L33/$S$36</f>
        <v>240.82212557498138</v>
      </c>
      <c r="M35" s="230" t="s">
        <v>185</v>
      </c>
      <c r="N35" s="230"/>
      <c r="O35" s="230"/>
      <c r="P35" s="230"/>
      <c r="Q35" s="230" t="s">
        <v>89</v>
      </c>
      <c r="R35" s="230">
        <v>159</v>
      </c>
      <c r="S35" s="250">
        <f>'Distance&amp;Height&amp;Time with Tide'!C20</f>
        <v>1.47022717383098E-2</v>
      </c>
      <c r="U35" s="249" t="s">
        <v>247</v>
      </c>
      <c r="V35" s="230">
        <f>V33/$AC$35</f>
        <v>68.016699582166879</v>
      </c>
      <c r="W35" s="230" t="s">
        <v>185</v>
      </c>
      <c r="X35" s="230"/>
      <c r="Y35" s="230"/>
      <c r="Z35" s="230"/>
      <c r="AA35" s="241" t="s">
        <v>89</v>
      </c>
      <c r="AB35" s="241">
        <v>159</v>
      </c>
      <c r="AC35" s="253">
        <f>'Distance&amp;Height&amp;Time with Tide'!C20</f>
        <v>1.47022717383098E-2</v>
      </c>
      <c r="AE35" s="249" t="s">
        <v>247</v>
      </c>
      <c r="AF35" s="230">
        <f>AF33/$AM$34</f>
        <v>38.35340680112985</v>
      </c>
      <c r="AG35" s="230" t="s">
        <v>185</v>
      </c>
      <c r="AH35" s="230"/>
      <c r="AI35" s="230"/>
      <c r="AJ35" s="230"/>
      <c r="AK35" s="259" t="s">
        <v>89</v>
      </c>
      <c r="AL35" s="259">
        <v>159</v>
      </c>
      <c r="AM35" s="260">
        <f>'Distance&amp;Height&amp;Time with Tide'!C20</f>
        <v>1.47022717383098E-2</v>
      </c>
    </row>
    <row r="36" spans="11:39" ht="45" x14ac:dyDescent="0.25">
      <c r="K36" s="251" t="s">
        <v>248</v>
      </c>
      <c r="L36" s="241">
        <f>(L34*L35)/1000</f>
        <v>2.408221255749814E-2</v>
      </c>
      <c r="M36" s="241" t="s">
        <v>219</v>
      </c>
      <c r="N36" s="230"/>
      <c r="O36" s="230"/>
      <c r="P36" s="230"/>
      <c r="Q36" s="241" t="s">
        <v>91</v>
      </c>
      <c r="R36" s="241">
        <v>84.5</v>
      </c>
      <c r="S36" s="253">
        <f>'Distance&amp;Height&amp;Time with Tide'!C21</f>
        <v>4.1524423788404947E-3</v>
      </c>
      <c r="U36" s="251" t="s">
        <v>248</v>
      </c>
      <c r="V36" s="241">
        <f>(V34*V35)/1000</f>
        <v>6.8016699582166889E-3</v>
      </c>
      <c r="W36" s="241" t="s">
        <v>219</v>
      </c>
      <c r="X36" s="230"/>
      <c r="Y36" s="230"/>
      <c r="Z36" s="230"/>
      <c r="AA36" s="259" t="s">
        <v>91</v>
      </c>
      <c r="AB36" s="259">
        <v>84.5</v>
      </c>
      <c r="AC36" s="260">
        <f>'Distance&amp;Height&amp;Time with Tide'!C21</f>
        <v>4.1524423788404947E-3</v>
      </c>
      <c r="AE36" s="251" t="s">
        <v>248</v>
      </c>
      <c r="AF36" s="241">
        <f>(AF34*AF35)/1000</f>
        <v>3.835340680112985E-3</v>
      </c>
      <c r="AG36" s="241" t="s">
        <v>219</v>
      </c>
      <c r="AH36" s="230"/>
      <c r="AI36" s="230"/>
      <c r="AJ36" s="230"/>
      <c r="AK36" s="259" t="s">
        <v>91</v>
      </c>
      <c r="AL36" s="259">
        <v>84.5</v>
      </c>
      <c r="AM36" s="260">
        <f>'Distance&amp;Height&amp;Time with Tide'!C21</f>
        <v>4.1524423788404947E-3</v>
      </c>
    </row>
    <row r="37" spans="11:39" ht="30" x14ac:dyDescent="0.25">
      <c r="K37" s="130"/>
      <c r="L37" s="252"/>
      <c r="M37" s="252"/>
      <c r="N37" s="230"/>
      <c r="O37" s="230"/>
      <c r="P37" s="230"/>
      <c r="Q37" s="259" t="s">
        <v>92</v>
      </c>
      <c r="R37" s="259">
        <v>54</v>
      </c>
      <c r="S37" s="260">
        <f>'Distance&amp;Height&amp;Time with Tide'!C22</f>
        <v>1.8402621365035483E-3</v>
      </c>
      <c r="U37" s="130"/>
      <c r="V37" s="252"/>
      <c r="W37" s="252"/>
      <c r="X37" s="230"/>
      <c r="Y37" s="230"/>
      <c r="Z37" s="230"/>
      <c r="AA37" s="259" t="s">
        <v>92</v>
      </c>
      <c r="AB37" s="259">
        <v>54</v>
      </c>
      <c r="AC37" s="260">
        <f>'Distance&amp;Height&amp;Time with Tide'!C22</f>
        <v>1.8402621365035483E-3</v>
      </c>
      <c r="AE37" s="130"/>
      <c r="AF37" s="252"/>
      <c r="AG37" s="252"/>
      <c r="AH37" s="230"/>
      <c r="AI37" s="230"/>
      <c r="AJ37" s="230"/>
      <c r="AK37" s="259" t="s">
        <v>92</v>
      </c>
      <c r="AL37" s="259">
        <v>54</v>
      </c>
      <c r="AM37" s="260">
        <f>'Distance&amp;Height&amp;Time with Tide'!C22</f>
        <v>1.8402621365035483E-3</v>
      </c>
    </row>
    <row r="38" spans="11:39" ht="45" x14ac:dyDescent="0.25">
      <c r="K38" s="247" t="s">
        <v>244</v>
      </c>
      <c r="L38" s="230">
        <v>2</v>
      </c>
      <c r="M38" s="230" t="s">
        <v>245</v>
      </c>
      <c r="N38" s="230"/>
      <c r="O38" s="230"/>
      <c r="P38" s="230"/>
      <c r="Q38" s="259" t="s">
        <v>94</v>
      </c>
      <c r="R38" s="259">
        <v>32.5</v>
      </c>
      <c r="S38" s="260">
        <f>'Distance&amp;Height&amp;Time with Tide'!C23</f>
        <v>6.6659015146840618E-4</v>
      </c>
      <c r="U38" s="247" t="s">
        <v>244</v>
      </c>
      <c r="V38" s="230">
        <v>2</v>
      </c>
      <c r="W38" s="230" t="s">
        <v>245</v>
      </c>
      <c r="X38" s="230"/>
      <c r="Y38" s="230"/>
      <c r="Z38" s="230"/>
      <c r="AA38" s="259" t="s">
        <v>94</v>
      </c>
      <c r="AB38" s="259">
        <v>32.5</v>
      </c>
      <c r="AC38" s="260">
        <f>'Distance&amp;Height&amp;Time with Tide'!C23</f>
        <v>6.6659015146840618E-4</v>
      </c>
      <c r="AE38" s="247" t="s">
        <v>244</v>
      </c>
      <c r="AF38" s="230">
        <v>2</v>
      </c>
      <c r="AG38" s="230" t="s">
        <v>245</v>
      </c>
      <c r="AH38" s="230"/>
      <c r="AI38" s="230"/>
      <c r="AJ38" s="230"/>
      <c r="AK38" s="259" t="s">
        <v>94</v>
      </c>
      <c r="AL38" s="259">
        <v>32.5</v>
      </c>
      <c r="AM38" s="260">
        <f>'Distance&amp;Height&amp;Time with Tide'!C23</f>
        <v>6.6659015146840618E-4</v>
      </c>
    </row>
    <row r="39" spans="11:39" ht="30" x14ac:dyDescent="0.25">
      <c r="K39" s="249" t="s">
        <v>246</v>
      </c>
      <c r="L39" s="230">
        <v>0.15</v>
      </c>
      <c r="M39" s="230" t="s">
        <v>56</v>
      </c>
      <c r="N39" s="230"/>
      <c r="O39" s="230"/>
      <c r="P39" s="230"/>
      <c r="Q39" s="259" t="s">
        <v>93</v>
      </c>
      <c r="R39" s="259">
        <v>20</v>
      </c>
      <c r="S39" s="260">
        <f>'Distance&amp;Height&amp;Time with Tide'!C24</f>
        <v>2.5243650706495858E-4</v>
      </c>
      <c r="U39" s="249" t="s">
        <v>246</v>
      </c>
      <c r="V39" s="230">
        <v>0.15</v>
      </c>
      <c r="W39" s="230" t="s">
        <v>56</v>
      </c>
      <c r="X39" s="230"/>
      <c r="Y39" s="230"/>
      <c r="Z39" s="230"/>
      <c r="AA39" s="259" t="s">
        <v>93</v>
      </c>
      <c r="AB39" s="259">
        <v>20</v>
      </c>
      <c r="AC39" s="260">
        <f>'Distance&amp;Height&amp;Time with Tide'!C24</f>
        <v>2.5243650706495858E-4</v>
      </c>
      <c r="AE39" s="249" t="s">
        <v>246</v>
      </c>
      <c r="AF39" s="230">
        <v>0.15</v>
      </c>
      <c r="AG39" s="230" t="s">
        <v>56</v>
      </c>
      <c r="AH39" s="230"/>
      <c r="AI39" s="230"/>
      <c r="AJ39" s="230"/>
      <c r="AK39" s="259" t="s">
        <v>93</v>
      </c>
      <c r="AL39" s="259">
        <v>20</v>
      </c>
      <c r="AM39" s="260">
        <f>'Distance&amp;Height&amp;Time with Tide'!C24</f>
        <v>2.5243650706495858E-4</v>
      </c>
    </row>
    <row r="40" spans="11:39" ht="30" x14ac:dyDescent="0.25">
      <c r="K40" s="249" t="s">
        <v>247</v>
      </c>
      <c r="L40" s="230">
        <f>L38/$S$36</f>
        <v>481.64425114996277</v>
      </c>
      <c r="M40" s="230" t="s">
        <v>185</v>
      </c>
      <c r="N40" s="230"/>
      <c r="O40" s="230"/>
      <c r="P40" s="230"/>
      <c r="Q40" s="230"/>
      <c r="R40" s="230"/>
      <c r="S40" s="248"/>
      <c r="U40" s="249" t="s">
        <v>247</v>
      </c>
      <c r="V40" s="230">
        <f>V38/$AC$35</f>
        <v>136.03339916433376</v>
      </c>
      <c r="W40" s="230" t="s">
        <v>185</v>
      </c>
      <c r="X40" s="230"/>
      <c r="Y40" s="230"/>
      <c r="Z40" s="230"/>
      <c r="AA40" s="230"/>
      <c r="AB40" s="230"/>
      <c r="AC40" s="248"/>
      <c r="AE40" s="249" t="s">
        <v>247</v>
      </c>
      <c r="AF40" s="230">
        <f>AF38/$AM$34</f>
        <v>76.7068136022597</v>
      </c>
      <c r="AG40" s="230" t="s">
        <v>185</v>
      </c>
      <c r="AH40" s="230"/>
      <c r="AI40" s="230"/>
      <c r="AJ40" s="230"/>
      <c r="AK40" s="230"/>
      <c r="AL40" s="230"/>
      <c r="AM40" s="248"/>
    </row>
    <row r="41" spans="11:39" ht="45" x14ac:dyDescent="0.25">
      <c r="K41" s="251" t="s">
        <v>248</v>
      </c>
      <c r="L41" s="241">
        <f>(L39*L40)/1000</f>
        <v>7.224663767249441E-2</v>
      </c>
      <c r="M41" s="241" t="s">
        <v>219</v>
      </c>
      <c r="N41" s="230"/>
      <c r="O41" s="230"/>
      <c r="P41" s="230"/>
      <c r="Q41" s="230"/>
      <c r="R41" s="230"/>
      <c r="S41" s="248"/>
      <c r="U41" s="251" t="s">
        <v>248</v>
      </c>
      <c r="V41" s="241">
        <f>(V39*V40)/1000</f>
        <v>2.0405009874650062E-2</v>
      </c>
      <c r="W41" s="241" t="s">
        <v>219</v>
      </c>
      <c r="X41" s="230"/>
      <c r="Y41" s="230"/>
      <c r="Z41" s="230"/>
      <c r="AA41" s="230"/>
      <c r="AB41" s="230"/>
      <c r="AC41" s="248"/>
      <c r="AE41" s="251" t="s">
        <v>248</v>
      </c>
      <c r="AF41" s="241">
        <f>(AF39*AF40)/1000</f>
        <v>1.1506022040338956E-2</v>
      </c>
      <c r="AG41" s="241" t="s">
        <v>219</v>
      </c>
      <c r="AH41" s="230"/>
      <c r="AI41" s="230"/>
      <c r="AJ41" s="230"/>
      <c r="AK41" s="230"/>
      <c r="AL41" s="230"/>
      <c r="AM41" s="248"/>
    </row>
    <row r="42" spans="11:39" x14ac:dyDescent="0.25">
      <c r="K42" s="130"/>
      <c r="L42" s="252"/>
      <c r="M42" s="252"/>
      <c r="N42" s="230"/>
      <c r="O42" s="230"/>
      <c r="P42" s="230"/>
      <c r="Q42" s="230"/>
      <c r="R42" s="230"/>
      <c r="S42" s="248"/>
      <c r="U42" s="130"/>
      <c r="V42" s="252"/>
      <c r="W42" s="252"/>
      <c r="X42" s="230"/>
      <c r="Y42" s="230"/>
      <c r="Z42" s="230"/>
      <c r="AA42" s="230"/>
      <c r="AB42" s="230"/>
      <c r="AC42" s="248"/>
      <c r="AE42" s="130"/>
      <c r="AF42" s="252"/>
      <c r="AG42" s="252"/>
      <c r="AH42" s="230"/>
      <c r="AI42" s="230"/>
      <c r="AJ42" s="230"/>
      <c r="AK42" s="230"/>
      <c r="AL42" s="230"/>
      <c r="AM42" s="248"/>
    </row>
    <row r="43" spans="11:39" ht="45" x14ac:dyDescent="0.25">
      <c r="K43" s="247" t="s">
        <v>244</v>
      </c>
      <c r="L43" s="230">
        <v>3.5</v>
      </c>
      <c r="M43" s="230" t="s">
        <v>245</v>
      </c>
      <c r="N43" s="230"/>
      <c r="O43" s="230"/>
      <c r="P43" s="230"/>
      <c r="Q43" s="230"/>
      <c r="R43" s="230"/>
      <c r="S43" s="248"/>
      <c r="U43" s="247" t="s">
        <v>244</v>
      </c>
      <c r="V43" s="230">
        <v>3.5</v>
      </c>
      <c r="W43" s="230" t="s">
        <v>245</v>
      </c>
      <c r="X43" s="230"/>
      <c r="Y43" s="230"/>
      <c r="Z43" s="230"/>
      <c r="AA43" s="230"/>
      <c r="AB43" s="230"/>
      <c r="AC43" s="248"/>
      <c r="AE43" s="247" t="s">
        <v>244</v>
      </c>
      <c r="AF43" s="230">
        <v>3.5</v>
      </c>
      <c r="AG43" s="230" t="s">
        <v>245</v>
      </c>
      <c r="AH43" s="230"/>
      <c r="AI43" s="230"/>
      <c r="AJ43" s="230"/>
      <c r="AK43" s="230"/>
      <c r="AL43" s="230"/>
      <c r="AM43" s="248"/>
    </row>
    <row r="44" spans="11:39" ht="30" x14ac:dyDescent="0.25">
      <c r="K44" s="249" t="s">
        <v>246</v>
      </c>
      <c r="L44" s="230">
        <v>0.2</v>
      </c>
      <c r="M44" s="230" t="s">
        <v>56</v>
      </c>
      <c r="N44" s="230"/>
      <c r="O44" s="230"/>
      <c r="P44" s="230"/>
      <c r="Q44" s="230"/>
      <c r="R44" s="230"/>
      <c r="S44" s="248"/>
      <c r="U44" s="249" t="s">
        <v>246</v>
      </c>
      <c r="V44" s="230">
        <v>0.2</v>
      </c>
      <c r="W44" s="230" t="s">
        <v>56</v>
      </c>
      <c r="X44" s="230"/>
      <c r="Y44" s="230"/>
      <c r="Z44" s="230"/>
      <c r="AA44" s="230"/>
      <c r="AB44" s="230"/>
      <c r="AC44" s="248"/>
      <c r="AE44" s="249" t="s">
        <v>246</v>
      </c>
      <c r="AF44" s="230">
        <v>0.2</v>
      </c>
      <c r="AG44" s="230" t="s">
        <v>56</v>
      </c>
      <c r="AH44" s="230"/>
      <c r="AI44" s="230"/>
      <c r="AJ44" s="230"/>
      <c r="AK44" s="230"/>
      <c r="AL44" s="230"/>
      <c r="AM44" s="248"/>
    </row>
    <row r="45" spans="11:39" ht="30" x14ac:dyDescent="0.25">
      <c r="K45" s="249" t="s">
        <v>247</v>
      </c>
      <c r="L45" s="230">
        <f>L43/$S$36</f>
        <v>842.87743951243476</v>
      </c>
      <c r="M45" s="230" t="s">
        <v>185</v>
      </c>
      <c r="N45" s="230"/>
      <c r="O45" s="230"/>
      <c r="P45" s="230"/>
      <c r="Q45" s="230"/>
      <c r="R45" s="230"/>
      <c r="S45" s="248"/>
      <c r="U45" s="249" t="s">
        <v>247</v>
      </c>
      <c r="V45" s="230">
        <f>V43/$AC$35</f>
        <v>238.05844853758407</v>
      </c>
      <c r="W45" s="230" t="s">
        <v>185</v>
      </c>
      <c r="X45" s="230"/>
      <c r="Y45" s="230"/>
      <c r="Z45" s="230"/>
      <c r="AA45" s="230"/>
      <c r="AB45" s="230"/>
      <c r="AC45" s="248"/>
      <c r="AE45" s="249" t="s">
        <v>247</v>
      </c>
      <c r="AF45" s="230">
        <f>AF43/$AM$34</f>
        <v>134.23692380395448</v>
      </c>
      <c r="AG45" s="230" t="s">
        <v>185</v>
      </c>
      <c r="AH45" s="230"/>
      <c r="AI45" s="230"/>
      <c r="AJ45" s="230"/>
      <c r="AK45" s="230"/>
      <c r="AL45" s="230"/>
      <c r="AM45" s="248"/>
    </row>
    <row r="46" spans="11:39" ht="45" x14ac:dyDescent="0.25">
      <c r="K46" s="251" t="s">
        <v>248</v>
      </c>
      <c r="L46" s="241">
        <f>(L44*L45)/1000</f>
        <v>0.16857548790248697</v>
      </c>
      <c r="M46" s="241" t="s">
        <v>219</v>
      </c>
      <c r="N46" s="230"/>
      <c r="O46" s="230"/>
      <c r="P46" s="230"/>
      <c r="Q46" s="230"/>
      <c r="R46" s="230"/>
      <c r="S46" s="248"/>
      <c r="U46" s="251" t="s">
        <v>248</v>
      </c>
      <c r="V46" s="241">
        <f>(V44*V45)/1000</f>
        <v>4.7611689707516815E-2</v>
      </c>
      <c r="W46" s="241" t="s">
        <v>219</v>
      </c>
      <c r="X46" s="230"/>
      <c r="Y46" s="230"/>
      <c r="Z46" s="230"/>
      <c r="AA46" s="230"/>
      <c r="AB46" s="230"/>
      <c r="AC46" s="248"/>
      <c r="AE46" s="251" t="s">
        <v>248</v>
      </c>
      <c r="AF46" s="241">
        <f>(AF44*AF45)/1000</f>
        <v>2.6847384760790897E-2</v>
      </c>
      <c r="AG46" s="241" t="s">
        <v>219</v>
      </c>
      <c r="AH46" s="230"/>
      <c r="AI46" s="230"/>
      <c r="AJ46" s="230"/>
      <c r="AK46" s="230"/>
      <c r="AL46" s="230"/>
      <c r="AM46" s="248"/>
    </row>
    <row r="47" spans="11:39" x14ac:dyDescent="0.25">
      <c r="K47" s="130"/>
      <c r="L47" s="252"/>
      <c r="M47" s="252"/>
      <c r="N47" s="230"/>
      <c r="O47" s="230"/>
      <c r="P47" s="230"/>
      <c r="Q47" s="230"/>
      <c r="R47" s="230"/>
      <c r="S47" s="248"/>
      <c r="U47" s="130"/>
      <c r="V47" s="252"/>
      <c r="W47" s="252"/>
      <c r="X47" s="230"/>
      <c r="Y47" s="230"/>
      <c r="Z47" s="230"/>
      <c r="AA47" s="230"/>
      <c r="AB47" s="230"/>
      <c r="AC47" s="248"/>
      <c r="AE47" s="130"/>
      <c r="AF47" s="252"/>
      <c r="AG47" s="252"/>
      <c r="AH47" s="230"/>
      <c r="AI47" s="230"/>
      <c r="AJ47" s="230"/>
      <c r="AK47" s="230"/>
      <c r="AL47" s="230"/>
      <c r="AM47" s="248"/>
    </row>
    <row r="48" spans="11:39" ht="45" x14ac:dyDescent="0.25">
      <c r="K48" s="247" t="s">
        <v>244</v>
      </c>
      <c r="L48" s="230">
        <v>5</v>
      </c>
      <c r="M48" s="230" t="s">
        <v>245</v>
      </c>
      <c r="N48" s="230"/>
      <c r="O48" s="230"/>
      <c r="P48" s="230"/>
      <c r="Q48" s="230"/>
      <c r="R48" s="230"/>
      <c r="S48" s="248"/>
      <c r="U48" s="247" t="s">
        <v>244</v>
      </c>
      <c r="V48" s="230">
        <v>5</v>
      </c>
      <c r="W48" s="230" t="s">
        <v>245</v>
      </c>
      <c r="X48" s="230"/>
      <c r="Y48" s="230"/>
      <c r="Z48" s="230"/>
      <c r="AA48" s="230"/>
      <c r="AB48" s="230"/>
      <c r="AC48" s="248"/>
      <c r="AE48" s="247" t="s">
        <v>244</v>
      </c>
      <c r="AF48" s="230">
        <v>5</v>
      </c>
      <c r="AG48" s="230" t="s">
        <v>245</v>
      </c>
      <c r="AH48" s="230"/>
      <c r="AI48" s="230"/>
      <c r="AJ48" s="230"/>
      <c r="AK48" s="230"/>
      <c r="AL48" s="230"/>
      <c r="AM48" s="248"/>
    </row>
    <row r="49" spans="11:39" ht="30" x14ac:dyDescent="0.25">
      <c r="K49" s="249" t="s">
        <v>246</v>
      </c>
      <c r="L49" s="230">
        <v>0.3</v>
      </c>
      <c r="M49" s="230" t="s">
        <v>56</v>
      </c>
      <c r="N49" s="230"/>
      <c r="O49" s="230"/>
      <c r="P49" s="230"/>
      <c r="Q49" s="230"/>
      <c r="R49" s="230"/>
      <c r="S49" s="248"/>
      <c r="U49" s="249" t="s">
        <v>246</v>
      </c>
      <c r="V49" s="230">
        <v>0.3</v>
      </c>
      <c r="W49" s="230" t="s">
        <v>56</v>
      </c>
      <c r="X49" s="230"/>
      <c r="Y49" s="230"/>
      <c r="Z49" s="230"/>
      <c r="AA49" s="230"/>
      <c r="AB49" s="230"/>
      <c r="AC49" s="248"/>
      <c r="AE49" s="249" t="s">
        <v>246</v>
      </c>
      <c r="AF49" s="230">
        <v>0.3</v>
      </c>
      <c r="AG49" s="230" t="s">
        <v>56</v>
      </c>
      <c r="AH49" s="230"/>
      <c r="AI49" s="230"/>
      <c r="AJ49" s="230"/>
      <c r="AK49" s="230"/>
      <c r="AL49" s="230"/>
      <c r="AM49" s="248"/>
    </row>
    <row r="50" spans="11:39" ht="30" x14ac:dyDescent="0.25">
      <c r="K50" s="247" t="s">
        <v>247</v>
      </c>
      <c r="L50" s="230">
        <f>L48/$S$36</f>
        <v>1204.1106278749069</v>
      </c>
      <c r="M50" s="259" t="s">
        <v>185</v>
      </c>
      <c r="N50" s="230"/>
      <c r="O50" s="230"/>
      <c r="P50" s="230"/>
      <c r="Q50" s="230"/>
      <c r="R50" s="230"/>
      <c r="S50" s="248"/>
      <c r="U50" s="247" t="s">
        <v>247</v>
      </c>
      <c r="V50" s="230">
        <f>V48/$AC$35</f>
        <v>340.08349791083435</v>
      </c>
      <c r="W50" s="259" t="s">
        <v>185</v>
      </c>
      <c r="X50" s="230"/>
      <c r="Y50" s="230"/>
      <c r="Z50" s="230"/>
      <c r="AA50" s="230"/>
      <c r="AB50" s="230"/>
      <c r="AC50" s="248"/>
      <c r="AE50" s="247" t="s">
        <v>247</v>
      </c>
      <c r="AF50" s="230">
        <f>AF48/$AM$34</f>
        <v>191.76703400564926</v>
      </c>
      <c r="AG50" s="259" t="s">
        <v>185</v>
      </c>
      <c r="AH50" s="230"/>
      <c r="AI50" s="230"/>
      <c r="AJ50" s="230"/>
      <c r="AK50" s="230"/>
      <c r="AL50" s="230"/>
      <c r="AM50" s="248"/>
    </row>
    <row r="51" spans="11:39" ht="45.75" thickBot="1" x14ac:dyDescent="0.3">
      <c r="K51" s="254" t="s">
        <v>248</v>
      </c>
      <c r="L51" s="255">
        <f>(L49*L50)/1000</f>
        <v>0.36123318836247204</v>
      </c>
      <c r="M51" s="255" t="s">
        <v>219</v>
      </c>
      <c r="N51" s="256"/>
      <c r="O51" s="256"/>
      <c r="P51" s="256"/>
      <c r="Q51" s="256"/>
      <c r="R51" s="256"/>
      <c r="S51" s="257"/>
      <c r="U51" s="254" t="s">
        <v>248</v>
      </c>
      <c r="V51" s="255">
        <f>(V49*V50)/1000</f>
        <v>0.1020250493732503</v>
      </c>
      <c r="W51" s="255" t="s">
        <v>219</v>
      </c>
      <c r="X51" s="256"/>
      <c r="Y51" s="256"/>
      <c r="Z51" s="256"/>
      <c r="AA51" s="256"/>
      <c r="AB51" s="256"/>
      <c r="AC51" s="257"/>
      <c r="AE51" s="254" t="s">
        <v>248</v>
      </c>
      <c r="AF51" s="255">
        <f>(AF49*AF50)/1000</f>
        <v>5.7530110201694774E-2</v>
      </c>
      <c r="AG51" s="255" t="s">
        <v>219</v>
      </c>
      <c r="AH51" s="256"/>
      <c r="AI51" s="256"/>
      <c r="AJ51" s="256"/>
      <c r="AK51" s="256"/>
      <c r="AL51" s="256"/>
      <c r="AM51" s="257"/>
    </row>
  </sheetData>
  <mergeCells count="13">
    <mergeCell ref="AE31:AM31"/>
    <mergeCell ref="AE32:AF32"/>
    <mergeCell ref="U8:AC8"/>
    <mergeCell ref="U9:V9"/>
    <mergeCell ref="AE8:AM8"/>
    <mergeCell ref="AE9:AF9"/>
    <mergeCell ref="B5:F5"/>
    <mergeCell ref="K31:S31"/>
    <mergeCell ref="K32:L32"/>
    <mergeCell ref="U31:AC31"/>
    <mergeCell ref="U32:V32"/>
    <mergeCell ref="K9:L9"/>
    <mergeCell ref="K8:S8"/>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zoomScale="70" zoomScaleNormal="70" workbookViewId="0">
      <selection activeCell="R42" sqref="R42"/>
    </sheetView>
  </sheetViews>
  <sheetFormatPr defaultRowHeight="15" x14ac:dyDescent="0.25"/>
  <cols>
    <col min="1" max="1" width="27.28515625" customWidth="1"/>
    <col min="2" max="2" width="24" customWidth="1"/>
    <col min="3" max="3" width="26.85546875" customWidth="1"/>
    <col min="4" max="4" width="18.28515625" customWidth="1"/>
    <col min="7" max="9" width="8.85546875" customWidth="1"/>
    <col min="18" max="18" width="23.85546875" customWidth="1"/>
  </cols>
  <sheetData>
    <row r="1" spans="1:33" ht="31.5" x14ac:dyDescent="0.5">
      <c r="A1" s="13" t="s">
        <v>40</v>
      </c>
    </row>
    <row r="2" spans="1:33" ht="46.15" customHeight="1" x14ac:dyDescent="0.25">
      <c r="A2" s="11" t="s">
        <v>1</v>
      </c>
      <c r="B2" s="11" t="s">
        <v>6</v>
      </c>
      <c r="C2" s="11" t="s">
        <v>8</v>
      </c>
      <c r="D2" s="12" t="s">
        <v>12</v>
      </c>
      <c r="K2" s="344" t="s">
        <v>41</v>
      </c>
      <c r="L2" s="345"/>
      <c r="M2" s="345"/>
      <c r="N2" s="345"/>
      <c r="O2" s="345"/>
      <c r="P2" s="345"/>
      <c r="Q2" s="345"/>
      <c r="R2" s="345"/>
      <c r="S2" s="346"/>
    </row>
    <row r="3" spans="1:33" ht="55.9" customHeight="1" x14ac:dyDescent="0.25">
      <c r="A3" s="1" t="s">
        <v>2</v>
      </c>
      <c r="B3" s="1" t="s">
        <v>7</v>
      </c>
      <c r="C3" s="1" t="s">
        <v>11</v>
      </c>
      <c r="D3" s="14" t="s">
        <v>42</v>
      </c>
      <c r="E3" s="1"/>
      <c r="K3" s="347"/>
      <c r="L3" s="348"/>
      <c r="M3" s="348"/>
      <c r="N3" s="348"/>
      <c r="O3" s="348"/>
      <c r="P3" s="348"/>
      <c r="Q3" s="348"/>
      <c r="R3" s="348"/>
      <c r="S3" s="349"/>
    </row>
    <row r="4" spans="1:33" x14ac:dyDescent="0.25">
      <c r="A4" s="1" t="s">
        <v>3</v>
      </c>
      <c r="B4" s="1" t="s">
        <v>4</v>
      </c>
      <c r="C4" s="1" t="s">
        <v>7</v>
      </c>
      <c r="D4" s="14" t="s">
        <v>43</v>
      </c>
      <c r="E4" s="1"/>
      <c r="K4" s="347"/>
      <c r="L4" s="348"/>
      <c r="M4" s="348"/>
      <c r="N4" s="348"/>
      <c r="O4" s="348"/>
      <c r="P4" s="348"/>
      <c r="Q4" s="348"/>
      <c r="R4" s="348"/>
      <c r="S4" s="349"/>
    </row>
    <row r="5" spans="1:33" ht="30.6" customHeight="1" x14ac:dyDescent="0.25">
      <c r="A5" s="1" t="s">
        <v>24</v>
      </c>
      <c r="B5" s="1" t="s">
        <v>9</v>
      </c>
      <c r="C5" s="1" t="s">
        <v>10</v>
      </c>
      <c r="D5" s="14" t="s">
        <v>44</v>
      </c>
      <c r="E5" s="1"/>
      <c r="K5" s="350"/>
      <c r="L5" s="351"/>
      <c r="M5" s="351"/>
      <c r="N5" s="351"/>
      <c r="O5" s="351"/>
      <c r="P5" s="351"/>
      <c r="Q5" s="351"/>
      <c r="R5" s="351"/>
      <c r="S5" s="352"/>
    </row>
    <row r="6" spans="1:33" x14ac:dyDescent="0.25">
      <c r="A6" s="1" t="s">
        <v>0</v>
      </c>
      <c r="B6" s="1" t="s">
        <v>5</v>
      </c>
      <c r="C6" s="1"/>
      <c r="D6" s="14">
        <v>40</v>
      </c>
      <c r="E6" s="1"/>
    </row>
    <row r="7" spans="1:33" x14ac:dyDescent="0.25">
      <c r="B7" s="1"/>
      <c r="C7" s="1"/>
      <c r="D7" s="1"/>
      <c r="E7" s="1"/>
    </row>
    <row r="8" spans="1:33" x14ac:dyDescent="0.25">
      <c r="A8" s="353" t="s">
        <v>32</v>
      </c>
      <c r="B8" s="353"/>
      <c r="C8" s="353"/>
      <c r="D8" s="353"/>
      <c r="E8" s="353"/>
      <c r="F8" s="353"/>
      <c r="G8" s="353"/>
      <c r="H8" s="353"/>
      <c r="I8" s="353"/>
      <c r="J8" s="353"/>
      <c r="K8" s="353"/>
      <c r="L8" s="353"/>
      <c r="M8" s="353"/>
      <c r="N8" s="353"/>
      <c r="O8" s="353"/>
      <c r="P8" s="353"/>
      <c r="R8" s="353" t="s">
        <v>31</v>
      </c>
      <c r="S8" s="353"/>
      <c r="T8" s="353"/>
      <c r="U8" s="353"/>
      <c r="V8" s="353"/>
      <c r="W8" s="353"/>
      <c r="X8" s="353"/>
      <c r="Y8" s="353"/>
      <c r="Z8" s="353"/>
      <c r="AA8" s="353"/>
      <c r="AB8" s="353"/>
      <c r="AC8" s="353"/>
      <c r="AD8" s="353"/>
      <c r="AE8" s="353"/>
      <c r="AF8" s="353"/>
      <c r="AG8" s="353"/>
    </row>
    <row r="9" spans="1:33" x14ac:dyDescent="0.25">
      <c r="A9" t="s">
        <v>13</v>
      </c>
      <c r="B9">
        <v>2007</v>
      </c>
      <c r="C9">
        <v>2007</v>
      </c>
      <c r="D9">
        <v>2007</v>
      </c>
      <c r="E9">
        <v>2008</v>
      </c>
      <c r="F9">
        <v>2008</v>
      </c>
      <c r="G9">
        <v>2008</v>
      </c>
      <c r="H9">
        <v>2009</v>
      </c>
      <c r="I9">
        <v>2009</v>
      </c>
      <c r="J9">
        <v>2009</v>
      </c>
      <c r="K9">
        <v>2010</v>
      </c>
      <c r="L9">
        <v>2010</v>
      </c>
      <c r="M9">
        <v>2010</v>
      </c>
      <c r="N9">
        <v>2011</v>
      </c>
      <c r="O9">
        <v>2011</v>
      </c>
      <c r="P9">
        <v>2011</v>
      </c>
      <c r="R9" t="s">
        <v>13</v>
      </c>
      <c r="S9">
        <v>2007</v>
      </c>
      <c r="T9">
        <v>2007</v>
      </c>
      <c r="U9">
        <v>2007</v>
      </c>
      <c r="V9">
        <v>2008</v>
      </c>
      <c r="W9">
        <v>2008</v>
      </c>
      <c r="X9">
        <v>2008</v>
      </c>
      <c r="Y9">
        <v>2009</v>
      </c>
      <c r="Z9">
        <v>2009</v>
      </c>
      <c r="AA9">
        <v>2009</v>
      </c>
      <c r="AB9">
        <v>2010</v>
      </c>
      <c r="AC9">
        <v>2010</v>
      </c>
      <c r="AD9">
        <v>2010</v>
      </c>
      <c r="AE9">
        <v>2011</v>
      </c>
      <c r="AF9">
        <v>2011</v>
      </c>
      <c r="AG9">
        <v>2011</v>
      </c>
    </row>
    <row r="10" spans="1:33" x14ac:dyDescent="0.25">
      <c r="A10" t="s">
        <v>14</v>
      </c>
      <c r="B10" t="s">
        <v>15</v>
      </c>
      <c r="C10" t="s">
        <v>19</v>
      </c>
      <c r="D10" t="s">
        <v>20</v>
      </c>
      <c r="E10" t="s">
        <v>15</v>
      </c>
      <c r="F10" t="s">
        <v>19</v>
      </c>
      <c r="G10" t="s">
        <v>20</v>
      </c>
      <c r="H10" t="s">
        <v>15</v>
      </c>
      <c r="I10" t="s">
        <v>19</v>
      </c>
      <c r="J10" t="s">
        <v>20</v>
      </c>
      <c r="K10" t="s">
        <v>15</v>
      </c>
      <c r="L10" t="s">
        <v>19</v>
      </c>
      <c r="M10" t="s">
        <v>20</v>
      </c>
      <c r="N10" t="s">
        <v>15</v>
      </c>
      <c r="O10" t="s">
        <v>19</v>
      </c>
      <c r="P10" t="s">
        <v>20</v>
      </c>
      <c r="R10" t="s">
        <v>14</v>
      </c>
      <c r="S10" t="s">
        <v>15</v>
      </c>
      <c r="T10" t="s">
        <v>19</v>
      </c>
      <c r="U10" t="s">
        <v>20</v>
      </c>
      <c r="V10" t="s">
        <v>15</v>
      </c>
      <c r="W10" t="s">
        <v>19</v>
      </c>
      <c r="X10" t="s">
        <v>20</v>
      </c>
      <c r="Y10" t="s">
        <v>15</v>
      </c>
      <c r="Z10" t="s">
        <v>19</v>
      </c>
      <c r="AA10" t="s">
        <v>20</v>
      </c>
      <c r="AB10" t="s">
        <v>15</v>
      </c>
      <c r="AC10" t="s">
        <v>19</v>
      </c>
      <c r="AD10" t="s">
        <v>20</v>
      </c>
      <c r="AE10" t="s">
        <v>15</v>
      </c>
      <c r="AF10" t="s">
        <v>19</v>
      </c>
      <c r="AG10" t="s">
        <v>20</v>
      </c>
    </row>
    <row r="11" spans="1:33" x14ac:dyDescent="0.25">
      <c r="A11" t="s">
        <v>16</v>
      </c>
      <c r="B11">
        <v>3</v>
      </c>
      <c r="C11">
        <v>2</v>
      </c>
      <c r="D11">
        <v>13</v>
      </c>
      <c r="E11">
        <v>7</v>
      </c>
      <c r="F11">
        <v>2</v>
      </c>
      <c r="G11">
        <v>15</v>
      </c>
      <c r="H11">
        <v>3</v>
      </c>
      <c r="I11">
        <v>1</v>
      </c>
      <c r="J11">
        <v>6</v>
      </c>
      <c r="K11">
        <v>8</v>
      </c>
      <c r="L11" s="2"/>
      <c r="M11">
        <v>11</v>
      </c>
      <c r="N11">
        <v>4</v>
      </c>
      <c r="O11" s="2"/>
      <c r="P11">
        <v>5</v>
      </c>
      <c r="R11" t="s">
        <v>16</v>
      </c>
      <c r="S11">
        <v>1</v>
      </c>
      <c r="T11" s="2"/>
      <c r="U11">
        <v>21</v>
      </c>
      <c r="V11">
        <v>3</v>
      </c>
      <c r="W11">
        <v>4</v>
      </c>
      <c r="X11">
        <v>45</v>
      </c>
      <c r="Y11" s="2"/>
      <c r="Z11" s="2"/>
      <c r="AA11">
        <v>2</v>
      </c>
      <c r="AB11" s="2"/>
      <c r="AC11" s="2"/>
      <c r="AD11">
        <v>3</v>
      </c>
      <c r="AE11" s="2"/>
      <c r="AF11" s="2"/>
      <c r="AG11">
        <v>1</v>
      </c>
    </row>
    <row r="12" spans="1:33" x14ac:dyDescent="0.25">
      <c r="A12" t="s">
        <v>17</v>
      </c>
      <c r="B12">
        <v>2</v>
      </c>
      <c r="C12">
        <v>2</v>
      </c>
      <c r="D12">
        <v>9</v>
      </c>
      <c r="E12">
        <v>1</v>
      </c>
      <c r="F12">
        <v>1</v>
      </c>
      <c r="G12">
        <v>9</v>
      </c>
      <c r="H12">
        <v>2</v>
      </c>
      <c r="I12">
        <v>1</v>
      </c>
      <c r="J12">
        <v>4</v>
      </c>
      <c r="K12">
        <v>1</v>
      </c>
      <c r="L12" s="2"/>
      <c r="M12">
        <v>7</v>
      </c>
      <c r="N12">
        <v>2</v>
      </c>
      <c r="O12" s="2"/>
      <c r="P12">
        <v>4</v>
      </c>
      <c r="R12" t="s">
        <v>17</v>
      </c>
      <c r="S12">
        <v>1</v>
      </c>
      <c r="T12" s="2"/>
      <c r="U12">
        <v>12</v>
      </c>
      <c r="V12">
        <v>3</v>
      </c>
      <c r="W12">
        <v>4</v>
      </c>
      <c r="X12">
        <v>25</v>
      </c>
      <c r="Y12" s="2"/>
      <c r="Z12" s="2"/>
      <c r="AA12">
        <v>2</v>
      </c>
      <c r="AB12" s="2"/>
      <c r="AC12" s="2"/>
      <c r="AD12">
        <v>2</v>
      </c>
      <c r="AE12" s="2"/>
      <c r="AF12" s="2"/>
      <c r="AG12">
        <v>1</v>
      </c>
    </row>
    <row r="13" spans="1:33" x14ac:dyDescent="0.25">
      <c r="A13" t="s">
        <v>18</v>
      </c>
      <c r="B13">
        <v>3</v>
      </c>
      <c r="C13">
        <v>2</v>
      </c>
      <c r="D13">
        <v>14</v>
      </c>
      <c r="E13">
        <v>12</v>
      </c>
      <c r="F13">
        <v>3</v>
      </c>
      <c r="G13">
        <v>20</v>
      </c>
      <c r="H13">
        <v>3</v>
      </c>
      <c r="I13">
        <v>2</v>
      </c>
      <c r="J13">
        <v>14</v>
      </c>
      <c r="K13">
        <v>10</v>
      </c>
      <c r="L13" s="2"/>
      <c r="M13">
        <v>13</v>
      </c>
      <c r="N13">
        <v>5</v>
      </c>
      <c r="O13" s="2"/>
      <c r="P13">
        <v>6</v>
      </c>
      <c r="R13" t="s">
        <v>18</v>
      </c>
      <c r="S13">
        <v>2</v>
      </c>
      <c r="T13" s="2"/>
      <c r="U13">
        <v>29</v>
      </c>
      <c r="V13">
        <v>4</v>
      </c>
      <c r="W13">
        <v>8</v>
      </c>
      <c r="X13">
        <v>64</v>
      </c>
      <c r="Y13" s="2"/>
      <c r="Z13" s="2"/>
      <c r="AA13">
        <v>3</v>
      </c>
      <c r="AB13" s="2"/>
      <c r="AC13" s="2"/>
      <c r="AD13">
        <v>4</v>
      </c>
      <c r="AE13" s="2"/>
      <c r="AF13" s="2"/>
      <c r="AG13">
        <v>1</v>
      </c>
    </row>
    <row r="14" spans="1:33" x14ac:dyDescent="0.25">
      <c r="A14" t="s">
        <v>22</v>
      </c>
      <c r="B14">
        <v>3</v>
      </c>
      <c r="C14">
        <v>4.2</v>
      </c>
      <c r="D14">
        <v>34.4</v>
      </c>
      <c r="E14">
        <v>31.9</v>
      </c>
      <c r="F14">
        <v>3.1</v>
      </c>
      <c r="G14">
        <v>48.4</v>
      </c>
      <c r="H14">
        <v>2.1</v>
      </c>
      <c r="I14">
        <v>6.1</v>
      </c>
      <c r="J14">
        <v>16.7</v>
      </c>
      <c r="K14">
        <v>29.4</v>
      </c>
      <c r="L14" s="2"/>
      <c r="M14">
        <v>25.5</v>
      </c>
      <c r="N14">
        <v>15.3</v>
      </c>
      <c r="O14" s="2"/>
      <c r="P14">
        <v>15.8</v>
      </c>
      <c r="R14" t="s">
        <v>22</v>
      </c>
      <c r="S14">
        <v>3.6</v>
      </c>
      <c r="T14" s="2"/>
      <c r="U14">
        <v>46.1</v>
      </c>
      <c r="V14">
        <v>9.4</v>
      </c>
      <c r="W14">
        <v>10.4</v>
      </c>
      <c r="X14">
        <v>201.3</v>
      </c>
      <c r="Y14" s="2"/>
      <c r="Z14" s="2"/>
      <c r="AA14">
        <v>4.7</v>
      </c>
      <c r="AB14" s="2"/>
      <c r="AC14" s="2"/>
      <c r="AD14">
        <v>11.8</v>
      </c>
      <c r="AE14" s="2"/>
      <c r="AF14" s="2"/>
      <c r="AG14">
        <v>2.8</v>
      </c>
    </row>
    <row r="15" spans="1:33" x14ac:dyDescent="0.25">
      <c r="A15" t="s">
        <v>21</v>
      </c>
      <c r="B15">
        <v>3</v>
      </c>
      <c r="C15">
        <v>2</v>
      </c>
      <c r="D15">
        <v>12</v>
      </c>
      <c r="E15">
        <v>9</v>
      </c>
      <c r="F15">
        <v>2</v>
      </c>
      <c r="G15">
        <v>16</v>
      </c>
      <c r="H15">
        <v>3</v>
      </c>
      <c r="I15">
        <v>2</v>
      </c>
      <c r="J15">
        <v>8</v>
      </c>
      <c r="K15">
        <v>9</v>
      </c>
      <c r="L15" s="2"/>
      <c r="M15">
        <v>11</v>
      </c>
      <c r="N15">
        <v>4</v>
      </c>
      <c r="O15" s="2"/>
      <c r="P15">
        <v>5</v>
      </c>
      <c r="R15" t="s">
        <v>21</v>
      </c>
      <c r="S15">
        <v>1</v>
      </c>
      <c r="T15" s="2"/>
      <c r="U15">
        <v>19</v>
      </c>
      <c r="V15">
        <v>2</v>
      </c>
      <c r="W15">
        <v>3</v>
      </c>
      <c r="X15">
        <v>22</v>
      </c>
      <c r="Y15" s="2"/>
      <c r="Z15" s="2"/>
      <c r="AA15">
        <v>2</v>
      </c>
      <c r="AB15" s="2"/>
      <c r="AC15" s="2"/>
      <c r="AD15">
        <v>2</v>
      </c>
      <c r="AE15" s="2"/>
      <c r="AF15" s="2"/>
      <c r="AG15">
        <v>1</v>
      </c>
    </row>
    <row r="16" spans="1:33" x14ac:dyDescent="0.25">
      <c r="A16" s="3" t="s">
        <v>23</v>
      </c>
      <c r="B16" s="3">
        <v>1</v>
      </c>
      <c r="C16" s="3">
        <v>1</v>
      </c>
      <c r="D16" s="3">
        <v>1.2</v>
      </c>
      <c r="E16" s="3">
        <v>1.3</v>
      </c>
      <c r="F16" s="3">
        <v>1.5</v>
      </c>
      <c r="G16" s="3">
        <v>1.3</v>
      </c>
      <c r="H16" s="3">
        <v>1</v>
      </c>
      <c r="I16" s="3">
        <v>1</v>
      </c>
      <c r="J16" s="3">
        <v>1.8</v>
      </c>
      <c r="K16" s="3">
        <v>1.1000000000000001</v>
      </c>
      <c r="L16" s="4"/>
      <c r="M16" s="3">
        <v>1.2</v>
      </c>
      <c r="N16" s="3">
        <v>1.3</v>
      </c>
      <c r="O16" s="4"/>
      <c r="P16" s="3">
        <v>1.2</v>
      </c>
      <c r="R16" s="3" t="s">
        <v>23</v>
      </c>
      <c r="S16" s="3">
        <v>2</v>
      </c>
      <c r="T16" s="4"/>
      <c r="U16" s="3">
        <v>1.5</v>
      </c>
      <c r="V16" s="3">
        <v>2</v>
      </c>
      <c r="W16" s="3">
        <v>2.7</v>
      </c>
      <c r="X16" s="3">
        <v>2.9</v>
      </c>
      <c r="Y16" s="4"/>
      <c r="Z16" s="4"/>
      <c r="AA16" s="3">
        <v>1.5</v>
      </c>
      <c r="AB16" s="4"/>
      <c r="AC16" s="4"/>
      <c r="AD16" s="3">
        <v>2</v>
      </c>
      <c r="AE16" s="4"/>
      <c r="AF16" s="4"/>
      <c r="AG16" s="3">
        <v>1</v>
      </c>
    </row>
    <row r="17" spans="1:16" x14ac:dyDescent="0.25">
      <c r="A17" s="9" t="s">
        <v>33</v>
      </c>
      <c r="B17" s="5"/>
      <c r="C17" s="5"/>
      <c r="D17" s="5"/>
      <c r="E17" s="5"/>
      <c r="F17" s="5"/>
      <c r="G17" s="5"/>
      <c r="H17" s="5"/>
      <c r="I17" s="5"/>
      <c r="J17" s="5"/>
      <c r="K17" s="5"/>
      <c r="L17" s="5"/>
      <c r="M17" s="5"/>
      <c r="N17" s="5"/>
      <c r="O17" s="5"/>
      <c r="P17" s="5"/>
    </row>
    <row r="18" spans="1:16" x14ac:dyDescent="0.25">
      <c r="A18" s="9" t="s">
        <v>34</v>
      </c>
      <c r="B18" s="5"/>
      <c r="C18" s="5"/>
      <c r="D18" s="5"/>
      <c r="E18" s="5"/>
      <c r="F18" s="5"/>
      <c r="G18" s="5"/>
      <c r="H18" s="5"/>
      <c r="I18" s="5"/>
      <c r="J18" s="5"/>
      <c r="K18" s="5"/>
      <c r="L18" s="5"/>
      <c r="M18" s="5"/>
      <c r="N18" s="5"/>
      <c r="O18" s="5"/>
      <c r="P18" s="5"/>
    </row>
    <row r="19" spans="1:16" x14ac:dyDescent="0.25">
      <c r="A19" s="9" t="s">
        <v>35</v>
      </c>
      <c r="B19" s="5"/>
      <c r="C19" s="5"/>
      <c r="D19" s="5"/>
      <c r="E19" s="5"/>
      <c r="F19" s="5"/>
      <c r="G19" s="5"/>
      <c r="H19" s="5"/>
      <c r="I19" s="5"/>
      <c r="J19" s="5"/>
      <c r="K19" s="5"/>
      <c r="L19" s="5"/>
      <c r="M19" s="5"/>
      <c r="N19" s="5"/>
      <c r="O19" s="5"/>
      <c r="P19" s="5"/>
    </row>
    <row r="20" spans="1:16" x14ac:dyDescent="0.25">
      <c r="A20" s="9" t="s">
        <v>36</v>
      </c>
      <c r="B20" s="5"/>
      <c r="C20" s="5"/>
      <c r="D20" s="5"/>
      <c r="E20" s="5"/>
      <c r="F20" s="5"/>
      <c r="G20" s="5"/>
      <c r="H20" s="5"/>
      <c r="I20" s="5"/>
      <c r="J20" s="5"/>
      <c r="K20" s="5"/>
      <c r="L20" s="5"/>
      <c r="M20" s="5"/>
      <c r="N20" s="5"/>
      <c r="O20" s="5"/>
      <c r="P20" s="5"/>
    </row>
    <row r="21" spans="1:16" x14ac:dyDescent="0.25">
      <c r="A21" s="9"/>
      <c r="B21" s="5"/>
      <c r="C21" s="5"/>
      <c r="D21" s="5"/>
      <c r="E21" s="5"/>
      <c r="F21" s="5"/>
      <c r="G21" s="5"/>
      <c r="H21" s="5"/>
      <c r="I21" s="5"/>
      <c r="J21" s="5"/>
      <c r="K21" s="5"/>
      <c r="L21" s="5"/>
      <c r="M21" s="5"/>
      <c r="N21" s="5"/>
      <c r="O21" s="5"/>
      <c r="P21" s="5"/>
    </row>
    <row r="22" spans="1:16" x14ac:dyDescent="0.25">
      <c r="A22" s="354" t="s">
        <v>37</v>
      </c>
      <c r="B22" s="355"/>
      <c r="C22" s="356"/>
      <c r="D22" s="354" t="s">
        <v>38</v>
      </c>
      <c r="E22" s="355"/>
      <c r="F22" s="355"/>
      <c r="G22" s="355"/>
      <c r="H22" s="355"/>
      <c r="I22" s="356"/>
      <c r="J22" s="5"/>
      <c r="K22" s="5"/>
      <c r="L22" s="5"/>
      <c r="M22" s="5"/>
      <c r="N22" s="5"/>
      <c r="O22" s="5"/>
      <c r="P22" s="5"/>
    </row>
    <row r="23" spans="1:16" x14ac:dyDescent="0.25">
      <c r="A23" s="357"/>
      <c r="B23" s="358"/>
      <c r="C23" s="359"/>
      <c r="D23" s="357"/>
      <c r="E23" s="358"/>
      <c r="F23" s="358"/>
      <c r="G23" s="358"/>
      <c r="H23" s="358"/>
      <c r="I23" s="359"/>
      <c r="J23" s="5"/>
      <c r="K23" s="5"/>
      <c r="L23" s="5"/>
      <c r="M23" s="5"/>
      <c r="N23" s="5"/>
      <c r="O23" s="5"/>
      <c r="P23" s="5"/>
    </row>
    <row r="24" spans="1:16" x14ac:dyDescent="0.25">
      <c r="A24" s="357"/>
      <c r="B24" s="358"/>
      <c r="C24" s="359"/>
      <c r="D24" s="357"/>
      <c r="E24" s="358"/>
      <c r="F24" s="358"/>
      <c r="G24" s="358"/>
      <c r="H24" s="358"/>
      <c r="I24" s="359"/>
      <c r="J24" s="5"/>
      <c r="K24" s="5"/>
      <c r="L24" s="5"/>
      <c r="M24" s="5"/>
      <c r="N24" s="5"/>
      <c r="O24" s="5"/>
      <c r="P24" s="5"/>
    </row>
    <row r="25" spans="1:16" x14ac:dyDescent="0.25">
      <c r="A25" s="357"/>
      <c r="B25" s="358"/>
      <c r="C25" s="359"/>
      <c r="D25" s="357"/>
      <c r="E25" s="358"/>
      <c r="F25" s="358"/>
      <c r="G25" s="358"/>
      <c r="H25" s="358"/>
      <c r="I25" s="359"/>
      <c r="J25" s="5"/>
      <c r="K25" s="5"/>
      <c r="L25" s="5"/>
      <c r="M25" s="5"/>
      <c r="N25" s="5"/>
      <c r="O25" s="5"/>
      <c r="P25" s="5"/>
    </row>
    <row r="26" spans="1:16" ht="34.9" customHeight="1" x14ac:dyDescent="0.25">
      <c r="A26" s="360"/>
      <c r="B26" s="361"/>
      <c r="C26" s="362"/>
      <c r="D26" s="360"/>
      <c r="E26" s="361"/>
      <c r="F26" s="361"/>
      <c r="G26" s="361"/>
      <c r="H26" s="361"/>
      <c r="I26" s="362"/>
      <c r="J26" s="5"/>
      <c r="K26" s="5"/>
      <c r="L26" s="5"/>
      <c r="M26" s="5"/>
      <c r="N26" s="5"/>
      <c r="O26" s="5"/>
      <c r="P26" s="5"/>
    </row>
    <row r="27" spans="1:16" x14ac:dyDescent="0.25">
      <c r="A27" s="10" t="s">
        <v>39</v>
      </c>
      <c r="B27" s="5"/>
      <c r="C27" s="5"/>
      <c r="D27" s="5"/>
      <c r="E27" s="5"/>
      <c r="F27" s="5"/>
      <c r="G27" s="5"/>
      <c r="H27" s="5"/>
      <c r="I27" s="5"/>
      <c r="J27" s="5"/>
      <c r="K27" s="5"/>
      <c r="L27" s="5"/>
      <c r="M27" s="5"/>
      <c r="N27" s="5"/>
      <c r="O27" s="5"/>
      <c r="P27" s="5"/>
    </row>
    <row r="31" spans="1:16" x14ac:dyDescent="0.25">
      <c r="A31" s="353" t="s">
        <v>29</v>
      </c>
      <c r="B31" s="353"/>
      <c r="C31" s="353"/>
      <c r="D31" s="353"/>
      <c r="E31" s="353"/>
      <c r="F31" s="353"/>
      <c r="G31" s="353"/>
      <c r="H31" s="353"/>
      <c r="I31" s="353"/>
      <c r="J31" s="353"/>
      <c r="K31" s="353"/>
      <c r="L31" s="353"/>
      <c r="M31" s="353"/>
      <c r="N31" s="353"/>
      <c r="O31" s="353"/>
      <c r="P31" s="353"/>
    </row>
    <row r="32" spans="1:16" x14ac:dyDescent="0.25">
      <c r="A32" t="s">
        <v>13</v>
      </c>
      <c r="B32">
        <v>2007</v>
      </c>
      <c r="C32">
        <v>2007</v>
      </c>
      <c r="D32">
        <v>2007</v>
      </c>
      <c r="E32">
        <v>2008</v>
      </c>
      <c r="F32">
        <v>2008</v>
      </c>
      <c r="G32">
        <v>2008</v>
      </c>
      <c r="H32">
        <v>2009</v>
      </c>
      <c r="I32">
        <v>2009</v>
      </c>
      <c r="J32">
        <v>2009</v>
      </c>
      <c r="K32">
        <v>2010</v>
      </c>
      <c r="L32">
        <v>2010</v>
      </c>
      <c r="M32">
        <v>2010</v>
      </c>
      <c r="N32">
        <v>2011</v>
      </c>
      <c r="O32">
        <v>2011</v>
      </c>
      <c r="P32">
        <v>2011</v>
      </c>
    </row>
    <row r="33" spans="1:16" x14ac:dyDescent="0.25">
      <c r="A33" t="s">
        <v>14</v>
      </c>
      <c r="B33" t="s">
        <v>15</v>
      </c>
      <c r="C33" t="s">
        <v>19</v>
      </c>
      <c r="D33" t="s">
        <v>20</v>
      </c>
      <c r="E33" t="s">
        <v>15</v>
      </c>
      <c r="F33" t="s">
        <v>19</v>
      </c>
      <c r="G33" t="s">
        <v>20</v>
      </c>
      <c r="H33" t="s">
        <v>15</v>
      </c>
      <c r="I33" t="s">
        <v>19</v>
      </c>
      <c r="J33" t="s">
        <v>20</v>
      </c>
      <c r="K33" t="s">
        <v>15</v>
      </c>
      <c r="L33" t="s">
        <v>19</v>
      </c>
      <c r="M33" t="s">
        <v>20</v>
      </c>
      <c r="N33" t="s">
        <v>15</v>
      </c>
      <c r="O33" t="s">
        <v>19</v>
      </c>
      <c r="P33" t="s">
        <v>20</v>
      </c>
    </row>
    <row r="34" spans="1:16" x14ac:dyDescent="0.25">
      <c r="A34" t="s">
        <v>16</v>
      </c>
      <c r="B34" s="5">
        <v>1</v>
      </c>
      <c r="C34" s="5">
        <v>12</v>
      </c>
      <c r="D34" s="2"/>
      <c r="E34" s="5">
        <v>2</v>
      </c>
      <c r="F34" s="5">
        <v>15</v>
      </c>
      <c r="G34" s="2"/>
      <c r="H34" s="5">
        <v>5</v>
      </c>
      <c r="I34" s="5">
        <v>11</v>
      </c>
      <c r="J34" s="5">
        <v>2</v>
      </c>
      <c r="K34" s="5">
        <v>1</v>
      </c>
      <c r="L34" s="5">
        <v>9</v>
      </c>
      <c r="M34" s="2"/>
      <c r="N34" s="5">
        <v>1</v>
      </c>
      <c r="O34" s="5">
        <v>7</v>
      </c>
      <c r="P34" s="2"/>
    </row>
    <row r="35" spans="1:16" x14ac:dyDescent="0.25">
      <c r="A35" t="s">
        <v>17</v>
      </c>
      <c r="B35" s="5">
        <v>1</v>
      </c>
      <c r="C35" s="5">
        <v>8</v>
      </c>
      <c r="D35" s="2"/>
      <c r="E35" s="5">
        <v>1</v>
      </c>
      <c r="F35" s="5">
        <v>10</v>
      </c>
      <c r="G35" s="2"/>
      <c r="H35" s="5">
        <v>4</v>
      </c>
      <c r="I35" s="5">
        <v>9</v>
      </c>
      <c r="J35" s="5">
        <v>2</v>
      </c>
      <c r="K35" s="5">
        <v>1</v>
      </c>
      <c r="L35" s="5">
        <v>6</v>
      </c>
      <c r="M35" s="2"/>
      <c r="N35" s="5">
        <v>1</v>
      </c>
      <c r="O35" s="5">
        <v>5</v>
      </c>
      <c r="P35" s="2"/>
    </row>
    <row r="36" spans="1:16" x14ac:dyDescent="0.25">
      <c r="A36" t="s">
        <v>25</v>
      </c>
      <c r="B36" s="5">
        <v>1</v>
      </c>
      <c r="C36" s="5">
        <v>148</v>
      </c>
      <c r="D36" s="2"/>
      <c r="E36" s="5">
        <v>17</v>
      </c>
      <c r="F36" s="5">
        <v>140</v>
      </c>
      <c r="G36" s="2"/>
      <c r="H36" s="5">
        <v>5</v>
      </c>
      <c r="I36" s="5">
        <v>102</v>
      </c>
      <c r="J36" s="5">
        <v>2</v>
      </c>
      <c r="K36" s="5">
        <v>2</v>
      </c>
      <c r="L36" s="5">
        <v>69</v>
      </c>
      <c r="M36" s="2"/>
      <c r="N36" s="5">
        <v>3</v>
      </c>
      <c r="O36" s="5">
        <v>110</v>
      </c>
      <c r="P36" s="2"/>
    </row>
    <row r="37" spans="1:16" x14ac:dyDescent="0.25">
      <c r="A37" t="s">
        <v>21</v>
      </c>
      <c r="B37" s="5">
        <v>1</v>
      </c>
      <c r="C37" s="5">
        <v>55</v>
      </c>
      <c r="D37" s="2"/>
      <c r="E37" s="5">
        <v>6</v>
      </c>
      <c r="F37" s="5">
        <v>45</v>
      </c>
      <c r="G37" s="2"/>
      <c r="H37" s="5">
        <v>5</v>
      </c>
      <c r="I37" s="5">
        <v>32</v>
      </c>
      <c r="J37" s="5">
        <v>2</v>
      </c>
      <c r="K37" s="5">
        <v>2</v>
      </c>
      <c r="L37" s="5">
        <v>33</v>
      </c>
      <c r="M37" s="2"/>
      <c r="N37" s="5">
        <v>2</v>
      </c>
      <c r="O37" s="5">
        <v>42</v>
      </c>
      <c r="P37" s="2"/>
    </row>
    <row r="38" spans="1:16" x14ac:dyDescent="0.25">
      <c r="A38" s="3" t="s">
        <v>26</v>
      </c>
      <c r="B38" s="6">
        <v>1</v>
      </c>
      <c r="C38" s="6">
        <v>2.7</v>
      </c>
      <c r="D38" s="4"/>
      <c r="E38" s="6">
        <v>2.2999999999999998</v>
      </c>
      <c r="F38" s="6">
        <v>3.1</v>
      </c>
      <c r="G38" s="4"/>
      <c r="H38" s="6">
        <v>1</v>
      </c>
      <c r="I38" s="6">
        <v>3.2</v>
      </c>
      <c r="J38" s="6">
        <v>1</v>
      </c>
      <c r="K38" s="6">
        <v>1</v>
      </c>
      <c r="L38" s="6">
        <v>2.1</v>
      </c>
      <c r="M38" s="4"/>
      <c r="N38" s="6">
        <v>1.5</v>
      </c>
      <c r="O38" s="6">
        <v>2.6</v>
      </c>
      <c r="P38" s="4"/>
    </row>
    <row r="40" spans="1:16" x14ac:dyDescent="0.25">
      <c r="A40" s="353" t="s">
        <v>28</v>
      </c>
      <c r="B40" s="353"/>
      <c r="C40" s="353"/>
      <c r="D40" s="353"/>
    </row>
    <row r="41" spans="1:16" x14ac:dyDescent="0.25">
      <c r="A41" s="7" t="s">
        <v>14</v>
      </c>
      <c r="B41" s="7" t="s">
        <v>15</v>
      </c>
      <c r="C41" s="7" t="s">
        <v>19</v>
      </c>
      <c r="D41" s="7" t="s">
        <v>20</v>
      </c>
    </row>
    <row r="42" spans="1:16" x14ac:dyDescent="0.25">
      <c r="A42" s="8" t="s">
        <v>30</v>
      </c>
      <c r="B42" s="8">
        <v>2</v>
      </c>
      <c r="C42" s="8">
        <v>4</v>
      </c>
      <c r="D42" s="8">
        <v>1</v>
      </c>
    </row>
    <row r="43" spans="1:16" x14ac:dyDescent="0.25">
      <c r="A43" s="8" t="s">
        <v>25</v>
      </c>
      <c r="B43" s="8">
        <v>3</v>
      </c>
      <c r="C43" s="8">
        <v>29</v>
      </c>
      <c r="D43" s="8">
        <v>8</v>
      </c>
    </row>
    <row r="44" spans="1:16" x14ac:dyDescent="0.25">
      <c r="A44" s="3" t="s">
        <v>27</v>
      </c>
      <c r="B44" s="3">
        <v>3</v>
      </c>
      <c r="C44" s="3">
        <v>18</v>
      </c>
      <c r="D44" s="3">
        <v>7</v>
      </c>
    </row>
  </sheetData>
  <mergeCells count="7">
    <mergeCell ref="K2:S5"/>
    <mergeCell ref="A8:P8"/>
    <mergeCell ref="R8:AG8"/>
    <mergeCell ref="A40:D40"/>
    <mergeCell ref="A22:C26"/>
    <mergeCell ref="D22:I26"/>
    <mergeCell ref="A31:P31"/>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Grain Sizes from Tube Cores</vt:lpstr>
      <vt:lpstr>Hecate Strait</vt:lpstr>
      <vt:lpstr>Fraser Ridge Reef</vt:lpstr>
      <vt:lpstr>Distance&amp;Height&amp;Time with Tide</vt:lpstr>
      <vt:lpstr>Distance&amp;Concentrations</vt:lpstr>
      <vt:lpstr>Boutillier et al. (2013) CSAS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dc:creator>
  <cp:lastModifiedBy>Leys Lab</cp:lastModifiedBy>
  <dcterms:created xsi:type="dcterms:W3CDTF">2018-02-12T16:41:13Z</dcterms:created>
  <dcterms:modified xsi:type="dcterms:W3CDTF">2018-10-04T14:30:23Z</dcterms:modified>
</cp:coreProperties>
</file>