
<file path=[Content_Types].xml><?xml version="1.0" encoding="utf-8"?>
<Types xmlns="http://schemas.openxmlformats.org/package/2006/content-types">
  <Default Extension="xml" ContentType="application/xml"/>
  <Default Extension="tif" ContentType="image/tiff"/>
  <Default Extension="vml" ContentType="application/vnd.openxmlformats-officedocument.vmlDrawing"/>
  <Default Extension="png" ContentType="image/png"/>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2.xml" ContentType="application/vnd.openxmlformats-officedocument.drawing+xml"/>
  <Override PartName="/xl/comments4.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5.xml" ContentType="application/vnd.openxmlformats-officedocument.spreadsheetml.comments+xml"/>
  <Override PartName="/xl/comments6.xml" ContentType="application/vnd.openxmlformats-officedocument.spreadsheetml.comments+xml"/>
  <Override PartName="/xl/drawings/drawing5.xml" ContentType="application/vnd.openxmlformats-officedocument.drawing+xml"/>
  <Override PartName="/xl/comments7.xml" ContentType="application/vnd.openxmlformats-officedocument.spreadsheetml.comments+xml"/>
  <Override PartName="/xl/drawings/drawing6.xml" ContentType="application/vnd.openxmlformats-officedocument.drawing+xml"/>
  <Override PartName="/xl/comments8.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25306"/>
  <workbookPr showInkAnnotation="0" autoCompressPictures="0"/>
  <bookViews>
    <workbookView xWindow="2860" yWindow="0" windowWidth="22540" windowHeight="14900" tabRatio="1000"/>
  </bookViews>
  <sheets>
    <sheet name="Summary" sheetId="6" r:id="rId1"/>
    <sheet name="Ostia" sheetId="1" r:id="rId2"/>
    <sheet name="Subdermal space" sheetId="8" r:id="rId3"/>
    <sheet name="Canals" sheetId="2" r:id="rId4"/>
    <sheet name="Prosopyles" sheetId="3" r:id="rId5"/>
    <sheet name="Collars" sheetId="5" r:id="rId6"/>
    <sheet name="Choanocyte Chambers" sheetId="4" r:id="rId7"/>
    <sheet name="Apopyle" sheetId="9" r:id="rId8"/>
    <sheet name="Osculum" sheetId="11" r:id="rId9"/>
    <sheet name="Sponge Volume" sheetId="12" r:id="rId10"/>
    <sheet name="Comparison table" sheetId="7" r:id="rId11"/>
  </sheets>
  <externalReferences>
    <externalReference r:id="rId12"/>
  </externalReferences>
  <definedNames>
    <definedName name="Density">Summary!$E$19</definedName>
    <definedName name="ExCurrentFlowRate">Summary!$C$19</definedName>
    <definedName name="ExcurrentSpeed">Summary!$B$19</definedName>
    <definedName name="gamma">Summary!$G$16</definedName>
    <definedName name="OscDiam">'[1]Sup. Table 2. Sponge sizes'!$E$17</definedName>
    <definedName name="SpVol">'[1]Sup. Table 2. Sponge sizes'!$F$17</definedName>
    <definedName name="Viscosity">Summary!$H$16</definedName>
  </definedNames>
  <calcPr calcId="140001" concurrentCalc="0"/>
  <extLst>
    <ext xmlns:mx="http://schemas.microsoft.com/office/mac/excel/2008/main" uri="{7523E5D3-25F3-A5E0-1632-64F254C22452}">
      <mx:ArchID Flags="2"/>
    </ext>
  </extLst>
</workbook>
</file>

<file path=xl/calcChain.xml><?xml version="1.0" encoding="utf-8"?>
<calcChain xmlns="http://schemas.openxmlformats.org/spreadsheetml/2006/main">
  <c r="F49" i="6" l="1"/>
  <c r="F48" i="6"/>
  <c r="N37" i="6"/>
  <c r="N24" i="6"/>
  <c r="N25" i="6"/>
  <c r="N26" i="6"/>
  <c r="N27" i="6"/>
  <c r="N28" i="6"/>
  <c r="N29" i="6"/>
  <c r="N30" i="6"/>
  <c r="N31" i="6"/>
  <c r="N32" i="6"/>
  <c r="N33" i="6"/>
  <c r="N34" i="6"/>
  <c r="N35" i="6"/>
  <c r="N36" i="6"/>
  <c r="N23" i="6"/>
  <c r="M24" i="6"/>
  <c r="M25" i="6"/>
  <c r="M26" i="6"/>
  <c r="M27" i="6"/>
  <c r="M28" i="6"/>
  <c r="M29" i="6"/>
  <c r="M30" i="6"/>
  <c r="M31" i="6"/>
  <c r="M32" i="6"/>
  <c r="M33" i="6"/>
  <c r="M34" i="6"/>
  <c r="M35" i="6"/>
  <c r="M36" i="6"/>
  <c r="Q23" i="6"/>
  <c r="R23" i="6"/>
  <c r="M23" i="6"/>
  <c r="R24" i="6"/>
  <c r="L24" i="6"/>
  <c r="L25" i="6"/>
  <c r="L26" i="6"/>
  <c r="L27" i="6"/>
  <c r="L28" i="6"/>
  <c r="L29" i="6"/>
  <c r="L30" i="6"/>
  <c r="L31" i="6"/>
  <c r="L32" i="6"/>
  <c r="L33" i="6"/>
  <c r="L34" i="6"/>
  <c r="L35" i="6"/>
  <c r="L36" i="6"/>
  <c r="L23" i="6"/>
  <c r="K36" i="6"/>
  <c r="R18" i="11"/>
  <c r="R17" i="11"/>
  <c r="H62" i="5"/>
  <c r="G62" i="5"/>
  <c r="I15" i="5"/>
  <c r="B16" i="6"/>
  <c r="H27" i="6"/>
  <c r="I27" i="6"/>
  <c r="D16" i="6"/>
  <c r="J27" i="6"/>
  <c r="C36" i="6"/>
  <c r="A16" i="6"/>
  <c r="H36" i="6"/>
  <c r="I36" i="6"/>
  <c r="J36" i="6"/>
  <c r="K27" i="6"/>
  <c r="Q27" i="6"/>
  <c r="D28" i="6"/>
  <c r="C28" i="6"/>
  <c r="R28" i="6"/>
  <c r="S28" i="6"/>
  <c r="E21" i="5"/>
  <c r="F21" i="5"/>
  <c r="G21" i="5"/>
  <c r="H28" i="6"/>
  <c r="I28" i="6"/>
  <c r="J28" i="6"/>
  <c r="K28" i="6"/>
  <c r="Q28" i="6"/>
  <c r="V27" i="6"/>
  <c r="V28" i="6"/>
  <c r="V29" i="6"/>
  <c r="V32" i="6"/>
  <c r="V31" i="6"/>
  <c r="V30" i="6"/>
  <c r="V33" i="6"/>
  <c r="R29" i="6"/>
  <c r="S29" i="6"/>
  <c r="E22" i="5"/>
  <c r="F22" i="5"/>
  <c r="G22" i="5"/>
  <c r="H30" i="6"/>
  <c r="I30" i="6"/>
  <c r="J30" i="6"/>
  <c r="K30" i="6"/>
  <c r="Q30" i="6"/>
  <c r="C31" i="6"/>
  <c r="D31" i="6"/>
  <c r="R31" i="6"/>
  <c r="S31" i="6"/>
  <c r="H23" i="6"/>
  <c r="I23" i="6"/>
  <c r="J23" i="6"/>
  <c r="K23" i="6"/>
  <c r="C23" i="6"/>
  <c r="S23" i="6"/>
  <c r="D24" i="6"/>
  <c r="C24" i="6"/>
  <c r="S24" i="6"/>
  <c r="H24" i="6"/>
  <c r="I24" i="6"/>
  <c r="J24" i="6"/>
  <c r="K24" i="6"/>
  <c r="Q24" i="6"/>
  <c r="D25" i="6"/>
  <c r="C25" i="6"/>
  <c r="R25" i="6"/>
  <c r="S25" i="6"/>
  <c r="H25" i="6"/>
  <c r="I25" i="6"/>
  <c r="J25" i="6"/>
  <c r="K25" i="6"/>
  <c r="Q25" i="6"/>
  <c r="D26" i="6"/>
  <c r="C26" i="6"/>
  <c r="R26" i="6"/>
  <c r="S26" i="6"/>
  <c r="I26" i="6"/>
  <c r="J26" i="6"/>
  <c r="K26" i="6"/>
  <c r="Q26" i="6"/>
  <c r="C27" i="6"/>
  <c r="R27" i="6"/>
  <c r="S27" i="6"/>
  <c r="H29" i="6"/>
  <c r="I29" i="6"/>
  <c r="J29" i="6"/>
  <c r="K29" i="6"/>
  <c r="Q29" i="6"/>
  <c r="D30" i="6"/>
  <c r="C30" i="6"/>
  <c r="R30" i="6"/>
  <c r="S30" i="6"/>
  <c r="H31" i="6"/>
  <c r="I31" i="6"/>
  <c r="J31" i="6"/>
  <c r="K31" i="6"/>
  <c r="Q31" i="6"/>
  <c r="C32" i="6"/>
  <c r="R32" i="6"/>
  <c r="S32" i="6"/>
  <c r="H32" i="6"/>
  <c r="I32" i="6"/>
  <c r="J32" i="6"/>
  <c r="K32" i="6"/>
  <c r="Q32" i="6"/>
  <c r="D33" i="6"/>
  <c r="C33" i="6"/>
  <c r="R33" i="6"/>
  <c r="S33" i="6"/>
  <c r="H26" i="6"/>
  <c r="H33" i="6"/>
  <c r="I33" i="6"/>
  <c r="J33" i="6"/>
  <c r="K33" i="6"/>
  <c r="Q33" i="6"/>
  <c r="D34" i="6"/>
  <c r="C34" i="6"/>
  <c r="R34" i="6"/>
  <c r="S34" i="6"/>
  <c r="H34" i="6"/>
  <c r="I34" i="6"/>
  <c r="J34" i="6"/>
  <c r="K34" i="6"/>
  <c r="Q34" i="6"/>
  <c r="D35" i="6"/>
  <c r="C35" i="6"/>
  <c r="R35" i="6"/>
  <c r="S35" i="6"/>
  <c r="Q36" i="6"/>
  <c r="R36" i="6"/>
  <c r="S36" i="6"/>
  <c r="S37" i="6"/>
  <c r="T24" i="6"/>
  <c r="T25" i="6"/>
  <c r="T26" i="6"/>
  <c r="T27" i="6"/>
  <c r="T28" i="6"/>
  <c r="T29" i="6"/>
  <c r="T30" i="6"/>
  <c r="T31" i="6"/>
  <c r="T32" i="6"/>
  <c r="T33" i="6"/>
  <c r="T34" i="6"/>
  <c r="T35" i="6"/>
  <c r="T36" i="6"/>
  <c r="T23" i="6"/>
  <c r="C16" i="6"/>
  <c r="C17" i="6"/>
  <c r="C48" i="6"/>
  <c r="C42" i="6"/>
  <c r="C43" i="6"/>
  <c r="C44" i="6"/>
  <c r="C45" i="6"/>
  <c r="C49" i="6"/>
  <c r="H35" i="6"/>
  <c r="I35" i="6"/>
  <c r="J35" i="6"/>
  <c r="K35" i="6"/>
  <c r="Q35" i="6"/>
  <c r="E24" i="6"/>
  <c r="E25" i="6"/>
  <c r="E26" i="6"/>
  <c r="E27" i="6"/>
  <c r="D27" i="6"/>
  <c r="E28" i="6"/>
  <c r="E29" i="6"/>
  <c r="D29" i="6"/>
  <c r="C29" i="6"/>
  <c r="G16" i="6"/>
  <c r="E30" i="6"/>
  <c r="E31" i="6"/>
  <c r="E32" i="6"/>
  <c r="E33" i="6"/>
  <c r="E34" i="6"/>
  <c r="E35" i="6"/>
  <c r="E36" i="6"/>
  <c r="D36" i="6"/>
  <c r="I23" i="12"/>
  <c r="I17" i="12"/>
  <c r="F9" i="11"/>
  <c r="F10" i="11"/>
  <c r="F11" i="11"/>
  <c r="F12" i="11"/>
  <c r="F13" i="11"/>
  <c r="F14" i="11"/>
  <c r="F15" i="11"/>
  <c r="F8" i="11"/>
  <c r="C26" i="12"/>
  <c r="C27" i="12"/>
  <c r="C32" i="12"/>
  <c r="J16" i="6"/>
  <c r="B32" i="12"/>
  <c r="C31" i="12"/>
  <c r="B31" i="12"/>
  <c r="I43" i="12"/>
  <c r="I39" i="12"/>
  <c r="I40" i="12"/>
  <c r="I41" i="12"/>
  <c r="I42" i="12"/>
  <c r="I44" i="12"/>
  <c r="I45" i="12"/>
  <c r="I46" i="12"/>
  <c r="I38" i="12"/>
  <c r="I47" i="12"/>
  <c r="G8" i="11"/>
  <c r="G9" i="11"/>
  <c r="G10" i="11"/>
  <c r="G11" i="11"/>
  <c r="G12" i="11"/>
  <c r="G13" i="11"/>
  <c r="G14" i="11"/>
  <c r="G15" i="11"/>
  <c r="G16" i="11"/>
  <c r="E11" i="4"/>
  <c r="F11" i="4"/>
  <c r="G11" i="4"/>
  <c r="G13" i="4"/>
  <c r="K15" i="5"/>
  <c r="C13" i="4"/>
  <c r="D13" i="4"/>
  <c r="E13" i="4"/>
  <c r="F13" i="4"/>
  <c r="H13" i="4"/>
  <c r="I13" i="4"/>
  <c r="J11" i="4"/>
  <c r="J13" i="4"/>
  <c r="K13" i="4"/>
  <c r="L11" i="4"/>
  <c r="L13" i="4"/>
  <c r="M13" i="4"/>
  <c r="N13" i="4"/>
  <c r="O13" i="4"/>
  <c r="P11" i="4"/>
  <c r="P13" i="4"/>
  <c r="B13" i="4"/>
  <c r="B22" i="3"/>
  <c r="D22" i="3"/>
  <c r="E22" i="3"/>
  <c r="L15" i="5"/>
  <c r="M15" i="5"/>
  <c r="G14" i="9"/>
  <c r="J59" i="2"/>
  <c r="K59" i="2"/>
  <c r="K15" i="2"/>
  <c r="K29" i="2"/>
  <c r="J60" i="2"/>
  <c r="K60" i="2"/>
  <c r="K16" i="2"/>
  <c r="K30" i="2"/>
  <c r="J61" i="2"/>
  <c r="K61" i="2"/>
  <c r="K17" i="2"/>
  <c r="M17" i="2"/>
  <c r="J71" i="2"/>
  <c r="K71" i="2"/>
  <c r="K18" i="2"/>
  <c r="M18" i="2"/>
  <c r="M31" i="2"/>
  <c r="K31" i="2"/>
  <c r="D29" i="2"/>
  <c r="E29" i="2"/>
  <c r="F29" i="2"/>
  <c r="G29" i="2"/>
  <c r="H29" i="2"/>
  <c r="I29" i="2"/>
  <c r="J15" i="2"/>
  <c r="J29" i="2"/>
  <c r="L59" i="2"/>
  <c r="L15" i="2"/>
  <c r="L29" i="2"/>
  <c r="M15" i="2"/>
  <c r="M29" i="2"/>
  <c r="C30" i="2"/>
  <c r="C29" i="2"/>
  <c r="K11" i="4"/>
  <c r="M11" i="4"/>
  <c r="N11" i="4"/>
  <c r="O11" i="4"/>
  <c r="I11" i="4"/>
  <c r="H11" i="4"/>
  <c r="D11" i="4"/>
  <c r="C11" i="4"/>
  <c r="C62" i="4"/>
  <c r="F47" i="4"/>
  <c r="G47" i="4"/>
  <c r="H47" i="4"/>
  <c r="F46" i="4"/>
  <c r="G46" i="4"/>
  <c r="H46" i="4"/>
  <c r="F45" i="4"/>
  <c r="G45" i="4"/>
  <c r="H45" i="4"/>
  <c r="F44" i="4"/>
  <c r="G44" i="4"/>
  <c r="H44" i="4"/>
  <c r="D62" i="4"/>
  <c r="F50" i="4"/>
  <c r="G50" i="4"/>
  <c r="H50" i="4"/>
  <c r="F49" i="4"/>
  <c r="G49" i="4"/>
  <c r="H49" i="4"/>
  <c r="F48" i="4"/>
  <c r="G48" i="4"/>
  <c r="H48" i="4"/>
  <c r="F43" i="4"/>
  <c r="G43" i="4"/>
  <c r="H43" i="4"/>
  <c r="F42" i="4"/>
  <c r="G42" i="4"/>
  <c r="H42" i="4"/>
  <c r="F41" i="4"/>
  <c r="G41" i="4"/>
  <c r="H41" i="4"/>
  <c r="F40" i="4"/>
  <c r="G40" i="4"/>
  <c r="H40" i="4"/>
  <c r="F39" i="4"/>
  <c r="G39" i="4"/>
  <c r="H39" i="4"/>
  <c r="F38" i="4"/>
  <c r="G38" i="4"/>
  <c r="H38" i="4"/>
  <c r="C26" i="4"/>
  <c r="C10" i="4"/>
  <c r="B10" i="4"/>
  <c r="E10" i="4"/>
  <c r="F10" i="4"/>
  <c r="G10" i="4"/>
  <c r="F18" i="4"/>
  <c r="G18" i="4"/>
  <c r="H18" i="4"/>
  <c r="F19" i="4"/>
  <c r="G19" i="4"/>
  <c r="H19" i="4"/>
  <c r="F20" i="4"/>
  <c r="G20" i="4"/>
  <c r="H20" i="4"/>
  <c r="F21" i="4"/>
  <c r="G21" i="4"/>
  <c r="H21" i="4"/>
  <c r="F22" i="4"/>
  <c r="G22" i="4"/>
  <c r="H22" i="4"/>
  <c r="F23" i="4"/>
  <c r="G23" i="4"/>
  <c r="H23" i="4"/>
  <c r="F24" i="4"/>
  <c r="G24" i="4"/>
  <c r="H24" i="4"/>
  <c r="F25" i="4"/>
  <c r="G25" i="4"/>
  <c r="H25" i="4"/>
  <c r="H26" i="4"/>
  <c r="I10" i="4"/>
  <c r="J10" i="4"/>
  <c r="D26" i="4"/>
  <c r="E26" i="4"/>
  <c r="D10" i="4"/>
  <c r="R16" i="11"/>
  <c r="D18" i="2"/>
  <c r="D31" i="2"/>
  <c r="E67" i="2"/>
  <c r="E71" i="2"/>
  <c r="E18" i="2"/>
  <c r="E31" i="2"/>
  <c r="F67" i="2"/>
  <c r="F71" i="2"/>
  <c r="F18" i="2"/>
  <c r="F31" i="2"/>
  <c r="G67" i="2"/>
  <c r="G71" i="2"/>
  <c r="G18" i="2"/>
  <c r="G31" i="2"/>
  <c r="H18" i="2"/>
  <c r="H31" i="2"/>
  <c r="I71" i="2"/>
  <c r="I18" i="2"/>
  <c r="I31" i="2"/>
  <c r="J18" i="2"/>
  <c r="J17" i="2"/>
  <c r="J31" i="2"/>
  <c r="L71" i="2"/>
  <c r="L18" i="2"/>
  <c r="L61" i="2"/>
  <c r="L17" i="2"/>
  <c r="L31" i="2"/>
  <c r="C31" i="2"/>
  <c r="C18" i="2"/>
  <c r="A18" i="2"/>
  <c r="I59" i="2"/>
  <c r="I60" i="2"/>
  <c r="B71" i="2"/>
  <c r="H71" i="2"/>
  <c r="E66" i="2"/>
  <c r="F66" i="2"/>
  <c r="G66" i="2"/>
  <c r="D71" i="2"/>
  <c r="C71" i="2"/>
  <c r="I70" i="2"/>
  <c r="J70" i="2"/>
  <c r="K70" i="2"/>
  <c r="L70" i="2"/>
  <c r="B70" i="2"/>
  <c r="H70" i="2"/>
  <c r="G70" i="2"/>
  <c r="F70" i="2"/>
  <c r="E70" i="2"/>
  <c r="D70" i="2"/>
  <c r="C70" i="2"/>
  <c r="I69" i="2"/>
  <c r="J69" i="2"/>
  <c r="K69" i="2"/>
  <c r="L69" i="2"/>
  <c r="B69" i="2"/>
  <c r="H69" i="2"/>
  <c r="G69" i="2"/>
  <c r="F69" i="2"/>
  <c r="E69" i="2"/>
  <c r="D69" i="2"/>
  <c r="C69" i="2"/>
  <c r="B68" i="2"/>
  <c r="H68" i="2"/>
  <c r="G68" i="2"/>
  <c r="I68" i="2"/>
  <c r="K68" i="2"/>
  <c r="L68" i="2"/>
  <c r="F68" i="2"/>
  <c r="E68" i="2"/>
  <c r="D68" i="2"/>
  <c r="C68" i="2"/>
  <c r="M8" i="11"/>
  <c r="M9" i="11"/>
  <c r="M10" i="11"/>
  <c r="M11" i="11"/>
  <c r="M12" i="11"/>
  <c r="M13" i="11"/>
  <c r="M14" i="11"/>
  <c r="M15" i="11"/>
  <c r="M16" i="11"/>
  <c r="E53" i="2"/>
  <c r="F53" i="2"/>
  <c r="G53" i="2"/>
  <c r="B61" i="2"/>
  <c r="H61" i="2"/>
  <c r="E44" i="2"/>
  <c r="F44" i="2"/>
  <c r="G44" i="2"/>
  <c r="E51" i="2"/>
  <c r="F51" i="2"/>
  <c r="G51" i="2"/>
  <c r="E56" i="2"/>
  <c r="F56" i="2"/>
  <c r="G56" i="2"/>
  <c r="E57" i="2"/>
  <c r="F57" i="2"/>
  <c r="G57" i="2"/>
  <c r="G61" i="2"/>
  <c r="I61" i="2"/>
  <c r="Q23" i="2"/>
  <c r="R23" i="2"/>
  <c r="S23" i="2"/>
  <c r="C59" i="2"/>
  <c r="C15" i="2"/>
  <c r="C60" i="2"/>
  <c r="C16" i="2"/>
  <c r="C61" i="2"/>
  <c r="C17" i="2"/>
  <c r="E50" i="2"/>
  <c r="F50" i="2"/>
  <c r="G50" i="2"/>
  <c r="E49" i="2"/>
  <c r="F49" i="2"/>
  <c r="G49" i="2"/>
  <c r="N8" i="11"/>
  <c r="N9" i="11"/>
  <c r="N10" i="11"/>
  <c r="N11" i="11"/>
  <c r="N12" i="11"/>
  <c r="N13" i="11"/>
  <c r="N14" i="11"/>
  <c r="N15" i="11"/>
  <c r="N16" i="11"/>
  <c r="H39" i="12"/>
  <c r="H40" i="12"/>
  <c r="H41" i="12"/>
  <c r="H42" i="12"/>
  <c r="H43" i="12"/>
  <c r="H44" i="12"/>
  <c r="H45" i="12"/>
  <c r="H46" i="12"/>
  <c r="H38" i="12"/>
  <c r="B27" i="12"/>
  <c r="H29" i="12"/>
  <c r="H28" i="12"/>
  <c r="C22" i="5"/>
  <c r="B22" i="5"/>
  <c r="C21" i="5"/>
  <c r="B21" i="5"/>
  <c r="B12" i="9"/>
  <c r="C12" i="9"/>
  <c r="D12" i="9"/>
  <c r="E12" i="9"/>
  <c r="F12" i="9"/>
  <c r="A12" i="9"/>
  <c r="B11" i="9"/>
  <c r="C11" i="9"/>
  <c r="D11" i="9"/>
  <c r="E11" i="9"/>
  <c r="F11" i="9"/>
  <c r="A11" i="9"/>
  <c r="H10" i="4"/>
  <c r="F30" i="4"/>
  <c r="G30" i="4"/>
  <c r="H30" i="4"/>
  <c r="F31" i="4"/>
  <c r="G31" i="4"/>
  <c r="H31" i="4"/>
  <c r="F32" i="4"/>
  <c r="G32" i="4"/>
  <c r="H32" i="4"/>
  <c r="F33" i="4"/>
  <c r="G33" i="4"/>
  <c r="H33" i="4"/>
  <c r="F34" i="4"/>
  <c r="G34" i="4"/>
  <c r="H34" i="4"/>
  <c r="F35" i="4"/>
  <c r="G35" i="4"/>
  <c r="H35" i="4"/>
  <c r="F36" i="4"/>
  <c r="G36" i="4"/>
  <c r="H36" i="4"/>
  <c r="F37" i="4"/>
  <c r="G37" i="4"/>
  <c r="H37" i="4"/>
  <c r="F51" i="4"/>
  <c r="G51" i="4"/>
  <c r="H51" i="4"/>
  <c r="F52" i="4"/>
  <c r="G52" i="4"/>
  <c r="H52" i="4"/>
  <c r="F53" i="4"/>
  <c r="G53" i="4"/>
  <c r="H53" i="4"/>
  <c r="F54" i="4"/>
  <c r="G54" i="4"/>
  <c r="H54" i="4"/>
  <c r="F55" i="4"/>
  <c r="G55" i="4"/>
  <c r="H55" i="4"/>
  <c r="F56" i="4"/>
  <c r="G56" i="4"/>
  <c r="H56" i="4"/>
  <c r="F57" i="4"/>
  <c r="G57" i="4"/>
  <c r="H57" i="4"/>
  <c r="F58" i="4"/>
  <c r="G58" i="4"/>
  <c r="H58" i="4"/>
  <c r="F59" i="4"/>
  <c r="G59" i="4"/>
  <c r="H59" i="4"/>
  <c r="F60" i="4"/>
  <c r="G60" i="4"/>
  <c r="H60" i="4"/>
  <c r="F61" i="4"/>
  <c r="G61" i="4"/>
  <c r="H61" i="4"/>
  <c r="H62" i="4"/>
  <c r="G62" i="4"/>
  <c r="F62" i="4"/>
  <c r="E62" i="4"/>
  <c r="G26" i="4"/>
  <c r="F26" i="4"/>
  <c r="M10" i="4"/>
  <c r="B18" i="3"/>
  <c r="E34" i="3"/>
  <c r="E14" i="3"/>
  <c r="D34" i="3"/>
  <c r="C13" i="3"/>
  <c r="D13" i="3"/>
  <c r="B13" i="3"/>
  <c r="C12" i="3"/>
  <c r="D12" i="3"/>
  <c r="B12" i="3"/>
  <c r="A13" i="3"/>
  <c r="D30" i="3"/>
  <c r="D31" i="3"/>
  <c r="D32" i="3"/>
  <c r="D33" i="3"/>
  <c r="C22" i="3"/>
  <c r="D56" i="1"/>
  <c r="E56" i="1"/>
  <c r="F56" i="1"/>
  <c r="D57" i="1"/>
  <c r="E57" i="1"/>
  <c r="F57" i="1"/>
  <c r="D58" i="1"/>
  <c r="E58" i="1"/>
  <c r="F58" i="1"/>
  <c r="D59" i="1"/>
  <c r="E59" i="1"/>
  <c r="F59" i="1"/>
  <c r="D60" i="1"/>
  <c r="E60" i="1"/>
  <c r="F60" i="1"/>
  <c r="D61" i="1"/>
  <c r="E61" i="1"/>
  <c r="F61" i="1"/>
  <c r="D62" i="1"/>
  <c r="E62" i="1"/>
  <c r="F62" i="1"/>
  <c r="D63" i="1"/>
  <c r="E63" i="1"/>
  <c r="F63" i="1"/>
  <c r="F64" i="1"/>
  <c r="H64" i="1"/>
  <c r="J64" i="1"/>
  <c r="K64" i="1"/>
  <c r="M64" i="1"/>
  <c r="L64" i="1"/>
  <c r="E64" i="1"/>
  <c r="D64" i="1"/>
  <c r="C64" i="1"/>
  <c r="B64" i="1"/>
  <c r="D43" i="1"/>
  <c r="E43" i="1"/>
  <c r="F43" i="1"/>
  <c r="D44" i="1"/>
  <c r="E44" i="1"/>
  <c r="F44" i="1"/>
  <c r="D45" i="1"/>
  <c r="E45" i="1"/>
  <c r="F45" i="1"/>
  <c r="D46" i="1"/>
  <c r="E46" i="1"/>
  <c r="F46" i="1"/>
  <c r="D47" i="1"/>
  <c r="E47" i="1"/>
  <c r="F47" i="1"/>
  <c r="D48" i="1"/>
  <c r="E48" i="1"/>
  <c r="F48" i="1"/>
  <c r="D49" i="1"/>
  <c r="E49" i="1"/>
  <c r="F49" i="1"/>
  <c r="D50" i="1"/>
  <c r="E50" i="1"/>
  <c r="F50" i="1"/>
  <c r="D51" i="1"/>
  <c r="E51" i="1"/>
  <c r="F51" i="1"/>
  <c r="F52" i="1"/>
  <c r="F17" i="1"/>
  <c r="D30" i="1"/>
  <c r="E30" i="1"/>
  <c r="F30" i="1"/>
  <c r="D31" i="1"/>
  <c r="E31" i="1"/>
  <c r="F31" i="1"/>
  <c r="D32" i="1"/>
  <c r="E32" i="1"/>
  <c r="F32" i="1"/>
  <c r="D33" i="1"/>
  <c r="E33" i="1"/>
  <c r="F33" i="1"/>
  <c r="D34" i="1"/>
  <c r="E34" i="1"/>
  <c r="F34" i="1"/>
  <c r="D35" i="1"/>
  <c r="E35" i="1"/>
  <c r="F35" i="1"/>
  <c r="D36" i="1"/>
  <c r="E36" i="1"/>
  <c r="F36" i="1"/>
  <c r="D37" i="1"/>
  <c r="E37" i="1"/>
  <c r="F37" i="1"/>
  <c r="F38" i="1"/>
  <c r="F16" i="1"/>
  <c r="F24" i="1"/>
  <c r="B52" i="1"/>
  <c r="B17" i="1"/>
  <c r="C52" i="1"/>
  <c r="C17" i="1"/>
  <c r="B38" i="1"/>
  <c r="B16" i="1"/>
  <c r="C38" i="1"/>
  <c r="C16" i="1"/>
  <c r="B24" i="1"/>
  <c r="D52" i="1"/>
  <c r="D17" i="1"/>
  <c r="E52" i="1"/>
  <c r="E17" i="1"/>
  <c r="D38" i="1"/>
  <c r="D16" i="1"/>
  <c r="E38" i="1"/>
  <c r="E16" i="1"/>
  <c r="D24" i="1"/>
  <c r="G17" i="1"/>
  <c r="H52" i="1"/>
  <c r="H17" i="1"/>
  <c r="I17" i="1"/>
  <c r="J52" i="1"/>
  <c r="J17" i="1"/>
  <c r="K52" i="1"/>
  <c r="K17" i="1"/>
  <c r="L52" i="1"/>
  <c r="L17" i="1"/>
  <c r="M52" i="1"/>
  <c r="M17" i="1"/>
  <c r="A17" i="1"/>
  <c r="A16" i="1"/>
  <c r="P8" i="11"/>
  <c r="P9" i="11"/>
  <c r="P10" i="11"/>
  <c r="P11" i="11"/>
  <c r="P12" i="11"/>
  <c r="P13" i="11"/>
  <c r="P14" i="11"/>
  <c r="P15" i="11"/>
  <c r="P16" i="11"/>
  <c r="I16" i="11"/>
  <c r="Q16" i="11"/>
  <c r="H47" i="12"/>
  <c r="G48" i="12"/>
  <c r="G39" i="12"/>
  <c r="G40" i="12"/>
  <c r="G41" i="12"/>
  <c r="G42" i="12"/>
  <c r="G43" i="12"/>
  <c r="G44" i="12"/>
  <c r="G45" i="12"/>
  <c r="G46" i="12"/>
  <c r="G38" i="12"/>
  <c r="E48" i="12"/>
  <c r="F48" i="12"/>
  <c r="F39" i="12"/>
  <c r="F40" i="12"/>
  <c r="F41" i="12"/>
  <c r="F42" i="12"/>
  <c r="F43" i="12"/>
  <c r="F44" i="12"/>
  <c r="F45" i="12"/>
  <c r="F46" i="12"/>
  <c r="F38" i="12"/>
  <c r="K8" i="11"/>
  <c r="B26" i="12"/>
  <c r="H23" i="12"/>
  <c r="G23" i="12"/>
  <c r="G22" i="12"/>
  <c r="H17" i="12"/>
  <c r="G17" i="12"/>
  <c r="G16" i="12"/>
  <c r="E23" i="12"/>
  <c r="F23" i="12"/>
  <c r="D23" i="12"/>
  <c r="E17" i="12"/>
  <c r="F17" i="12"/>
  <c r="D17" i="12"/>
  <c r="E21" i="12"/>
  <c r="D21" i="12"/>
  <c r="E15" i="12"/>
  <c r="D15" i="12"/>
  <c r="D21" i="9"/>
  <c r="E21" i="9"/>
  <c r="F21" i="9"/>
  <c r="F10" i="9"/>
  <c r="F14" i="9"/>
  <c r="B17" i="3"/>
  <c r="B19" i="3"/>
  <c r="P24" i="7"/>
  <c r="P21" i="7"/>
  <c r="P20" i="7"/>
  <c r="P19" i="7"/>
  <c r="E62" i="5"/>
  <c r="F62" i="5"/>
  <c r="D62" i="5"/>
  <c r="B62" i="5"/>
  <c r="I62" i="5"/>
  <c r="J62" i="5"/>
  <c r="J15" i="5"/>
  <c r="E15" i="5"/>
  <c r="D22" i="5"/>
  <c r="P17" i="7"/>
  <c r="P15" i="7"/>
  <c r="N62" i="5"/>
  <c r="N15" i="5"/>
  <c r="D21" i="5"/>
  <c r="P13" i="7"/>
  <c r="P12" i="7"/>
  <c r="P10" i="7"/>
  <c r="P11" i="7"/>
  <c r="H38" i="1"/>
  <c r="J38" i="1"/>
  <c r="J16" i="1"/>
  <c r="J24" i="1"/>
  <c r="P9" i="7"/>
  <c r="O24" i="7"/>
  <c r="O21" i="7"/>
  <c r="O20" i="7"/>
  <c r="O19" i="7"/>
  <c r="O17" i="7"/>
  <c r="O15" i="7"/>
  <c r="O13" i="7"/>
  <c r="O12" i="7"/>
  <c r="O10" i="7"/>
  <c r="O11" i="7"/>
  <c r="O9" i="7"/>
  <c r="N24" i="7"/>
  <c r="N21" i="7"/>
  <c r="D10" i="9"/>
  <c r="D14" i="9"/>
  <c r="N20" i="7"/>
  <c r="N19" i="7"/>
  <c r="N17" i="7"/>
  <c r="F15" i="5"/>
  <c r="N15" i="7"/>
  <c r="N13" i="7"/>
  <c r="B34" i="3"/>
  <c r="B14" i="3"/>
  <c r="C34" i="3"/>
  <c r="C14" i="3"/>
  <c r="N12" i="7"/>
  <c r="N10" i="7"/>
  <c r="N11" i="7"/>
  <c r="N9" i="7"/>
  <c r="N7" i="7"/>
  <c r="D22" i="9"/>
  <c r="E22" i="9"/>
  <c r="F22" i="9"/>
  <c r="D23" i="9"/>
  <c r="E23" i="9"/>
  <c r="F23" i="9"/>
  <c r="F24" i="9"/>
  <c r="E24" i="9"/>
  <c r="D24" i="9"/>
  <c r="C24" i="9"/>
  <c r="B24" i="9"/>
  <c r="A12" i="3"/>
  <c r="E40" i="2"/>
  <c r="F40" i="2"/>
  <c r="G40" i="2"/>
  <c r="E41" i="2"/>
  <c r="F41" i="2"/>
  <c r="G41" i="2"/>
  <c r="E42" i="2"/>
  <c r="F42" i="2"/>
  <c r="G42" i="2"/>
  <c r="E43" i="2"/>
  <c r="F43" i="2"/>
  <c r="G43" i="2"/>
  <c r="E45" i="2"/>
  <c r="F45" i="2"/>
  <c r="G45" i="2"/>
  <c r="E46" i="2"/>
  <c r="F46" i="2"/>
  <c r="G46" i="2"/>
  <c r="E47" i="2"/>
  <c r="F47" i="2"/>
  <c r="G47" i="2"/>
  <c r="E48" i="2"/>
  <c r="F48" i="2"/>
  <c r="G48" i="2"/>
  <c r="E52" i="2"/>
  <c r="F52" i="2"/>
  <c r="G52" i="2"/>
  <c r="C62" i="5"/>
  <c r="C15" i="5"/>
  <c r="D13" i="8"/>
  <c r="D14" i="8"/>
  <c r="D15" i="8"/>
  <c r="D16" i="8"/>
  <c r="D17" i="8"/>
  <c r="D18" i="8"/>
  <c r="D19" i="8"/>
  <c r="D20" i="8"/>
  <c r="D21" i="8"/>
  <c r="G21" i="8"/>
  <c r="H21" i="8"/>
  <c r="D9" i="8"/>
  <c r="C21" i="8"/>
  <c r="C9" i="8"/>
  <c r="B21" i="8"/>
  <c r="B9" i="8"/>
  <c r="E55" i="2"/>
  <c r="F55" i="2"/>
  <c r="G55" i="2"/>
  <c r="F28" i="6"/>
  <c r="G28" i="6"/>
  <c r="F29" i="6"/>
  <c r="G29" i="6"/>
  <c r="F30" i="6"/>
  <c r="G30" i="6"/>
  <c r="F31" i="6"/>
  <c r="G31" i="6"/>
  <c r="F32" i="6"/>
  <c r="G32" i="6"/>
  <c r="F33" i="6"/>
  <c r="G33" i="6"/>
  <c r="F34" i="6"/>
  <c r="G34" i="6"/>
  <c r="F35" i="6"/>
  <c r="G35" i="6"/>
  <c r="F36" i="6"/>
  <c r="G36" i="6"/>
  <c r="F47" i="12"/>
  <c r="G47" i="12"/>
  <c r="E47" i="12"/>
  <c r="I10" i="11"/>
  <c r="I11" i="11"/>
  <c r="I12" i="11"/>
  <c r="I13" i="11"/>
  <c r="H9" i="11"/>
  <c r="H10" i="11"/>
  <c r="H11" i="11"/>
  <c r="H12" i="11"/>
  <c r="H13" i="11"/>
  <c r="H14" i="11"/>
  <c r="H15" i="11"/>
  <c r="H8" i="11"/>
  <c r="B10" i="9"/>
  <c r="C10" i="9"/>
  <c r="E10" i="9"/>
  <c r="A10" i="9"/>
  <c r="J16" i="11"/>
  <c r="O10" i="11"/>
  <c r="O11" i="11"/>
  <c r="O12" i="11"/>
  <c r="O13" i="11"/>
  <c r="O14" i="11"/>
  <c r="O15" i="11"/>
  <c r="K9" i="11"/>
  <c r="K10" i="11"/>
  <c r="K11" i="11"/>
  <c r="K12" i="11"/>
  <c r="K13" i="11"/>
  <c r="K14" i="11"/>
  <c r="K15" i="11"/>
  <c r="P10" i="4"/>
  <c r="K10" i="4"/>
  <c r="L10" i="4"/>
  <c r="N10" i="4"/>
  <c r="O10" i="4"/>
  <c r="A10" i="4"/>
  <c r="O62" i="5"/>
  <c r="O15" i="5"/>
  <c r="D15" i="5"/>
  <c r="G15" i="5"/>
  <c r="H15" i="5"/>
  <c r="B15" i="5"/>
  <c r="D61" i="2"/>
  <c r="D17" i="2"/>
  <c r="E61" i="2"/>
  <c r="E17" i="2"/>
  <c r="F54" i="2"/>
  <c r="F61" i="2"/>
  <c r="F17" i="2"/>
  <c r="G17" i="2"/>
  <c r="H17" i="2"/>
  <c r="I17" i="2"/>
  <c r="M16" i="2"/>
  <c r="M30" i="2"/>
  <c r="D59" i="2"/>
  <c r="D15" i="2"/>
  <c r="E37" i="2"/>
  <c r="E39" i="2"/>
  <c r="E59" i="2"/>
  <c r="E15" i="2"/>
  <c r="F37" i="2"/>
  <c r="F39" i="2"/>
  <c r="F59" i="2"/>
  <c r="F15" i="2"/>
  <c r="G37" i="2"/>
  <c r="G39" i="2"/>
  <c r="G59" i="2"/>
  <c r="G15" i="2"/>
  <c r="B59" i="2"/>
  <c r="H59" i="2"/>
  <c r="H15" i="2"/>
  <c r="I15" i="2"/>
  <c r="D60" i="2"/>
  <c r="D16" i="2"/>
  <c r="D30" i="2"/>
  <c r="E38" i="2"/>
  <c r="E54" i="2"/>
  <c r="E60" i="2"/>
  <c r="E16" i="2"/>
  <c r="E30" i="2"/>
  <c r="F38" i="2"/>
  <c r="F60" i="2"/>
  <c r="F16" i="2"/>
  <c r="F30" i="2"/>
  <c r="G38" i="2"/>
  <c r="G54" i="2"/>
  <c r="G60" i="2"/>
  <c r="G16" i="2"/>
  <c r="G30" i="2"/>
  <c r="B60" i="2"/>
  <c r="H60" i="2"/>
  <c r="H16" i="2"/>
  <c r="H30" i="2"/>
  <c r="I16" i="2"/>
  <c r="I30" i="2"/>
  <c r="J16" i="2"/>
  <c r="J30" i="2"/>
  <c r="L60" i="2"/>
  <c r="L16" i="2"/>
  <c r="L30" i="2"/>
  <c r="A15" i="2"/>
  <c r="J21" i="8"/>
  <c r="L38" i="1"/>
  <c r="G58" i="2"/>
  <c r="F58" i="2"/>
  <c r="E58" i="2"/>
  <c r="D58" i="2"/>
  <c r="C58" i="2"/>
  <c r="I21" i="8"/>
  <c r="E9" i="8"/>
  <c r="F9" i="8"/>
  <c r="K21" i="8"/>
  <c r="G9" i="8"/>
  <c r="G16" i="1"/>
  <c r="H16" i="1"/>
  <c r="I16" i="1"/>
  <c r="K38" i="1"/>
  <c r="K16" i="1"/>
  <c r="L16" i="1"/>
  <c r="M38" i="1"/>
  <c r="M16" i="1"/>
  <c r="B58" i="2"/>
  <c r="H58" i="2"/>
  <c r="I58" i="2"/>
  <c r="K58" i="2"/>
  <c r="L58" i="2"/>
  <c r="D14" i="3"/>
  <c r="M24" i="1"/>
  <c r="D17" i="5"/>
  <c r="L17" i="6"/>
  <c r="L18" i="6"/>
  <c r="L19" i="6"/>
  <c r="L20" i="6"/>
  <c r="M16" i="6"/>
  <c r="K16" i="6"/>
  <c r="L16" i="6"/>
  <c r="O8" i="11"/>
  <c r="O9" i="11"/>
  <c r="O16" i="11"/>
  <c r="I8" i="11"/>
  <c r="I15" i="11"/>
  <c r="I9" i="11"/>
  <c r="I14" i="11"/>
  <c r="K16" i="11"/>
  <c r="F24" i="6"/>
  <c r="F25" i="6"/>
  <c r="F26" i="6"/>
  <c r="F27" i="6"/>
  <c r="F23" i="6"/>
  <c r="L16" i="11"/>
  <c r="G24" i="6"/>
  <c r="G25" i="6"/>
  <c r="G26" i="6"/>
  <c r="G27" i="6"/>
  <c r="G23" i="6"/>
  <c r="E14" i="9"/>
  <c r="L24" i="1"/>
  <c r="G24" i="1"/>
  <c r="H24" i="1"/>
  <c r="I24" i="1"/>
  <c r="K24" i="1"/>
</calcChain>
</file>

<file path=xl/comments1.xml><?xml version="1.0" encoding="utf-8"?>
<comments xmlns="http://schemas.openxmlformats.org/spreadsheetml/2006/main">
  <authors>
    <author>Danielle Ludeman</author>
    <author>Gitai Yahel</author>
  </authors>
  <commentList>
    <comment ref="D15" authorId="0">
      <text>
        <r>
          <rPr>
            <b/>
            <sz val="9"/>
            <color indexed="81"/>
            <rFont val="Calibri"/>
            <family val="2"/>
          </rPr>
          <t>Danielle Ludeman:</t>
        </r>
        <r>
          <rPr>
            <sz val="9"/>
            <color indexed="81"/>
            <rFont val="Calibri"/>
            <family val="2"/>
          </rPr>
          <t xml:space="preserve">
Determine the wall thickness of the cube to be used in the measurements. For example, in Callyspongia the wall thickness is 3mm, therefore the cube dimensions are 3mm x 5.77mm x 5.77mm, and the surface area of the cube is 100mm^3/3mm= 33.33mm^2</t>
        </r>
      </text>
    </comment>
    <comment ref="E15" authorId="1">
      <text>
        <r>
          <rPr>
            <b/>
            <sz val="9"/>
            <color indexed="81"/>
            <rFont val="Tahoma"/>
            <family val="2"/>
          </rPr>
          <t>Danielle:</t>
        </r>
        <r>
          <rPr>
            <sz val="9"/>
            <color indexed="81"/>
            <rFont val="Tahoma"/>
            <family val="2"/>
          </rPr>
          <t xml:space="preserve">
Seawater at 30 psu, 30 degC</t>
        </r>
      </text>
    </comment>
    <comment ref="H15" authorId="0">
      <text>
        <r>
          <rPr>
            <b/>
            <sz val="9"/>
            <color indexed="81"/>
            <rFont val="Calibri"/>
            <family val="2"/>
          </rPr>
          <t>Danielle Ludeman:</t>
        </r>
        <r>
          <rPr>
            <sz val="9"/>
            <color indexed="81"/>
            <rFont val="Calibri"/>
            <family val="2"/>
          </rPr>
          <t xml:space="preserve">
For seawater at 30 degrees
</t>
        </r>
      </text>
    </comment>
    <comment ref="I16" authorId="1">
      <text>
        <r>
          <rPr>
            <b/>
            <sz val="9"/>
            <color indexed="81"/>
            <rFont val="Tahoma"/>
            <family val="2"/>
          </rPr>
          <t>Gitai Yahel:</t>
        </r>
        <r>
          <rPr>
            <sz val="9"/>
            <color indexed="81"/>
            <rFont val="Tahoma"/>
            <family val="2"/>
          </rPr>
          <t xml:space="preserve">
From inactive sponge in figures 5D. We amy change this number later</t>
        </r>
      </text>
    </comment>
    <comment ref="K22" authorId="0">
      <text>
        <r>
          <rPr>
            <b/>
            <sz val="9"/>
            <color indexed="81"/>
            <rFont val="Calibri"/>
            <family val="2"/>
          </rPr>
          <t>Danielle Ludeman:</t>
        </r>
        <r>
          <rPr>
            <sz val="9"/>
            <color indexed="81"/>
            <rFont val="Calibri"/>
            <family val="2"/>
          </rPr>
          <t xml:space="preserve">
Using equation by Reiswig 1975
</t>
        </r>
      </text>
    </comment>
    <comment ref="D31" authorId="0">
      <text>
        <r>
          <rPr>
            <b/>
            <sz val="9"/>
            <color indexed="81"/>
            <rFont val="Calibri"/>
            <family val="2"/>
          </rPr>
          <t>Danielle Ludeman:</t>
        </r>
        <r>
          <rPr>
            <sz val="9"/>
            <color indexed="81"/>
            <rFont val="Calibri"/>
            <family val="2"/>
          </rPr>
          <t xml:space="preserve">
Path length is diameter in chambers
</t>
        </r>
      </text>
    </comment>
    <comment ref="K36" authorId="0">
      <text>
        <r>
          <rPr>
            <b/>
            <sz val="9"/>
            <color indexed="81"/>
            <rFont val="Calibri"/>
            <family val="2"/>
          </rPr>
          <t>Danielle Ludeman:</t>
        </r>
        <r>
          <rPr>
            <sz val="9"/>
            <color indexed="81"/>
            <rFont val="Calibri"/>
            <family val="2"/>
          </rPr>
          <t xml:space="preserve">
Effective oscular plane is 58% of velocity as per Reiswig 1975</t>
        </r>
      </text>
    </comment>
  </commentList>
</comments>
</file>

<file path=xl/comments2.xml><?xml version="1.0" encoding="utf-8"?>
<comments xmlns="http://schemas.openxmlformats.org/spreadsheetml/2006/main">
  <authors>
    <author>Danielle Ludeman</author>
  </authors>
  <commentList>
    <comment ref="L15"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29"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41"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42"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54"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55"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List>
</comments>
</file>

<file path=xl/comments3.xml><?xml version="1.0" encoding="utf-8"?>
<comments xmlns="http://schemas.openxmlformats.org/spreadsheetml/2006/main">
  <authors>
    <author>Sally</author>
  </authors>
  <commentList>
    <comment ref="B12" authorId="0">
      <text>
        <r>
          <rPr>
            <b/>
            <sz val="9"/>
            <color indexed="81"/>
            <rFont val="Tahoma"/>
            <family val="2"/>
          </rPr>
          <t>Sally:</t>
        </r>
        <r>
          <rPr>
            <sz val="9"/>
            <color indexed="81"/>
            <rFont val="Tahoma"/>
            <family val="2"/>
          </rPr>
          <t xml:space="preserve">
(dist from dermal membrane to incurrent canal)</t>
        </r>
      </text>
    </comment>
    <comment ref="H12" authorId="0">
      <text>
        <r>
          <rPr>
            <b/>
            <sz val="9"/>
            <color indexed="81"/>
            <rFont val="Tahoma"/>
            <family val="2"/>
          </rPr>
          <t>Sally:</t>
        </r>
        <r>
          <rPr>
            <sz val="9"/>
            <color indexed="81"/>
            <rFont val="Tahoma"/>
            <family val="2"/>
          </rPr>
          <t xml:space="preserve">
this is in 1mm^2</t>
        </r>
      </text>
    </comment>
    <comment ref="J12" authorId="0">
      <text>
        <r>
          <rPr>
            <b/>
            <sz val="9"/>
            <color indexed="81"/>
            <rFont val="Tahoma"/>
            <family val="2"/>
          </rPr>
          <t>Sally:</t>
        </r>
        <r>
          <rPr>
            <sz val="9"/>
            <color indexed="81"/>
            <rFont val="Tahoma"/>
            <family val="2"/>
          </rPr>
          <t xml:space="preserve">
this is in 20.25mm^2</t>
        </r>
      </text>
    </comment>
    <comment ref="K12" authorId="0">
      <text>
        <r>
          <rPr>
            <b/>
            <sz val="9"/>
            <color indexed="81"/>
            <rFont val="Tahoma"/>
            <family val="2"/>
          </rPr>
          <t>Sally:</t>
        </r>
        <r>
          <rPr>
            <sz val="9"/>
            <color indexed="81"/>
            <rFont val="Tahoma"/>
            <family val="2"/>
          </rPr>
          <t xml:space="preserve">
this is in effect in 1mm^2</t>
        </r>
      </text>
    </comment>
  </commentList>
</comments>
</file>

<file path=xl/comments4.xml><?xml version="1.0" encoding="utf-8"?>
<comments xmlns="http://schemas.openxmlformats.org/spreadsheetml/2006/main">
  <authors>
    <author>Danielle Ludeman</author>
  </authors>
  <commentList>
    <comment ref="M31" authorId="0">
      <text>
        <r>
          <rPr>
            <b/>
            <sz val="9"/>
            <color indexed="81"/>
            <rFont val="Calibri"/>
            <family val="2"/>
          </rPr>
          <t>Danielle Ludeman:</t>
        </r>
        <r>
          <rPr>
            <sz val="9"/>
            <color indexed="81"/>
            <rFont val="Calibri"/>
            <family val="2"/>
          </rPr>
          <t xml:space="preserve">
Cv-bw-22 overestimates the percent of canals but including in the analysis anyways because the other images greatly underestimate (most I cannot see the smallest incurent enough to measure</t>
        </r>
      </text>
    </comment>
    <comment ref="J58" authorId="0">
      <text>
        <r>
          <rPr>
            <b/>
            <sz val="9"/>
            <color indexed="81"/>
            <rFont val="Calibri"/>
            <family val="2"/>
          </rPr>
          <t>Danielle Ludeman:</t>
        </r>
        <r>
          <rPr>
            <sz val="9"/>
            <color indexed="81"/>
            <rFont val="Calibri"/>
            <family val="2"/>
          </rPr>
          <t xml:space="preserve">
Only the space with the canals as the sponge volume was calculated without the coral</t>
        </r>
      </text>
    </comment>
    <comment ref="I69" authorId="0">
      <text>
        <r>
          <rPr>
            <b/>
            <sz val="9"/>
            <color indexed="81"/>
            <rFont val="Calibri"/>
            <family val="2"/>
          </rPr>
          <t>Danielle Ludeman:</t>
        </r>
        <r>
          <rPr>
            <sz val="9"/>
            <color indexed="81"/>
            <rFont val="Calibri"/>
            <family val="2"/>
          </rPr>
          <t xml:space="preserve">
To account for canals running along the image
</t>
        </r>
      </text>
    </comment>
    <comment ref="I70" authorId="0">
      <text>
        <r>
          <rPr>
            <b/>
            <sz val="9"/>
            <color indexed="81"/>
            <rFont val="Calibri"/>
            <family val="2"/>
          </rPr>
          <t>Danielle Ludeman:</t>
        </r>
        <r>
          <rPr>
            <sz val="9"/>
            <color indexed="81"/>
            <rFont val="Calibri"/>
            <family val="2"/>
          </rPr>
          <t xml:space="preserve">
To account for canals running along the image</t>
        </r>
      </text>
    </comment>
  </commentList>
</comments>
</file>

<file path=xl/comments5.xml><?xml version="1.0" encoding="utf-8"?>
<comments xmlns="http://schemas.openxmlformats.org/spreadsheetml/2006/main">
  <authors>
    <author>Danielle Ludeman</author>
  </authors>
  <commentList>
    <comment ref="I15" authorId="0">
      <text>
        <r>
          <rPr>
            <b/>
            <sz val="9"/>
            <color indexed="81"/>
            <rFont val="Calibri"/>
            <family val="2"/>
          </rPr>
          <t>Danielle Ludeman:</t>
        </r>
        <r>
          <rPr>
            <sz val="9"/>
            <color indexed="81"/>
            <rFont val="Calibri"/>
            <family val="2"/>
          </rPr>
          <t xml:space="preserve">
Approximation based on counts of partial chambers</t>
        </r>
      </text>
    </comment>
    <comment ref="B30" authorId="0">
      <text>
        <r>
          <rPr>
            <b/>
            <sz val="9"/>
            <color indexed="81"/>
            <rFont val="Calibri"/>
            <family val="2"/>
          </rPr>
          <t>Danielle Ludeman:</t>
        </r>
        <r>
          <rPr>
            <sz val="9"/>
            <color indexed="81"/>
            <rFont val="Calibri"/>
            <family val="2"/>
          </rPr>
          <t xml:space="preserve">
Do not have any images where I can see every micorvilli, so counted the microvilli I could see on half of the choanocte and multiplied by 2
</t>
        </r>
      </text>
    </comment>
  </commentList>
</comments>
</file>

<file path=xl/comments6.xml><?xml version="1.0" encoding="utf-8"?>
<comments xmlns="http://schemas.openxmlformats.org/spreadsheetml/2006/main">
  <authors>
    <author>Sally</author>
    <author>Danielle Ludeman</author>
  </authors>
  <commentList>
    <comment ref="F9" authorId="0">
      <text>
        <r>
          <rPr>
            <b/>
            <sz val="9"/>
            <color indexed="81"/>
            <rFont val="Tahoma"/>
            <family val="2"/>
          </rPr>
          <t xml:space="preserve">Danielle:
</t>
        </r>
        <r>
          <rPr>
            <sz val="9"/>
            <color indexed="81"/>
            <rFont val="Tahoma"/>
            <family val="2"/>
          </rPr>
          <t>the average chamber diameter is 15um and the proportion of the sponge that is choanosome is 75%</t>
        </r>
      </text>
    </comment>
    <comment ref="O9" authorId="1">
      <text>
        <r>
          <rPr>
            <b/>
            <sz val="9"/>
            <color indexed="81"/>
            <rFont val="Calibri"/>
            <family val="2"/>
          </rPr>
          <t>Danielle Ludeman:</t>
        </r>
        <r>
          <rPr>
            <sz val="9"/>
            <color indexed="81"/>
            <rFont val="Calibri"/>
            <family val="2"/>
          </rPr>
          <t xml:space="preserve">
1mm^3 = 1,000,000,000 um^3</t>
        </r>
      </text>
    </comment>
  </commentList>
</comments>
</file>

<file path=xl/comments7.xml><?xml version="1.0" encoding="utf-8"?>
<comments xmlns="http://schemas.openxmlformats.org/spreadsheetml/2006/main">
  <authors>
    <author>Danielle Ludeman</author>
  </authors>
  <commentList>
    <comment ref="B18" authorId="0">
      <text>
        <r>
          <rPr>
            <b/>
            <sz val="9"/>
            <color indexed="81"/>
            <rFont val="Calibri"/>
            <family val="2"/>
          </rPr>
          <t>Danielle Ludeman:</t>
        </r>
        <r>
          <rPr>
            <sz val="9"/>
            <color indexed="81"/>
            <rFont val="Calibri"/>
            <family val="2"/>
          </rPr>
          <t xml:space="preserve">
From photo Cd-B6-(1)
</t>
        </r>
      </text>
    </comment>
  </commentList>
</comments>
</file>

<file path=xl/comments8.xml><?xml version="1.0" encoding="utf-8"?>
<comments xmlns="http://schemas.openxmlformats.org/spreadsheetml/2006/main">
  <authors>
    <author>Danielle Ludeman</author>
  </authors>
  <commentList>
    <comment ref="B7" authorId="0">
      <text>
        <r>
          <rPr>
            <b/>
            <sz val="9"/>
            <color indexed="81"/>
            <rFont val="Calibri"/>
            <family val="2"/>
          </rPr>
          <t>Danielle Ludeman:</t>
        </r>
        <r>
          <rPr>
            <sz val="9"/>
            <color indexed="81"/>
            <rFont val="Calibri"/>
            <family val="2"/>
          </rPr>
          <t xml:space="preserve">
From Reiswig (1975)
</t>
        </r>
      </text>
    </comment>
    <comment ref="E7" authorId="0">
      <text>
        <r>
          <rPr>
            <b/>
            <sz val="9"/>
            <color indexed="81"/>
            <rFont val="Calibri"/>
            <family val="2"/>
          </rPr>
          <t>Danielle Ludeman:</t>
        </r>
        <r>
          <rPr>
            <sz val="9"/>
            <color indexed="81"/>
            <rFont val="Calibri"/>
            <family val="2"/>
          </rPr>
          <t xml:space="preserve">
From Leys (2011)
</t>
        </r>
      </text>
    </comment>
    <comment ref="H7" authorId="0">
      <text>
        <r>
          <rPr>
            <b/>
            <sz val="9"/>
            <color indexed="81"/>
            <rFont val="Calibri"/>
            <family val="2"/>
          </rPr>
          <t>Danielle Ludeman:</t>
        </r>
        <r>
          <rPr>
            <sz val="9"/>
            <color indexed="81"/>
            <rFont val="Calibri"/>
            <family val="2"/>
          </rPr>
          <t xml:space="preserve">
Not yet complete - just tentative numbers
</t>
        </r>
      </text>
    </comment>
    <comment ref="K7" authorId="0">
      <text>
        <r>
          <rPr>
            <b/>
            <sz val="9"/>
            <color indexed="81"/>
            <rFont val="Calibri"/>
            <family val="2"/>
          </rPr>
          <t>Danielle Ludeman:</t>
        </r>
        <r>
          <rPr>
            <sz val="9"/>
            <color indexed="81"/>
            <rFont val="Calibri"/>
            <family val="2"/>
          </rPr>
          <t xml:space="preserve">
Not yet complete - just tentative numbers</t>
        </r>
      </text>
    </comment>
  </commentList>
</comments>
</file>

<file path=xl/sharedStrings.xml><?xml version="1.0" encoding="utf-8"?>
<sst xmlns="http://schemas.openxmlformats.org/spreadsheetml/2006/main" count="585" uniqueCount="360">
  <si>
    <t>OSTIA</t>
  </si>
  <si>
    <t xml:space="preserve">method: </t>
  </si>
  <si>
    <t>total area of the image was also calculated, to get area of oscula in 1mm^2, and % ostia in 1mm^2</t>
  </si>
  <si>
    <t>Summary:</t>
  </si>
  <si>
    <t>Image</t>
  </si>
  <si>
    <t>diameter</t>
  </si>
  <si>
    <t>area (pi r^2)</t>
  </si>
  <si>
    <t>#ostia (count)</t>
  </si>
  <si>
    <t>area of image</t>
  </si>
  <si>
    <t>% of ostia in 1mm^2</t>
  </si>
  <si>
    <t>radius (d/2)</t>
  </si>
  <si>
    <t>area of ostia in 1mm^2</t>
  </si>
  <si>
    <t>Ostia</t>
  </si>
  <si>
    <t>area of ostia(um^2)</t>
  </si>
  <si>
    <t>area of image (um^2)</t>
  </si>
  <si>
    <t>method:</t>
  </si>
  <si>
    <t>Summary</t>
  </si>
  <si>
    <t>Image #</t>
  </si>
  <si>
    <t>diameter (um)</t>
  </si>
  <si>
    <t>radius</t>
  </si>
  <si>
    <t>#canals</t>
  </si>
  <si>
    <t xml:space="preserve">area of canals </t>
  </si>
  <si>
    <t>area of canals in 1mm^3</t>
  </si>
  <si>
    <t>percent of canals</t>
  </si>
  <si>
    <t>Medium</t>
  </si>
  <si>
    <t>Small</t>
  </si>
  <si>
    <t>PROSOPYLES</t>
  </si>
  <si>
    <t>COLLARS</t>
  </si>
  <si>
    <t>#microvilli per collar</t>
  </si>
  <si>
    <t>collar microvilli diameter (um)</t>
  </si>
  <si>
    <t>collar slit width (um)</t>
  </si>
  <si>
    <t>height of collar (to gasket)</t>
  </si>
  <si>
    <t xml:space="preserve">area between the collar mv </t>
  </si>
  <si>
    <t>XS area of collar slits for one collar (um^2)</t>
  </si>
  <si>
    <t>xs area of collar slits per chamber (um^2)</t>
  </si>
  <si>
    <t># chambers per 1mm3</t>
  </si>
  <si>
    <t>xs area per 1mm^3</t>
  </si>
  <si>
    <t>xs area of collar slits per 1mm^3</t>
  </si>
  <si>
    <t># collars per chamber</t>
  </si>
  <si>
    <t>diameter of collar (um)</t>
  </si>
  <si>
    <t>distance between collars (um)</t>
  </si>
  <si>
    <t>names at the comparison table</t>
  </si>
  <si>
    <t>Sponge Region</t>
  </si>
  <si>
    <t>Diameter (um)</t>
  </si>
  <si>
    <t>Path length of each section (um)</t>
  </si>
  <si>
    <t>Distance from inhalent surface (um)</t>
  </si>
  <si>
    <t>proportional distance from inhalent surface</t>
  </si>
  <si>
    <t>% distance from inhalent surface</t>
  </si>
  <si>
    <t>XS area (mm2) of aquiferous system in 1mm3  pieces</t>
  </si>
  <si>
    <t>XS area in 100 mm^3 pieces (mm^2)</t>
  </si>
  <si>
    <t>Fraction of inhalent surface</t>
  </si>
  <si>
    <t>Apertures of Inhalent canals</t>
  </si>
  <si>
    <t>Prosopyles</t>
  </si>
  <si>
    <t>Chamber</t>
  </si>
  <si>
    <t>Apopyles</t>
  </si>
  <si>
    <t>Apertures of exhalent canals</t>
  </si>
  <si>
    <t>Osculum</t>
  </si>
  <si>
    <t>ostia</t>
  </si>
  <si>
    <t>lg incurrent canal</t>
  </si>
  <si>
    <t>med incurrent canal</t>
  </si>
  <si>
    <t>sm incurrent canal</t>
  </si>
  <si>
    <t>prosopyles</t>
  </si>
  <si>
    <t>collar slit</t>
  </si>
  <si>
    <t>chamber</t>
  </si>
  <si>
    <t>apopyle</t>
  </si>
  <si>
    <t>sm excurrent canal</t>
  </si>
  <si>
    <t>lg excurrent canal</t>
  </si>
  <si>
    <t>osculum</t>
  </si>
  <si>
    <t>Sponge region name from summary sheet</t>
  </si>
  <si>
    <t>4.5 (20.6) 44</t>
  </si>
  <si>
    <t>50-340</t>
  </si>
  <si>
    <t>1 to 5</t>
  </si>
  <si>
    <t>xs area in 1ul piece (mm^2)</t>
  </si>
  <si>
    <t>Haliclona permollis</t>
  </si>
  <si>
    <t>Aphrocallistes vastus</t>
  </si>
  <si>
    <t># of cham per image area</t>
  </si>
  <si>
    <t>average chamber diameter</t>
  </si>
  <si>
    <t>chamber radius (um)</t>
  </si>
  <si>
    <t>xs area of a chamber (pi(r^2))</t>
  </si>
  <si>
    <t>XS area of all chambers in 1mm^3 (mm^2)</t>
  </si>
  <si>
    <t>xs area of chambers (um^2) in each image</t>
  </si>
  <si>
    <t>percent xs cover of chambers in the choanosome/image</t>
  </si>
  <si>
    <t>surface area of a chamber (um^2)</t>
  </si>
  <si>
    <t>chamber volume (um^3)</t>
  </si>
  <si>
    <t>chamber volume (mm^3)</t>
  </si>
  <si>
    <t>chamber #</t>
  </si>
  <si>
    <t>chamber diameter</t>
  </si>
  <si>
    <t>Subdermal space</t>
  </si>
  <si>
    <t>Large incurrent canal</t>
  </si>
  <si>
    <t xml:space="preserve">Prosopyles </t>
  </si>
  <si>
    <t>Pre-collar space</t>
  </si>
  <si>
    <t>Glycocalyx mesh pores</t>
  </si>
  <si>
    <t>Collar slit</t>
  </si>
  <si>
    <t>Post-collar space</t>
  </si>
  <si>
    <t xml:space="preserve">Collar apertures </t>
  </si>
  <si>
    <t xml:space="preserve">Chamber </t>
  </si>
  <si>
    <t>Apopyle</t>
  </si>
  <si>
    <t>Large excurrent canals</t>
  </si>
  <si>
    <t>Subatrial space</t>
  </si>
  <si>
    <t>Atrial cavity</t>
  </si>
  <si>
    <t>diameter2</t>
  </si>
  <si>
    <t>radius2 (d/2)</t>
  </si>
  <si>
    <t>Total</t>
  </si>
  <si>
    <t>Length (taken from Leys et al)</t>
  </si>
  <si>
    <t>0.5 um</t>
  </si>
  <si>
    <t>Path Lengths</t>
  </si>
  <si>
    <t>Large</t>
  </si>
  <si>
    <t>diameter2 (um)</t>
  </si>
  <si>
    <t>radius2</t>
  </si>
  <si>
    <t>area of ostia in 1mm^3</t>
  </si>
  <si>
    <t>% of ostia in 1mm^3</t>
  </si>
  <si>
    <t>SUBDERMAL SPACE (SDS)</t>
  </si>
  <si>
    <t>Summary SDS</t>
  </si>
  <si>
    <t>height (path length; um)</t>
  </si>
  <si>
    <t>SDS</t>
  </si>
  <si>
    <t>inner subdermal space</t>
  </si>
  <si>
    <t>height  (um)</t>
  </si>
  <si>
    <t>length (um)</t>
  </si>
  <si>
    <t>area of one space (um2)</t>
  </si>
  <si>
    <t>area of all spaces (um2)</t>
  </si>
  <si>
    <t xml:space="preserve">area of spaces in 1 mm^3 </t>
  </si>
  <si>
    <t>% cover 1mm^2</t>
  </si>
  <si>
    <t>area in 100mm^3</t>
  </si>
  <si>
    <t>% cover in 1mm^3</t>
  </si>
  <si>
    <t>The region below the Dermal membrane is a space, called the Subdermal Space</t>
  </si>
  <si>
    <t>area of spaces in 1mm^3</t>
  </si>
  <si>
    <t>% cover in 1mm^2</t>
  </si>
  <si>
    <t>% cover in 100mm^3</t>
  </si>
  <si>
    <t>Average</t>
  </si>
  <si>
    <t>area of canals in 100mm^3</t>
  </si>
  <si>
    <t xml:space="preserve">Neopetrosia </t>
  </si>
  <si>
    <t>diameter 1 (um)</t>
  </si>
  <si>
    <t>diameter 2 (um)</t>
  </si>
  <si>
    <t>Area of one prosopyle (um)</t>
  </si>
  <si>
    <t>Incurrent canals</t>
  </si>
  <si>
    <t>Number of canals</t>
  </si>
  <si>
    <t>Large canals</t>
  </si>
  <si>
    <t>#chambers/mm3</t>
  </si>
  <si>
    <t>SA of prosopyles/chamber</t>
  </si>
  <si>
    <t>SA of prosopyles in 1mm^3 (um^2)</t>
  </si>
  <si>
    <t>SA of prosopyles in mm^3 (mm^2)</t>
  </si>
  <si>
    <t>number of equivalent areas that fit in 1,000,000um^2</t>
  </si>
  <si>
    <t>Surface area of  chambers in 1mm^3 (mm^2)</t>
  </si>
  <si>
    <t>APOPYLES</t>
  </si>
  <si>
    <t>IMAGE NAME</t>
  </si>
  <si>
    <t>diameter (um) [length+width/2]</t>
  </si>
  <si>
    <t>apopyle radius (um)</t>
  </si>
  <si>
    <t>apopyle area (um^2)</t>
  </si>
  <si>
    <t>xs area of apopyles in 1mm^3 (mm^2)</t>
  </si>
  <si>
    <t>Average diameter</t>
  </si>
  <si>
    <t>Apopyle - diameter1 (um)</t>
  </si>
  <si>
    <t>Apopyle - diameter2 (um)</t>
  </si>
  <si>
    <t>Excurrent canals</t>
  </si>
  <si>
    <t>small</t>
  </si>
  <si>
    <t>medium</t>
  </si>
  <si>
    <t>large</t>
  </si>
  <si>
    <t>med excurrent canal</t>
  </si>
  <si>
    <t>Surface area of the 100^3 crosswall section (mm^2)</t>
  </si>
  <si>
    <r>
      <rPr>
        <b/>
        <sz val="10"/>
        <color indexed="17"/>
        <rFont val="Arial"/>
        <family val="2"/>
      </rPr>
      <t>Density,</t>
    </r>
    <r>
      <rPr>
        <b/>
        <sz val="10"/>
        <color indexed="17"/>
        <rFont val="Symbol"/>
        <family val="1"/>
        <charset val="2"/>
      </rPr>
      <t xml:space="preserve"> r</t>
    </r>
    <r>
      <rPr>
        <b/>
        <sz val="10"/>
        <color indexed="17"/>
        <rFont val="Arial"/>
        <family val="2"/>
      </rPr>
      <t xml:space="preserve"> (kg/m^3)</t>
    </r>
  </si>
  <si>
    <r>
      <t xml:space="preserve">Specific weight </t>
    </r>
    <r>
      <rPr>
        <b/>
        <sz val="11"/>
        <color indexed="17"/>
        <rFont val="Symbol"/>
        <family val="1"/>
        <charset val="2"/>
      </rPr>
      <t>g</t>
    </r>
  </si>
  <si>
    <t xml:space="preserve">Viscosity (Pa s) </t>
  </si>
  <si>
    <t>Alfa (Vex/U)</t>
  </si>
  <si>
    <t>Specific pumping rate (mL/mLSponge/min)</t>
  </si>
  <si>
    <t>mL/mLSponge/s</t>
  </si>
  <si>
    <t>nL/collar/hr</t>
  </si>
  <si>
    <t>area (um2)</t>
  </si>
  <si>
    <t>Velocity (cm/s)</t>
  </si>
  <si>
    <t>Velocity (mm/s)</t>
  </si>
  <si>
    <t>Volume Flow Rate (L/hr)</t>
  </si>
  <si>
    <t>area (cm2)</t>
  </si>
  <si>
    <t>radius (mm)</t>
  </si>
  <si>
    <t>Diameter (mm)</t>
  </si>
  <si>
    <t>radius (um)</t>
  </si>
  <si>
    <t>Sponge volume (mL)</t>
  </si>
  <si>
    <t>osculum area</t>
  </si>
  <si>
    <t>path length</t>
  </si>
  <si>
    <t xml:space="preserve">Excurrent velocity (m/s) </t>
  </si>
  <si>
    <t>Velocity (m/s)</t>
  </si>
  <si>
    <t xml:space="preserve"> Osculum flow rate (mL/s) </t>
  </si>
  <si>
    <t>Volume Flow rate (mL/s)</t>
  </si>
  <si>
    <t># chambers in 1mm3</t>
  </si>
  <si>
    <t>Est # collars per chamber</t>
  </si>
  <si>
    <t>Number of mv per collar</t>
  </si>
  <si>
    <t>Sponge Volume (cm^3)</t>
  </si>
  <si>
    <t># chambers/sponge</t>
  </si>
  <si>
    <t xml:space="preserve">Velocity (per opening, m^3/s) </t>
  </si>
  <si>
    <t>Distance between centres of neighbouring cylinders</t>
  </si>
  <si>
    <t>Majority of ostia are medium-small and are probably just slightly contracted.  Will use the measurement from the large ostia for the diameter, and use the counts of all to estimate fraction of inhalent surface</t>
  </si>
  <si>
    <t>Area of apopyle in a chamber</t>
  </si>
  <si>
    <t>SA of a chamber</t>
  </si>
  <si>
    <t xml:space="preserve">** Assuming that half of the space that is not choanocyte or apopyle is prosopyle </t>
  </si>
  <si>
    <t>SA of chamber - apopyle</t>
  </si>
  <si>
    <t>Oxygen</t>
  </si>
  <si>
    <t>1 ml/l * pumping rate (L/hr) = 1ml/hr</t>
  </si>
  <si>
    <t>umol/L</t>
  </si>
  <si>
    <t>ul/L</t>
  </si>
  <si>
    <t>ul/hr</t>
  </si>
  <si>
    <t>uW</t>
  </si>
  <si>
    <t>Pumping Power</t>
  </si>
  <si>
    <t>estimated # spaces</t>
  </si>
  <si>
    <t>area along which spaces were counted (um2)</t>
  </si>
  <si>
    <t>Orange</t>
  </si>
  <si>
    <t>Red</t>
  </si>
  <si>
    <t>Purple</t>
  </si>
  <si>
    <t>Cv-cho-RR-01</t>
  </si>
  <si>
    <t>** According to this image, the wall thickness (left to right) is only 3mm</t>
  </si>
  <si>
    <t>In Callyspongia, there are no distinct prosopyles.  Rather, the water flows from the smallest incurrent canals into the lacunar spaces, and from there</t>
  </si>
  <si>
    <t>enter the choanocyte chambers through the spaces between the choanocytes</t>
  </si>
  <si>
    <t>Therefore, the space for water to pass through is: (collar slit) x (height of glycocalyx mesh)</t>
  </si>
  <si>
    <t>And the number of glycocalyx slits is (height to gasket)/(height of glycocalyx mesh)</t>
  </si>
  <si>
    <t>height of glycocalyx</t>
  </si>
  <si>
    <t>Cv-RR-30um-wax-16</t>
  </si>
  <si>
    <t>Choanocyte chambers</t>
  </si>
  <si>
    <t>Measure diameter of all chambers - even if it fractured partially through the chamber.  These partial fractures are taken into account when calculating the number of chambers in 1mm^3</t>
  </si>
  <si>
    <t xml:space="preserve">The number of chambers in the image is then multiplied by the number of equilavent areas in a 1000000um^2 section </t>
  </si>
  <si>
    <t>To get the number of chambers in 1mm^3, the 30um wide slice needs to be multipled by 33.33 (30*33.33 = 1000um to give a cube with dimensions 1mm^2 by 1mm = 1mm^3)</t>
  </si>
  <si>
    <t>B</t>
  </si>
  <si>
    <t>We can assume that one image that has many chambers fractured at different points is representative of each 'slice' through the sponge - (slice approximately 30um thick)</t>
  </si>
  <si>
    <t>Filename for Velocity Data</t>
  </si>
  <si>
    <t>where</t>
  </si>
  <si>
    <t xml:space="preserve">r1 = </t>
  </si>
  <si>
    <t>Height (cm)</t>
  </si>
  <si>
    <t>Radius 1 (cm)</t>
  </si>
  <si>
    <t>Radius 2 (cm)</t>
  </si>
  <si>
    <t>Volume (cm^3)</t>
  </si>
  <si>
    <r>
      <rPr>
        <b/>
        <sz val="10"/>
        <color indexed="17"/>
        <rFont val="Arial"/>
        <family val="2"/>
      </rPr>
      <t>Acceleration of gravity, g (m/s^2)</t>
    </r>
  </si>
  <si>
    <t>Surface area of the sponge (cm^2)</t>
  </si>
  <si>
    <t>1ul/hr *5.222 ~= uW (Riisgard 1993)</t>
  </si>
  <si>
    <r>
      <t>PRE AND POST COLLAR SPACE:</t>
    </r>
    <r>
      <rPr>
        <sz val="12"/>
        <color theme="1"/>
        <rFont val="Calibri"/>
        <family val="2"/>
        <scheme val="minor"/>
      </rPr>
      <t xml:space="preserve"> this is the 'cone' of space between the prosopyle and the collar slit, and the cone of space between the collar slit and the collar aperture.</t>
    </r>
  </si>
  <si>
    <t>average length (um)</t>
  </si>
  <si>
    <t>area per chamber (i.e. x260)</t>
  </si>
  <si>
    <t>area per 1mm^3 piece (in um^2)</t>
  </si>
  <si>
    <t>area per 1mm3 piece (in mm2)</t>
  </si>
  <si>
    <t>pre collar space</t>
  </si>
  <si>
    <t>post collar space</t>
  </si>
  <si>
    <t>Collars</t>
  </si>
  <si>
    <t>Cost of pumping (%)</t>
  </si>
  <si>
    <t>cells that require data to be added</t>
  </si>
  <si>
    <t>equations (no data to be added)</t>
  </si>
  <si>
    <t>1 ml/l = 10^3/22.391 = 44.661 μmol/l</t>
  </si>
  <si>
    <t>manual counts of the number of small, medium and large ostia in each SEM image using the multiple pointer selector in ImageJ (keeps track of each mouse click)</t>
  </si>
  <si>
    <t>diameter of large ostia only were measured using Image J (colored using illustrator)</t>
  </si>
  <si>
    <t>The area of large ostia was calculated, then multiplied by the total number of ostia in the image (sm med and large)</t>
  </si>
  <si>
    <t>For oval ostia - took two diameters to calculate the area</t>
  </si>
  <si>
    <t>cutoffs used for size classifications:</t>
  </si>
  <si>
    <t>Image Name</t>
  </si>
  <si>
    <t xml:space="preserve">Apopyles can be distinguised from prosopyles by either the flagella of the choanocytes protuding towards the apopyle or out, or by the apopylar cilia (usually two) </t>
  </si>
  <si>
    <t>Callyspongia</t>
  </si>
  <si>
    <t>Cliona delitrix</t>
  </si>
  <si>
    <t>Volume of an ellipsoid</t>
  </si>
  <si>
    <t>radius of long axis</t>
  </si>
  <si>
    <t>r2 =</t>
  </si>
  <si>
    <t xml:space="preserve"> radius of short axis</t>
  </si>
  <si>
    <t>V=4/3*PI()*r1*r2*h</t>
  </si>
  <si>
    <t>h =</t>
  </si>
  <si>
    <t>height of sponge</t>
  </si>
  <si>
    <t>'Cliona-B1-.209.13.Vectrino-II.00003.mat'</t>
  </si>
  <si>
    <t>'Cliona-B2-.209.13.Vectrino-II.00005.mat'</t>
  </si>
  <si>
    <t>'Cliona-B3-.209.13.Vectrino-II.00002.mat'</t>
  </si>
  <si>
    <t>'Cliona-B5-.209.13.Vectrino-II.00001.mat'</t>
  </si>
  <si>
    <t>'Cliona-B6-.209.13.Vectrino-II.00001.mat'</t>
  </si>
  <si>
    <t>'Cliona-B7-.209.13.Vectrino-II.00001.mat'</t>
  </si>
  <si>
    <t>'Cliona-B8-.209.13.Vectrino-II.00001.mat'</t>
  </si>
  <si>
    <t>'Cliona-B9-.209.13.Vectrino-II.00002.mat'</t>
  </si>
  <si>
    <t>'Cliona-B10-.209.13.Vectrino-II.00002.mat'</t>
  </si>
  <si>
    <t>Photo</t>
  </si>
  <si>
    <t>Height</t>
  </si>
  <si>
    <t>Diameter 1</t>
  </si>
  <si>
    <t>Diameter 2</t>
  </si>
  <si>
    <t>Radius 1</t>
  </si>
  <si>
    <t>Radius 2</t>
  </si>
  <si>
    <t>Ratio of osculum size</t>
  </si>
  <si>
    <t>Since it is an encrusting sponge, some of the volume will be dead coral skeleton.  Will estimate amount of dead coral by taking ratio of weight of a piece before dissolving away the coral with EDTA and after</t>
  </si>
  <si>
    <t>Then, since there are many oscula per large clump of sponge, take the total volume of the sponge and multiplied by the ratio of the size of each osculum</t>
  </si>
  <si>
    <t>Volume of sponge +coral</t>
  </si>
  <si>
    <t>Surface area</t>
  </si>
  <si>
    <t>For Cliona, could not get displaced volume without killing the sponge, therefore took photos so that we could estimate based on the volume of an ellipsoid (two ellipsoids beside each other)</t>
  </si>
  <si>
    <t>For Part 1 of whole sponge (Cliona B)</t>
  </si>
  <si>
    <t>For Part 2 of whole sponge (Cliona B)</t>
  </si>
  <si>
    <t>P1050084</t>
  </si>
  <si>
    <t>** The smaller piece on the bottom left is actually compeltely separate and was not used for measurements</t>
  </si>
  <si>
    <t>P1050091</t>
  </si>
  <si>
    <t>Height radius</t>
  </si>
  <si>
    <t>Height radius (cm)</t>
  </si>
  <si>
    <t>Volume of sponge +coral (cm^3)</t>
  </si>
  <si>
    <t>For the whole sponge:</t>
  </si>
  <si>
    <t>Surface Area (cm^3)</t>
  </si>
  <si>
    <t>Sum</t>
  </si>
  <si>
    <t>Surface Area (cm^2)</t>
  </si>
  <si>
    <t>Sponge + Coral</t>
  </si>
  <si>
    <t>Sponge only</t>
  </si>
  <si>
    <t>Diameter 1(cm)</t>
  </si>
  <si>
    <t>Diameter 2 (cm)</t>
  </si>
  <si>
    <r>
      <t xml:space="preserve">Measurements of </t>
    </r>
    <r>
      <rPr>
        <u/>
        <sz val="12"/>
        <color theme="1"/>
        <rFont val="Calibri"/>
        <scheme val="minor"/>
      </rPr>
      <t xml:space="preserve">        Cliona                       </t>
    </r>
    <r>
      <rPr>
        <sz val="12"/>
        <color theme="1"/>
        <rFont val="Calibri"/>
        <family val="2"/>
        <scheme val="minor"/>
      </rPr>
      <t xml:space="preserve"> ultrastructure for flow calculations</t>
    </r>
  </si>
  <si>
    <t>Cd-RR-ost-02</t>
  </si>
  <si>
    <t>Cd-RR-ost-08</t>
  </si>
  <si>
    <t>Cd-ost-04</t>
  </si>
  <si>
    <t>Cd-cho-19</t>
  </si>
  <si>
    <t>Cd-cho-26</t>
  </si>
  <si>
    <t>% prosopyle per chamber</t>
  </si>
  <si>
    <t>In Cliona the glycocalyx mesh connects each of the microvilli and connects each of the collars (like a gasket), forcing the water through very small openings in the collar</t>
  </si>
  <si>
    <t>Cd-RR-11</t>
  </si>
  <si>
    <t>Cd-cho-10</t>
  </si>
  <si>
    <t>Cd-cho-17</t>
  </si>
  <si>
    <t>Cd-cho-31</t>
  </si>
  <si>
    <t>Cd-cho-09</t>
  </si>
  <si>
    <t xml:space="preserve">number of chambers in one 15 um slice of the sponge 1mm^3 </t>
  </si>
  <si>
    <t>number of chambers in 1mm^3 (considering there are  66.66 slices 315um wide in the 1mm^3 piece of sponge</t>
  </si>
  <si>
    <t>Cd-cho-22</t>
  </si>
  <si>
    <t>Cd-RR-13</t>
  </si>
  <si>
    <t>Ratio of sponge to coral:</t>
  </si>
  <si>
    <t xml:space="preserve">Wet weight sponge + coral = </t>
  </si>
  <si>
    <t xml:space="preserve">Wet weight sponge only = </t>
  </si>
  <si>
    <t>Ratio (sponge+coral):sponge</t>
  </si>
  <si>
    <t>Cd-1-12um-Masson's-5x-01</t>
  </si>
  <si>
    <t>Osculum area (cm^2)</t>
  </si>
  <si>
    <t>Osculum area (um^2)</t>
  </si>
  <si>
    <t>Cd-1-12um-Masson's-40x-02</t>
  </si>
  <si>
    <t>** black is space leftover from coral skeleton</t>
  </si>
  <si>
    <t>Purple are canals - cannot differentiate between incurrent and excurrent</t>
  </si>
  <si>
    <t>CANALS</t>
  </si>
  <si>
    <t>SEM images did not have good examples of canals and so I used histology images instead</t>
  </si>
  <si>
    <t>Could not differentiate between incurrent and excurrent in histology images - could not see prosopyles or apopyles</t>
  </si>
  <si>
    <t>Therefore measured all canals and used them for both excurrent and incurrent</t>
  </si>
  <si>
    <t>Drawdown (umol/L)</t>
  </si>
  <si>
    <t>Per osculum:</t>
  </si>
  <si>
    <t>Type of opening</t>
  </si>
  <si>
    <t>Equation # in Riisgard and Larsen 1995</t>
  </si>
  <si>
    <t>Head loss (mm H20) as per Riisgard and Larsen 1995</t>
  </si>
  <si>
    <t>Head loss (um H20) as per Riisgard and Larsen 1995</t>
  </si>
  <si>
    <t>aperture</t>
  </si>
  <si>
    <t>channels/ducts</t>
  </si>
  <si>
    <t>d</t>
  </si>
  <si>
    <t>h1</t>
  </si>
  <si>
    <t>h2</t>
  </si>
  <si>
    <t>lattice - rectangular</t>
  </si>
  <si>
    <t>K</t>
  </si>
  <si>
    <t>τ</t>
  </si>
  <si>
    <t>h0</t>
  </si>
  <si>
    <t>h</t>
  </si>
  <si>
    <t>exit loss</t>
  </si>
  <si>
    <t>Using Riisgard and Larsen 1995</t>
  </si>
  <si>
    <t>For the lattice equation (17)</t>
  </si>
  <si>
    <t>Summary sheet for Cliona delitrix</t>
  </si>
  <si>
    <t>Morphometric model using the methods by Reiswig (1975), Riisgard et al. (1993), and Leys et al. (2011)</t>
  </si>
  <si>
    <t>Dimensions of each region of the aquiferous canal system were measured in Image J (see tabs for each region for a breakdown of the measurement process)</t>
  </si>
  <si>
    <t xml:space="preserve">Cross-sectional area of each region was estimated as per Reiswig (1975) and Leys et al. (2011). </t>
  </si>
  <si>
    <t>A 100 uL piece was used to estimate cross-sectional area, that has the dimensions of 4.5 mm x 4.5 mm x 5 mm</t>
  </si>
  <si>
    <t>Sponge volume was estimated based on image analysis (see tab)</t>
  </si>
  <si>
    <t>Velocity was estimated as per Reiswig (1975), using the relationship between cross-sectional area and velocity ((Cross-sectional area of osculum*velocity from osculum)/cross-sectional area of region)</t>
  </si>
  <si>
    <t>Head loss was calculated as per Riisgard et al. (1993), using different equations based on the region of the canal system.  This accounts for creeping flow and fluid dynamic differences when considering apertures, lattices, vs. pipes</t>
  </si>
  <si>
    <t>Pumping power and cost of filtration also estimated based on Riisgard et al. (1993)</t>
  </si>
  <si>
    <t>Sponge Volume analysis using images</t>
  </si>
  <si>
    <t>From osculum area estimates, estimate the volume and surface area based on the ratio of osculum sizes</t>
  </si>
  <si>
    <t>** Use these numbers for morphometric model</t>
  </si>
  <si>
    <t>Could not find any images for subdermal space in Cliona.  Images of ostia suggest that the ostia flow into canals.</t>
  </si>
  <si>
    <t>Using Leys et al 2011</t>
  </si>
  <si>
    <r>
      <t xml:space="preserve">% of total </t>
    </r>
    <r>
      <rPr>
        <sz val="10"/>
        <rFont val="Symbol"/>
        <family val="1"/>
      </rPr>
      <t>D</t>
    </r>
    <r>
      <rPr>
        <sz val="12"/>
        <rFont val="Calibri"/>
        <family val="2"/>
        <scheme val="minor"/>
      </rPr>
      <t>Head</t>
    </r>
  </si>
  <si>
    <t>Head loss (mmH20) as per Leys et al 2011</t>
  </si>
  <si>
    <t>Head loss (umH20) as per Leys et al 2011</t>
  </si>
</sst>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3" formatCode="_(* #,##0.00_);_(* \(#,##0.00\);_(* &quot;-&quot;??_);_(@_)"/>
    <numFmt numFmtId="164" formatCode="0.0"/>
    <numFmt numFmtId="165" formatCode="0.0000"/>
    <numFmt numFmtId="166" formatCode="0.000"/>
    <numFmt numFmtId="167" formatCode="_(* #,##0_);_(* \(#,##0\);_(* &quot;-&quot;??_);_(@_)"/>
    <numFmt numFmtId="168" formatCode="0.000000"/>
  </numFmts>
  <fonts count="27" x14ac:knownFonts="1">
    <font>
      <sz val="12"/>
      <color theme="1"/>
      <name val="Calibri"/>
      <family val="2"/>
      <scheme val="minor"/>
    </font>
    <font>
      <u/>
      <sz val="12"/>
      <color theme="10"/>
      <name val="Calibri"/>
      <family val="2"/>
      <scheme val="minor"/>
    </font>
    <font>
      <u/>
      <sz val="12"/>
      <color theme="11"/>
      <name val="Calibri"/>
      <family val="2"/>
      <scheme val="minor"/>
    </font>
    <font>
      <sz val="12"/>
      <color rgb="FF000000"/>
      <name val="Calibri"/>
      <family val="2"/>
      <scheme val="minor"/>
    </font>
    <font>
      <sz val="10"/>
      <name val="Arial"/>
      <family val="2"/>
    </font>
    <font>
      <sz val="10"/>
      <name val="Symbol"/>
      <family val="1"/>
    </font>
    <font>
      <sz val="12"/>
      <color rgb="FFFF0000"/>
      <name val="Calibri"/>
      <family val="2"/>
      <scheme val="minor"/>
    </font>
    <font>
      <b/>
      <sz val="12"/>
      <color theme="1"/>
      <name val="Calibri"/>
      <family val="2"/>
      <scheme val="minor"/>
    </font>
    <font>
      <b/>
      <sz val="9"/>
      <color indexed="81"/>
      <name val="Tahoma"/>
      <family val="2"/>
    </font>
    <font>
      <sz val="9"/>
      <color indexed="81"/>
      <name val="Tahoma"/>
      <family val="2"/>
    </font>
    <font>
      <sz val="9"/>
      <color indexed="81"/>
      <name val="Calibri"/>
      <family val="2"/>
    </font>
    <font>
      <b/>
      <sz val="9"/>
      <color indexed="81"/>
      <name val="Calibri"/>
      <family val="2"/>
    </font>
    <font>
      <b/>
      <sz val="10"/>
      <name val="Arial"/>
      <family val="2"/>
    </font>
    <font>
      <sz val="12"/>
      <color rgb="FF000000"/>
      <name val="Calibri"/>
      <family val="2"/>
    </font>
    <font>
      <sz val="12"/>
      <color rgb="FF006100"/>
      <name val="Calibri"/>
      <family val="2"/>
      <scheme val="minor"/>
    </font>
    <font>
      <b/>
      <sz val="12"/>
      <color rgb="FFFA7D00"/>
      <name val="Calibri"/>
      <family val="2"/>
      <scheme val="minor"/>
    </font>
    <font>
      <b/>
      <sz val="11"/>
      <color rgb="FF006100"/>
      <name val="Calibri"/>
      <family val="2"/>
    </font>
    <font>
      <b/>
      <sz val="10"/>
      <color indexed="17"/>
      <name val="Calibri"/>
      <family val="2"/>
    </font>
    <font>
      <b/>
      <sz val="10"/>
      <color indexed="17"/>
      <name val="Arial"/>
      <family val="2"/>
    </font>
    <font>
      <b/>
      <sz val="10"/>
      <color indexed="17"/>
      <name val="Symbol"/>
      <family val="1"/>
      <charset val="2"/>
    </font>
    <font>
      <sz val="11"/>
      <color rgb="FF006100"/>
      <name val="Calibri"/>
      <family val="2"/>
      <charset val="177"/>
      <scheme val="minor"/>
    </font>
    <font>
      <b/>
      <sz val="11"/>
      <color indexed="17"/>
      <name val="Symbol"/>
      <family val="1"/>
      <charset val="2"/>
    </font>
    <font>
      <sz val="11"/>
      <name val="Cambria"/>
      <family val="1"/>
      <scheme val="major"/>
    </font>
    <font>
      <u/>
      <sz val="12"/>
      <color theme="1"/>
      <name val="Calibri"/>
      <scheme val="minor"/>
    </font>
    <font>
      <b/>
      <sz val="16"/>
      <color theme="1"/>
      <name val="Calibri"/>
      <scheme val="minor"/>
    </font>
    <font>
      <sz val="12"/>
      <name val="Calibri"/>
      <family val="2"/>
      <scheme val="minor"/>
    </font>
    <font>
      <b/>
      <sz val="12"/>
      <name val="Calibri"/>
      <family val="2"/>
      <scheme val="minor"/>
    </font>
  </fonts>
  <fills count="19">
    <fill>
      <patternFill patternType="none"/>
    </fill>
    <fill>
      <patternFill patternType="gray125"/>
    </fill>
    <fill>
      <patternFill patternType="solid">
        <fgColor theme="6" tint="0.79998168889431442"/>
        <bgColor indexed="64"/>
      </patternFill>
    </fill>
    <fill>
      <patternFill patternType="solid">
        <fgColor theme="6" tint="0.39997558519241921"/>
        <bgColor indexed="64"/>
      </patternFill>
    </fill>
    <fill>
      <patternFill patternType="solid">
        <fgColor theme="4" tint="0.79998168889431442"/>
        <bgColor indexed="64"/>
      </patternFill>
    </fill>
    <fill>
      <patternFill patternType="solid">
        <fgColor theme="6" tint="-0.249977111117893"/>
        <bgColor indexed="64"/>
      </patternFill>
    </fill>
    <fill>
      <patternFill patternType="solid">
        <fgColor theme="2"/>
        <bgColor indexed="64"/>
      </patternFill>
    </fill>
    <fill>
      <patternFill patternType="solid">
        <fgColor theme="9" tint="0.79998168889431442"/>
        <bgColor indexed="64"/>
      </patternFill>
    </fill>
    <fill>
      <patternFill patternType="solid">
        <fgColor rgb="FFC6EFCE"/>
      </patternFill>
    </fill>
    <fill>
      <patternFill patternType="solid">
        <fgColor rgb="FFF2F2F2"/>
      </patternFill>
    </fill>
    <fill>
      <patternFill patternType="solid">
        <fgColor indexed="50"/>
        <bgColor indexed="64"/>
      </patternFill>
    </fill>
    <fill>
      <patternFill patternType="solid">
        <fgColor theme="0" tint="-4.9989318521683403E-2"/>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CC0DA"/>
        <bgColor rgb="FF000000"/>
      </patternFill>
    </fill>
    <fill>
      <patternFill patternType="solid">
        <fgColor rgb="FFFCD5B4"/>
        <bgColor rgb="FF000000"/>
      </patternFill>
    </fill>
    <fill>
      <patternFill patternType="solid">
        <fgColor theme="8" tint="0.79998168889431442"/>
        <bgColor indexed="64"/>
      </patternFill>
    </fill>
    <fill>
      <patternFill patternType="solid">
        <fgColor theme="5" tint="0.79998168889431442"/>
        <bgColor indexed="64"/>
      </patternFill>
    </fill>
  </fills>
  <borders count="28">
    <border>
      <left/>
      <right/>
      <top/>
      <bottom/>
      <diagonal/>
    </border>
    <border>
      <left/>
      <right/>
      <top style="thin">
        <color auto="1"/>
      </top>
      <bottom style="thin">
        <color auto="1"/>
      </bottom>
      <diagonal/>
    </border>
    <border>
      <left/>
      <right/>
      <top style="thin">
        <color auto="1"/>
      </top>
      <bottom style="medium">
        <color auto="1"/>
      </bottom>
      <diagonal/>
    </border>
    <border>
      <left/>
      <right/>
      <top style="thin">
        <color auto="1"/>
      </top>
      <bottom style="double">
        <color auto="1"/>
      </bottom>
      <diagonal/>
    </border>
    <border>
      <left/>
      <right/>
      <top/>
      <bottom style="thin">
        <color auto="1"/>
      </bottom>
      <diagonal/>
    </border>
    <border>
      <left/>
      <right/>
      <top style="thin">
        <color auto="1"/>
      </top>
      <bottom/>
      <diagonal/>
    </border>
    <border>
      <left/>
      <right/>
      <top/>
      <bottom style="medium">
        <color auto="1"/>
      </bottom>
      <diagonal/>
    </border>
    <border>
      <left/>
      <right/>
      <top/>
      <bottom style="double">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double">
        <color auto="1"/>
      </bottom>
      <diagonal/>
    </border>
    <border>
      <left/>
      <right style="thin">
        <color auto="1"/>
      </right>
      <top/>
      <bottom style="double">
        <color auto="1"/>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style="hair">
        <color auto="1"/>
      </left>
      <right style="hair">
        <color auto="1"/>
      </right>
      <top style="hair">
        <color auto="1"/>
      </top>
      <bottom style="hair">
        <color auto="1"/>
      </bottom>
      <diagonal/>
    </border>
    <border>
      <left style="hair">
        <color auto="1"/>
      </left>
      <right style="hair">
        <color auto="1"/>
      </right>
      <top style="thin">
        <color auto="1"/>
      </top>
      <bottom style="double">
        <color auto="1"/>
      </bottom>
      <diagonal/>
    </border>
    <border>
      <left style="thin">
        <color auto="1"/>
      </left>
      <right style="thin">
        <color auto="1"/>
      </right>
      <top style="thin">
        <color auto="1"/>
      </top>
      <bottom style="thin">
        <color auto="1"/>
      </bottom>
      <diagonal/>
    </border>
    <border>
      <left style="hair">
        <color auto="1"/>
      </left>
      <right style="hair">
        <color auto="1"/>
      </right>
      <top style="hair">
        <color auto="1"/>
      </top>
      <bottom/>
      <diagonal/>
    </border>
    <border>
      <left style="hair">
        <color auto="1"/>
      </left>
      <right/>
      <top style="hair">
        <color auto="1"/>
      </top>
      <bottom style="hair">
        <color auto="1"/>
      </bottom>
      <diagonal/>
    </border>
    <border>
      <left style="thin">
        <color rgb="FF7F7F7F"/>
      </left>
      <right style="thin">
        <color rgb="FF7F7F7F"/>
      </right>
      <top style="thin">
        <color rgb="FF7F7F7F"/>
      </top>
      <bottom style="thin">
        <color rgb="FF7F7F7F"/>
      </bottom>
      <diagonal/>
    </border>
    <border>
      <left style="thin">
        <color auto="1"/>
      </left>
      <right style="thin">
        <color rgb="FF7F7F7F"/>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hair">
        <color auto="1"/>
      </left>
      <right style="hair">
        <color auto="1"/>
      </right>
      <top/>
      <bottom/>
      <diagonal/>
    </border>
    <border>
      <left/>
      <right style="thin">
        <color auto="1"/>
      </right>
      <top style="thin">
        <color auto="1"/>
      </top>
      <bottom style="double">
        <color auto="1"/>
      </bottom>
      <diagonal/>
    </border>
    <border>
      <left style="thin">
        <color auto="1"/>
      </left>
      <right/>
      <top style="thin">
        <color auto="1"/>
      </top>
      <bottom style="double">
        <color auto="1"/>
      </bottom>
      <diagonal/>
    </border>
  </borders>
  <cellStyleXfs count="2565">
    <xf numFmtId="0" fontId="0" fillId="0" borderId="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4" fillId="8" borderId="0" applyNumberFormat="0" applyBorder="0" applyAlignment="0" applyProtection="0"/>
    <xf numFmtId="0" fontId="15" fillId="9" borderId="21" applyNumberFormat="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20" fillId="8" borderId="0" applyNumberFormat="0" applyBorder="0" applyAlignment="0" applyProtection="0"/>
    <xf numFmtId="43" fontId="4" fillId="0" borderId="0" applyFon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cellStyleXfs>
  <cellXfs count="239">
    <xf numFmtId="0" fontId="0" fillId="0" borderId="0" xfId="0"/>
    <xf numFmtId="0" fontId="0" fillId="0" borderId="1" xfId="0" applyBorder="1"/>
    <xf numFmtId="0" fontId="0" fillId="0" borderId="0" xfId="0" applyAlignment="1">
      <alignment wrapText="1"/>
    </xf>
    <xf numFmtId="0" fontId="3" fillId="0" borderId="0" xfId="0" applyFont="1"/>
    <xf numFmtId="0" fontId="4" fillId="0" borderId="0" xfId="0" applyFont="1" applyFill="1" applyBorder="1" applyAlignment="1">
      <alignment wrapText="1"/>
    </xf>
    <xf numFmtId="0" fontId="4" fillId="0" borderId="0" xfId="0" applyFont="1" applyFill="1" applyAlignment="1">
      <alignment wrapText="1"/>
    </xf>
    <xf numFmtId="0" fontId="0" fillId="3" borderId="0" xfId="0" applyFill="1"/>
    <xf numFmtId="0" fontId="0" fillId="0" borderId="5" xfId="0" applyBorder="1"/>
    <xf numFmtId="0" fontId="0" fillId="0" borderId="0" xfId="0" applyBorder="1"/>
    <xf numFmtId="0" fontId="0" fillId="3" borderId="3" xfId="0" applyFill="1" applyBorder="1" applyAlignment="1">
      <alignment wrapText="1"/>
    </xf>
    <xf numFmtId="0" fontId="0" fillId="3" borderId="1" xfId="0" applyFill="1" applyBorder="1"/>
    <xf numFmtId="0" fontId="0" fillId="0" borderId="0" xfId="0" applyFill="1" applyBorder="1"/>
    <xf numFmtId="0" fontId="6" fillId="0" borderId="0" xfId="0" applyFont="1"/>
    <xf numFmtId="0" fontId="6" fillId="0" borderId="0" xfId="0" applyFont="1" applyFill="1" applyBorder="1"/>
    <xf numFmtId="0" fontId="6" fillId="0" borderId="0" xfId="0" applyFont="1" applyBorder="1"/>
    <xf numFmtId="0" fontId="0" fillId="3" borderId="0" xfId="0" applyFill="1" applyAlignment="1">
      <alignment wrapText="1"/>
    </xf>
    <xf numFmtId="0" fontId="0" fillId="0" borderId="3" xfId="0" applyBorder="1"/>
    <xf numFmtId="0" fontId="0" fillId="0" borderId="0" xfId="0" applyFill="1"/>
    <xf numFmtId="0" fontId="0" fillId="0" borderId="7" xfId="0" applyBorder="1" applyAlignment="1">
      <alignment wrapText="1"/>
    </xf>
    <xf numFmtId="0" fontId="0" fillId="4" borderId="10" xfId="0" applyFill="1" applyBorder="1" applyAlignment="1">
      <alignment wrapText="1"/>
    </xf>
    <xf numFmtId="0" fontId="0" fillId="4" borderId="11" xfId="0" applyFill="1" applyBorder="1" applyAlignment="1">
      <alignment wrapText="1"/>
    </xf>
    <xf numFmtId="0" fontId="0" fillId="4" borderId="12" xfId="0" applyFill="1" applyBorder="1" applyAlignment="1">
      <alignment horizontal="right"/>
    </xf>
    <xf numFmtId="0" fontId="0" fillId="4" borderId="13" xfId="0" applyFill="1" applyBorder="1"/>
    <xf numFmtId="2" fontId="0" fillId="4" borderId="12" xfId="0" applyNumberFormat="1" applyFill="1" applyBorder="1" applyAlignment="1">
      <alignment horizontal="right"/>
    </xf>
    <xf numFmtId="0" fontId="0" fillId="4" borderId="12" xfId="0" applyFill="1" applyBorder="1"/>
    <xf numFmtId="0" fontId="0" fillId="4" borderId="14" xfId="0" applyFill="1" applyBorder="1"/>
    <xf numFmtId="0" fontId="0" fillId="4" borderId="15" xfId="0" applyFill="1" applyBorder="1"/>
    <xf numFmtId="0" fontId="0" fillId="2" borderId="10" xfId="0" applyFill="1" applyBorder="1" applyAlignment="1">
      <alignment wrapText="1"/>
    </xf>
    <xf numFmtId="0" fontId="0" fillId="2" borderId="11" xfId="0" applyFill="1" applyBorder="1" applyAlignment="1">
      <alignment wrapText="1"/>
    </xf>
    <xf numFmtId="0" fontId="0" fillId="0" borderId="0" xfId="0" applyFill="1" applyBorder="1" applyAlignment="1">
      <alignment wrapText="1"/>
    </xf>
    <xf numFmtId="0" fontId="7" fillId="0" borderId="0" xfId="0" applyFont="1"/>
    <xf numFmtId="0" fontId="7" fillId="0" borderId="1" xfId="0" applyFont="1" applyBorder="1"/>
    <xf numFmtId="0" fontId="7" fillId="0" borderId="0" xfId="0" applyFont="1" applyBorder="1"/>
    <xf numFmtId="0" fontId="7" fillId="0" borderId="0" xfId="0" applyFont="1" applyFill="1" applyBorder="1"/>
    <xf numFmtId="0" fontId="12" fillId="0" borderId="0" xfId="0" applyFont="1"/>
    <xf numFmtId="2" fontId="12" fillId="0" borderId="0" xfId="0" applyNumberFormat="1" applyFont="1" applyFill="1" applyBorder="1"/>
    <xf numFmtId="2" fontId="0" fillId="0" borderId="0" xfId="0" applyNumberFormat="1" applyFill="1" applyBorder="1"/>
    <xf numFmtId="164" fontId="0" fillId="0" borderId="0" xfId="0" applyNumberFormat="1" applyFill="1" applyBorder="1"/>
    <xf numFmtId="165" fontId="12" fillId="0" borderId="0" xfId="0" applyNumberFormat="1" applyFont="1" applyFill="1" applyBorder="1"/>
    <xf numFmtId="0" fontId="0" fillId="5" borderId="0" xfId="0" applyFill="1" applyBorder="1"/>
    <xf numFmtId="0" fontId="0" fillId="5" borderId="6" xfId="0" applyFill="1" applyBorder="1"/>
    <xf numFmtId="2" fontId="0" fillId="2" borderId="12" xfId="0" applyNumberFormat="1" applyFill="1" applyBorder="1"/>
    <xf numFmtId="2" fontId="0" fillId="2" borderId="14" xfId="0" applyNumberFormat="1" applyFill="1" applyBorder="1"/>
    <xf numFmtId="0" fontId="0" fillId="6" borderId="3" xfId="0" applyFill="1" applyBorder="1"/>
    <xf numFmtId="0" fontId="0" fillId="6" borderId="3" xfId="0" applyFill="1" applyBorder="1" applyAlignment="1">
      <alignment wrapText="1"/>
    </xf>
    <xf numFmtId="0" fontId="0" fillId="6" borderId="17" xfId="0" applyFill="1" applyBorder="1" applyAlignment="1">
      <alignment wrapText="1"/>
    </xf>
    <xf numFmtId="0" fontId="0" fillId="0" borderId="0" xfId="0" applyAlignment="1">
      <alignment horizontal="left"/>
    </xf>
    <xf numFmtId="0" fontId="0" fillId="0" borderId="4" xfId="0" applyBorder="1"/>
    <xf numFmtId="0" fontId="0" fillId="0" borderId="0" xfId="0" applyFont="1" applyFill="1" applyBorder="1"/>
    <xf numFmtId="0" fontId="0" fillId="2" borderId="2" xfId="0" applyFill="1" applyBorder="1"/>
    <xf numFmtId="0" fontId="0" fillId="2" borderId="2" xfId="0" applyFill="1" applyBorder="1" applyAlignment="1">
      <alignment wrapText="1"/>
    </xf>
    <xf numFmtId="0" fontId="0" fillId="2" borderId="0" xfId="0" applyFill="1"/>
    <xf numFmtId="0" fontId="0" fillId="2" borderId="0" xfId="0" applyFill="1" applyBorder="1"/>
    <xf numFmtId="0" fontId="0" fillId="2" borderId="18" xfId="0" applyFill="1" applyBorder="1"/>
    <xf numFmtId="0" fontId="0" fillId="2" borderId="18" xfId="0" applyFill="1" applyBorder="1" applyAlignment="1">
      <alignment wrapText="1"/>
    </xf>
    <xf numFmtId="0" fontId="0" fillId="2" borderId="3" xfId="0" applyFill="1" applyBorder="1"/>
    <xf numFmtId="0" fontId="0" fillId="2" borderId="17" xfId="0" applyFill="1" applyBorder="1" applyAlignment="1">
      <alignment wrapText="1"/>
    </xf>
    <xf numFmtId="0" fontId="12" fillId="7" borderId="16" xfId="0" applyFont="1" applyFill="1" applyBorder="1" applyAlignment="1">
      <alignment wrapText="1"/>
    </xf>
    <xf numFmtId="0" fontId="12" fillId="7" borderId="19" xfId="0" applyFont="1" applyFill="1" applyBorder="1" applyAlignment="1">
      <alignment wrapText="1"/>
    </xf>
    <xf numFmtId="0" fontId="0" fillId="0" borderId="16" xfId="0" applyFill="1" applyBorder="1"/>
    <xf numFmtId="2" fontId="0" fillId="0" borderId="0" xfId="0" applyNumberFormat="1"/>
    <xf numFmtId="11" fontId="0" fillId="0" borderId="0" xfId="0" applyNumberFormat="1"/>
    <xf numFmtId="11" fontId="0" fillId="0" borderId="4" xfId="0" applyNumberFormat="1" applyBorder="1"/>
    <xf numFmtId="0" fontId="0" fillId="6" borderId="0" xfId="0" applyFill="1" applyAlignment="1">
      <alignment wrapText="1"/>
    </xf>
    <xf numFmtId="0" fontId="0" fillId="2" borderId="0" xfId="0" applyFill="1" applyAlignment="1">
      <alignment wrapText="1"/>
    </xf>
    <xf numFmtId="0" fontId="4" fillId="2" borderId="0" xfId="0" applyFont="1" applyFill="1" applyAlignment="1">
      <alignment wrapText="1"/>
    </xf>
    <xf numFmtId="0" fontId="4" fillId="0" borderId="4" xfId="0" applyFont="1" applyBorder="1"/>
    <xf numFmtId="0" fontId="12" fillId="10" borderId="1" xfId="0" applyFont="1" applyFill="1" applyBorder="1"/>
    <xf numFmtId="2" fontId="12" fillId="10" borderId="1" xfId="0" applyNumberFormat="1" applyFont="1" applyFill="1" applyBorder="1"/>
    <xf numFmtId="0" fontId="0" fillId="10" borderId="1" xfId="0" applyFill="1" applyBorder="1"/>
    <xf numFmtId="2" fontId="0" fillId="10" borderId="1" xfId="0" applyNumberFormat="1" applyFill="1" applyBorder="1"/>
    <xf numFmtId="0" fontId="4" fillId="0" borderId="1" xfId="0" applyFont="1" applyBorder="1" applyAlignment="1">
      <alignment wrapText="1"/>
    </xf>
    <xf numFmtId="0" fontId="0" fillId="0" borderId="1" xfId="0" applyBorder="1" applyAlignment="1">
      <alignment wrapText="1"/>
    </xf>
    <xf numFmtId="0" fontId="4" fillId="0" borderId="0" xfId="0" applyFont="1"/>
    <xf numFmtId="0" fontId="4" fillId="0" borderId="0" xfId="0" applyFont="1" applyAlignment="1">
      <alignment horizontal="center"/>
    </xf>
    <xf numFmtId="0" fontId="4" fillId="0" borderId="0" xfId="0" applyFont="1" applyFill="1"/>
    <xf numFmtId="0" fontId="16" fillId="11" borderId="18" xfId="1631" applyFont="1" applyFill="1" applyBorder="1" applyAlignment="1">
      <alignment horizontal="right" wrapText="1"/>
    </xf>
    <xf numFmtId="0" fontId="16" fillId="11" borderId="18" xfId="1631" applyFont="1" applyFill="1" applyBorder="1" applyAlignment="1">
      <alignment wrapText="1"/>
    </xf>
    <xf numFmtId="0" fontId="17" fillId="11" borderId="18" xfId="1631" applyFont="1" applyFill="1" applyBorder="1" applyAlignment="1">
      <alignment wrapText="1"/>
    </xf>
    <xf numFmtId="0" fontId="16" fillId="11" borderId="18" xfId="1863" applyFont="1" applyFill="1" applyBorder="1" applyAlignment="1">
      <alignment horizontal="right" wrapText="1"/>
    </xf>
    <xf numFmtId="0" fontId="15" fillId="9" borderId="18" xfId="1632" applyBorder="1" applyAlignment="1">
      <alignment horizontal="left" wrapText="1"/>
    </xf>
    <xf numFmtId="0" fontId="15" fillId="9" borderId="18" xfId="1632" applyBorder="1" applyAlignment="1">
      <alignment horizontal="center" wrapText="1"/>
    </xf>
    <xf numFmtId="11" fontId="16" fillId="11" borderId="18" xfId="1631" applyNumberFormat="1" applyFont="1" applyFill="1" applyBorder="1" applyAlignment="1">
      <alignment wrapText="1"/>
    </xf>
    <xf numFmtId="0" fontId="15" fillId="9" borderId="22" xfId="1632" applyBorder="1" applyAlignment="1">
      <alignment horizontal="center" wrapText="1"/>
    </xf>
    <xf numFmtId="0" fontId="12" fillId="11" borderId="18" xfId="0" applyFont="1" applyFill="1" applyBorder="1" applyAlignment="1">
      <alignment wrapText="1"/>
    </xf>
    <xf numFmtId="0" fontId="4" fillId="3" borderId="4" xfId="0" applyFont="1" applyFill="1" applyBorder="1" applyAlignment="1">
      <alignment wrapText="1"/>
    </xf>
    <xf numFmtId="166" fontId="16" fillId="11" borderId="18" xfId="1631" applyNumberFormat="1" applyFont="1" applyFill="1" applyBorder="1" applyAlignment="1">
      <alignment horizontal="right" wrapText="1"/>
    </xf>
    <xf numFmtId="0" fontId="12" fillId="3" borderId="4" xfId="0" applyFont="1" applyFill="1" applyBorder="1" applyAlignment="1">
      <alignment horizontal="center" wrapText="1"/>
    </xf>
    <xf numFmtId="2" fontId="4" fillId="0" borderId="0" xfId="0" applyNumberFormat="1" applyFont="1"/>
    <xf numFmtId="2" fontId="0" fillId="0" borderId="0" xfId="0" applyNumberFormat="1" applyFill="1"/>
    <xf numFmtId="0" fontId="0" fillId="0" borderId="0" xfId="0" applyFill="1" applyAlignment="1">
      <alignment wrapText="1"/>
    </xf>
    <xf numFmtId="0" fontId="3" fillId="0" borderId="0" xfId="0" applyFont="1" applyFill="1" applyBorder="1"/>
    <xf numFmtId="166" fontId="0" fillId="0" borderId="0" xfId="0" applyNumberFormat="1" applyFill="1" applyBorder="1"/>
    <xf numFmtId="0" fontId="0" fillId="6" borderId="16" xfId="0" applyFill="1" applyBorder="1"/>
    <xf numFmtId="0" fontId="0" fillId="6" borderId="16" xfId="0" applyFill="1" applyBorder="1" applyAlignment="1">
      <alignment wrapText="1"/>
    </xf>
    <xf numFmtId="0" fontId="0" fillId="6" borderId="25" xfId="0" applyFill="1" applyBorder="1" applyAlignment="1">
      <alignment wrapText="1"/>
    </xf>
    <xf numFmtId="0" fontId="0" fillId="0" borderId="0" xfId="0" applyAlignment="1">
      <alignment horizontal="right"/>
    </xf>
    <xf numFmtId="0" fontId="12" fillId="6" borderId="4" xfId="0" applyFont="1" applyFill="1" applyBorder="1"/>
    <xf numFmtId="0" fontId="0" fillId="6" borderId="4" xfId="0" applyFill="1" applyBorder="1"/>
    <xf numFmtId="0" fontId="12" fillId="0" borderId="0" xfId="0" applyFont="1" applyAlignment="1"/>
    <xf numFmtId="0" fontId="0" fillId="12" borderId="0" xfId="0" applyFill="1"/>
    <xf numFmtId="0" fontId="4" fillId="11" borderId="23" xfId="0" applyFont="1" applyFill="1" applyBorder="1"/>
    <xf numFmtId="0" fontId="4" fillId="11" borderId="12" xfId="0" applyFont="1" applyFill="1" applyBorder="1"/>
    <xf numFmtId="0" fontId="4" fillId="11" borderId="14" xfId="0" applyFont="1" applyFill="1" applyBorder="1"/>
    <xf numFmtId="0" fontId="12" fillId="2" borderId="0" xfId="0" applyFont="1" applyFill="1" applyAlignment="1">
      <alignment horizontal="left"/>
    </xf>
    <xf numFmtId="0" fontId="7" fillId="2" borderId="0" xfId="0" applyFont="1" applyFill="1"/>
    <xf numFmtId="0" fontId="0" fillId="13" borderId="0" xfId="0" applyFill="1"/>
    <xf numFmtId="2" fontId="0" fillId="13" borderId="0" xfId="0" applyNumberFormat="1" applyFill="1"/>
    <xf numFmtId="1" fontId="0" fillId="13" borderId="0" xfId="0" applyNumberFormat="1" applyFill="1"/>
    <xf numFmtId="0" fontId="0" fillId="14" borderId="0" xfId="0" applyFill="1"/>
    <xf numFmtId="166" fontId="16" fillId="13" borderId="18" xfId="1631" applyNumberFormat="1" applyFont="1" applyFill="1" applyBorder="1" applyAlignment="1">
      <alignment horizontal="right"/>
    </xf>
    <xf numFmtId="0" fontId="16" fillId="13" borderId="18" xfId="1631" applyFont="1" applyFill="1" applyBorder="1" applyAlignment="1">
      <alignment horizontal="right" wrapText="1"/>
    </xf>
    <xf numFmtId="2" fontId="16" fillId="13" borderId="18" xfId="1631" applyNumberFormat="1" applyFont="1" applyFill="1" applyBorder="1" applyAlignment="1">
      <alignment horizontal="right" wrapText="1"/>
    </xf>
    <xf numFmtId="2" fontId="4" fillId="13" borderId="0" xfId="0" applyNumberFormat="1" applyFont="1" applyFill="1"/>
    <xf numFmtId="0" fontId="4" fillId="13" borderId="0" xfId="0" applyFont="1" applyFill="1"/>
    <xf numFmtId="2" fontId="16" fillId="14" borderId="18" xfId="1631" applyNumberFormat="1" applyFont="1" applyFill="1" applyBorder="1" applyAlignment="1">
      <alignment wrapText="1"/>
    </xf>
    <xf numFmtId="1" fontId="16" fillId="14" borderId="18" xfId="1631" applyNumberFormat="1" applyFont="1" applyFill="1" applyBorder="1" applyAlignment="1">
      <alignment wrapText="1"/>
    </xf>
    <xf numFmtId="165" fontId="16" fillId="14" borderId="18" xfId="1631" applyNumberFormat="1" applyFont="1" applyFill="1" applyBorder="1" applyAlignment="1">
      <alignment wrapText="1"/>
    </xf>
    <xf numFmtId="167" fontId="16" fillId="14" borderId="18" xfId="1864" applyNumberFormat="1" applyFont="1" applyFill="1" applyBorder="1"/>
    <xf numFmtId="11" fontId="16" fillId="14" borderId="18" xfId="1631" applyNumberFormat="1" applyFont="1" applyFill="1" applyBorder="1" applyAlignment="1">
      <alignment wrapText="1"/>
    </xf>
    <xf numFmtId="0" fontId="12" fillId="13" borderId="18" xfId="0" applyFont="1" applyFill="1" applyBorder="1"/>
    <xf numFmtId="165" fontId="15" fillId="13" borderId="18" xfId="1632" applyNumberFormat="1" applyFill="1" applyBorder="1"/>
    <xf numFmtId="168" fontId="15" fillId="13" borderId="22" xfId="1632" applyNumberFormat="1" applyFill="1" applyBorder="1"/>
    <xf numFmtId="2" fontId="4" fillId="13" borderId="24" xfId="0" applyNumberFormat="1" applyFont="1" applyFill="1" applyBorder="1"/>
    <xf numFmtId="2" fontId="4" fillId="13" borderId="13" xfId="0" applyNumberFormat="1" applyFont="1" applyFill="1" applyBorder="1"/>
    <xf numFmtId="0" fontId="4" fillId="13" borderId="13" xfId="0" applyFont="1" applyFill="1" applyBorder="1"/>
    <xf numFmtId="164" fontId="4" fillId="13" borderId="15" xfId="0" applyNumberFormat="1" applyFont="1" applyFill="1" applyBorder="1"/>
    <xf numFmtId="0" fontId="0" fillId="13" borderId="23" xfId="0" applyFill="1" applyBorder="1"/>
    <xf numFmtId="0" fontId="0" fillId="13" borderId="5" xfId="0" applyFill="1" applyBorder="1"/>
    <xf numFmtId="2" fontId="0" fillId="13" borderId="5" xfId="0" applyNumberFormat="1" applyFill="1" applyBorder="1"/>
    <xf numFmtId="0" fontId="0" fillId="13" borderId="12" xfId="0" applyFill="1" applyBorder="1"/>
    <xf numFmtId="0" fontId="0" fillId="13" borderId="0" xfId="0" applyFill="1" applyBorder="1"/>
    <xf numFmtId="0" fontId="0" fillId="13" borderId="14" xfId="0" applyFill="1" applyBorder="1"/>
    <xf numFmtId="0" fontId="0" fillId="13" borderId="4" xfId="0" applyFill="1" applyBorder="1"/>
    <xf numFmtId="2" fontId="0" fillId="13" borderId="4" xfId="0" applyNumberFormat="1" applyFill="1" applyBorder="1"/>
    <xf numFmtId="0" fontId="12" fillId="12" borderId="23" xfId="0" applyFont="1" applyFill="1" applyBorder="1" applyAlignment="1">
      <alignment horizontal="left"/>
    </xf>
    <xf numFmtId="0" fontId="0" fillId="12" borderId="24" xfId="0" applyFill="1" applyBorder="1"/>
    <xf numFmtId="0" fontId="0" fillId="12" borderId="12" xfId="0" applyFill="1" applyBorder="1"/>
    <xf numFmtId="0" fontId="0" fillId="12" borderId="13" xfId="0" applyFill="1" applyBorder="1"/>
    <xf numFmtId="0" fontId="12" fillId="12" borderId="14" xfId="0" applyFont="1" applyFill="1" applyBorder="1" applyAlignment="1">
      <alignment horizontal="left"/>
    </xf>
    <xf numFmtId="0" fontId="0" fillId="12" borderId="15" xfId="0" applyFill="1" applyBorder="1"/>
    <xf numFmtId="0" fontId="0" fillId="13" borderId="2" xfId="0" applyFill="1" applyBorder="1"/>
    <xf numFmtId="0" fontId="0" fillId="14" borderId="0" xfId="0" applyFill="1" applyBorder="1"/>
    <xf numFmtId="165" fontId="4" fillId="14" borderId="0" xfId="0" applyNumberFormat="1" applyFont="1" applyFill="1" applyBorder="1"/>
    <xf numFmtId="164" fontId="0" fillId="14" borderId="0" xfId="0" applyNumberFormat="1" applyFill="1" applyBorder="1"/>
    <xf numFmtId="0" fontId="0" fillId="14" borderId="0" xfId="0" applyFill="1" applyBorder="1" applyAlignment="1">
      <alignment wrapText="1"/>
    </xf>
    <xf numFmtId="0" fontId="0" fillId="14" borderId="4" xfId="0" applyFill="1" applyBorder="1"/>
    <xf numFmtId="0" fontId="0" fillId="13" borderId="1" xfId="0" applyFill="1" applyBorder="1"/>
    <xf numFmtId="164" fontId="0" fillId="13" borderId="1" xfId="0" applyNumberFormat="1" applyFill="1" applyBorder="1"/>
    <xf numFmtId="165" fontId="0" fillId="13" borderId="0" xfId="0" applyNumberFormat="1" applyFill="1" applyBorder="1"/>
    <xf numFmtId="164" fontId="0" fillId="13" borderId="0" xfId="0" applyNumberFormat="1" applyFill="1" applyBorder="1"/>
    <xf numFmtId="0" fontId="0" fillId="13" borderId="6" xfId="0" applyFill="1" applyBorder="1"/>
    <xf numFmtId="0" fontId="7" fillId="13" borderId="1" xfId="0" applyFont="1" applyFill="1" applyBorder="1"/>
    <xf numFmtId="0" fontId="7" fillId="13" borderId="5" xfId="0" applyFont="1" applyFill="1" applyBorder="1"/>
    <xf numFmtId="0" fontId="7" fillId="13" borderId="0" xfId="0" applyFont="1" applyFill="1"/>
    <xf numFmtId="0" fontId="7" fillId="13" borderId="0" xfId="0" applyFont="1" applyFill="1" applyBorder="1"/>
    <xf numFmtId="0" fontId="0" fillId="14" borderId="18" xfId="0" applyFill="1" applyBorder="1"/>
    <xf numFmtId="2" fontId="0" fillId="13" borderId="18" xfId="0" applyNumberFormat="1" applyFill="1" applyBorder="1"/>
    <xf numFmtId="2" fontId="0" fillId="14" borderId="16" xfId="0" applyNumberFormat="1" applyFill="1" applyBorder="1"/>
    <xf numFmtId="0" fontId="0" fillId="14" borderId="20" xfId="0" applyFill="1" applyBorder="1"/>
    <xf numFmtId="0" fontId="3" fillId="14" borderId="0" xfId="0" applyFont="1" applyFill="1"/>
    <xf numFmtId="0" fontId="0" fillId="13" borderId="8" xfId="0" applyFill="1" applyBorder="1"/>
    <xf numFmtId="0" fontId="0" fillId="13" borderId="9" xfId="0" applyFill="1" applyBorder="1"/>
    <xf numFmtId="0" fontId="0" fillId="13" borderId="0" xfId="0" applyFill="1" applyAlignment="1">
      <alignment wrapText="1"/>
    </xf>
    <xf numFmtId="0" fontId="0" fillId="14" borderId="5" xfId="0" applyFill="1" applyBorder="1"/>
    <xf numFmtId="2" fontId="0" fillId="13" borderId="0" xfId="0" applyNumberFormat="1" applyFill="1" applyBorder="1"/>
    <xf numFmtId="0" fontId="0" fillId="2" borderId="7" xfId="0" applyFill="1" applyBorder="1" applyAlignment="1">
      <alignment wrapText="1"/>
    </xf>
    <xf numFmtId="2" fontId="0" fillId="2" borderId="0" xfId="0" applyNumberFormat="1" applyFill="1" applyBorder="1"/>
    <xf numFmtId="0" fontId="0" fillId="4" borderId="7" xfId="0" applyFill="1" applyBorder="1" applyAlignment="1">
      <alignment wrapText="1"/>
    </xf>
    <xf numFmtId="0" fontId="0" fillId="4" borderId="0" xfId="0" applyFill="1" applyBorder="1"/>
    <xf numFmtId="0" fontId="0" fillId="4" borderId="4" xfId="0" applyFill="1" applyBorder="1"/>
    <xf numFmtId="2" fontId="0" fillId="4" borderId="0" xfId="0" applyNumberFormat="1" applyFill="1" applyBorder="1"/>
    <xf numFmtId="2" fontId="0" fillId="4" borderId="4" xfId="0" applyNumberFormat="1" applyFill="1" applyBorder="1"/>
    <xf numFmtId="2" fontId="0" fillId="2" borderId="4" xfId="0" applyNumberFormat="1" applyFill="1" applyBorder="1"/>
    <xf numFmtId="0" fontId="0" fillId="0" borderId="12" xfId="0" applyBorder="1"/>
    <xf numFmtId="0" fontId="0" fillId="0" borderId="14" xfId="0" applyBorder="1"/>
    <xf numFmtId="0" fontId="0" fillId="0" borderId="10" xfId="0" applyBorder="1" applyAlignment="1">
      <alignment wrapText="1"/>
    </xf>
    <xf numFmtId="0" fontId="0" fillId="0" borderId="8" xfId="0" applyBorder="1"/>
    <xf numFmtId="0" fontId="0" fillId="2" borderId="26" xfId="0" applyFill="1" applyBorder="1" applyAlignment="1">
      <alignment wrapText="1"/>
    </xf>
    <xf numFmtId="0" fontId="0" fillId="4" borderId="0" xfId="0" applyNumberFormat="1" applyFill="1" applyBorder="1"/>
    <xf numFmtId="0" fontId="0" fillId="4" borderId="4" xfId="0" applyNumberFormat="1" applyFill="1" applyBorder="1"/>
    <xf numFmtId="0" fontId="0" fillId="2" borderId="13" xfId="0" applyNumberFormat="1" applyFill="1" applyBorder="1"/>
    <xf numFmtId="0" fontId="0" fillId="2" borderId="15" xfId="0" applyNumberFormat="1" applyFill="1" applyBorder="1"/>
    <xf numFmtId="0" fontId="0" fillId="13" borderId="7" xfId="0" applyFill="1" applyBorder="1" applyAlignment="1">
      <alignment wrapText="1"/>
    </xf>
    <xf numFmtId="2" fontId="0" fillId="13" borderId="12" xfId="0" applyNumberFormat="1" applyFill="1" applyBorder="1"/>
    <xf numFmtId="0" fontId="0" fillId="13" borderId="13" xfId="0" applyFill="1" applyBorder="1"/>
    <xf numFmtId="2" fontId="0" fillId="13" borderId="14" xfId="0" applyNumberFormat="1" applyFill="1" applyBorder="1"/>
    <xf numFmtId="0" fontId="0" fillId="13" borderId="15" xfId="0" applyFill="1" applyBorder="1"/>
    <xf numFmtId="0" fontId="13" fillId="13" borderId="7" xfId="0" applyFont="1" applyFill="1" applyBorder="1" applyAlignment="1">
      <alignment wrapText="1"/>
    </xf>
    <xf numFmtId="0" fontId="0" fillId="13" borderId="26" xfId="0" applyFill="1" applyBorder="1" applyAlignment="1">
      <alignment wrapText="1"/>
    </xf>
    <xf numFmtId="0" fontId="13" fillId="2" borderId="27" xfId="0" applyFont="1" applyFill="1" applyBorder="1" applyAlignment="1">
      <alignment wrapText="1"/>
    </xf>
    <xf numFmtId="0" fontId="0" fillId="2" borderId="3" xfId="0" applyFill="1" applyBorder="1" applyAlignment="1">
      <alignment wrapText="1"/>
    </xf>
    <xf numFmtId="0" fontId="0" fillId="2" borderId="12" xfId="0" applyFill="1" applyBorder="1"/>
    <xf numFmtId="0" fontId="3" fillId="15" borderId="0" xfId="0" applyFont="1" applyFill="1"/>
    <xf numFmtId="0" fontId="3" fillId="16" borderId="0" xfId="0" applyFont="1" applyFill="1"/>
    <xf numFmtId="0" fontId="0" fillId="0" borderId="5" xfId="0" applyBorder="1" applyAlignment="1">
      <alignment horizontal="right"/>
    </xf>
    <xf numFmtId="0" fontId="0" fillId="0" borderId="0" xfId="0" applyAlignment="1"/>
    <xf numFmtId="2" fontId="0" fillId="0" borderId="5" xfId="0" applyNumberFormat="1" applyBorder="1"/>
    <xf numFmtId="2" fontId="0" fillId="0" borderId="0" xfId="0" applyNumberFormat="1" applyBorder="1"/>
    <xf numFmtId="11" fontId="0" fillId="0" borderId="0" xfId="0" applyNumberFormat="1" applyBorder="1"/>
    <xf numFmtId="11" fontId="0" fillId="14" borderId="0" xfId="0" applyNumberFormat="1" applyFill="1" applyBorder="1"/>
    <xf numFmtId="0" fontId="0" fillId="6" borderId="0" xfId="0" applyFill="1"/>
    <xf numFmtId="0" fontId="0" fillId="6" borderId="0" xfId="0" applyFill="1" applyBorder="1"/>
    <xf numFmtId="0" fontId="24" fillId="0" borderId="0" xfId="0" applyFont="1"/>
    <xf numFmtId="0" fontId="0" fillId="0" borderId="0" xfId="0" applyFont="1"/>
    <xf numFmtId="0" fontId="3" fillId="0" borderId="0" xfId="0" applyFont="1" applyFill="1"/>
    <xf numFmtId="0" fontId="0" fillId="0" borderId="0" xfId="0" applyAlignment="1">
      <alignment horizontal="left" wrapText="1"/>
    </xf>
    <xf numFmtId="0" fontId="0" fillId="4" borderId="8" xfId="0" applyFill="1" applyBorder="1" applyAlignment="1">
      <alignment horizontal="center"/>
    </xf>
    <xf numFmtId="0" fontId="0" fillId="4" borderId="1" xfId="0" applyFill="1" applyBorder="1" applyAlignment="1">
      <alignment horizontal="center"/>
    </xf>
    <xf numFmtId="0" fontId="0" fillId="4" borderId="9" xfId="0" applyFill="1" applyBorder="1" applyAlignment="1">
      <alignment horizontal="center"/>
    </xf>
    <xf numFmtId="0" fontId="0" fillId="2" borderId="8" xfId="0" applyFill="1" applyBorder="1" applyAlignment="1">
      <alignment horizontal="center"/>
    </xf>
    <xf numFmtId="0" fontId="0" fillId="2" borderId="1" xfId="0" applyFill="1" applyBorder="1" applyAlignment="1">
      <alignment horizontal="center"/>
    </xf>
    <xf numFmtId="0" fontId="0" fillId="2" borderId="9" xfId="0" applyFill="1" applyBorder="1" applyAlignment="1">
      <alignment horizontal="center"/>
    </xf>
    <xf numFmtId="0" fontId="0" fillId="13" borderId="8" xfId="0" applyFill="1" applyBorder="1" applyAlignment="1">
      <alignment horizontal="center"/>
    </xf>
    <xf numFmtId="0" fontId="0" fillId="13" borderId="1" xfId="0" applyFill="1" applyBorder="1" applyAlignment="1">
      <alignment horizontal="center"/>
    </xf>
    <xf numFmtId="0" fontId="0" fillId="13" borderId="9" xfId="0" applyFill="1" applyBorder="1" applyAlignment="1">
      <alignment horizontal="center"/>
    </xf>
    <xf numFmtId="0" fontId="25" fillId="17" borderId="0" xfId="0" applyFont="1" applyFill="1" applyBorder="1"/>
    <xf numFmtId="168" fontId="22" fillId="17" borderId="0" xfId="1864" applyNumberFormat="1" applyFont="1" applyFill="1" applyBorder="1"/>
    <xf numFmtId="0" fontId="25" fillId="17" borderId="0" xfId="0" applyFont="1" applyFill="1" applyBorder="1" applyAlignment="1">
      <alignment horizontal="right"/>
    </xf>
    <xf numFmtId="0" fontId="4" fillId="17" borderId="23" xfId="0" applyFont="1" applyFill="1" applyBorder="1" applyAlignment="1">
      <alignment wrapText="1"/>
    </xf>
    <xf numFmtId="0" fontId="4" fillId="17" borderId="5" xfId="0" applyFont="1" applyFill="1" applyBorder="1" applyAlignment="1">
      <alignment wrapText="1"/>
    </xf>
    <xf numFmtId="0" fontId="4" fillId="17" borderId="1" xfId="0" applyFont="1" applyFill="1" applyBorder="1" applyAlignment="1">
      <alignment wrapText="1"/>
    </xf>
    <xf numFmtId="0" fontId="4" fillId="17" borderId="24" xfId="0" applyFont="1" applyFill="1" applyBorder="1" applyAlignment="1">
      <alignment wrapText="1"/>
    </xf>
    <xf numFmtId="0" fontId="25" fillId="17" borderId="12" xfId="0" applyFont="1" applyFill="1" applyBorder="1"/>
    <xf numFmtId="43" fontId="26" fillId="17" borderId="0" xfId="0" applyNumberFormat="1" applyFont="1" applyFill="1" applyBorder="1"/>
    <xf numFmtId="0" fontId="25" fillId="17" borderId="13" xfId="0" applyFont="1" applyFill="1" applyBorder="1"/>
    <xf numFmtId="0" fontId="25" fillId="17" borderId="14" xfId="0" applyFont="1" applyFill="1" applyBorder="1"/>
    <xf numFmtId="0" fontId="25" fillId="17" borderId="4" xfId="0" applyFont="1" applyFill="1" applyBorder="1"/>
    <xf numFmtId="168" fontId="25" fillId="17" borderId="4" xfId="0" applyNumberFormat="1" applyFont="1" applyFill="1" applyBorder="1"/>
    <xf numFmtId="0" fontId="25" fillId="17" borderId="15" xfId="0" applyFont="1" applyFill="1" applyBorder="1"/>
    <xf numFmtId="0" fontId="25" fillId="18" borderId="0" xfId="0" applyFont="1" applyFill="1" applyBorder="1"/>
    <xf numFmtId="0" fontId="4" fillId="18" borderId="23" xfId="0" applyFont="1" applyFill="1" applyBorder="1" applyAlignment="1">
      <alignment wrapText="1"/>
    </xf>
    <xf numFmtId="0" fontId="4" fillId="18" borderId="5" xfId="0" applyFont="1" applyFill="1" applyBorder="1" applyAlignment="1">
      <alignment wrapText="1"/>
    </xf>
    <xf numFmtId="0" fontId="4" fillId="18" borderId="24" xfId="0" applyFont="1" applyFill="1" applyBorder="1" applyAlignment="1">
      <alignment wrapText="1"/>
    </xf>
    <xf numFmtId="0" fontId="0" fillId="18" borderId="12" xfId="0" applyFill="1" applyBorder="1"/>
    <xf numFmtId="0" fontId="0" fillId="18" borderId="13" xfId="0" applyFill="1" applyBorder="1"/>
    <xf numFmtId="0" fontId="0" fillId="18" borderId="14" xfId="0" applyFill="1" applyBorder="1"/>
    <xf numFmtId="0" fontId="0" fillId="18" borderId="4" xfId="0" applyFill="1" applyBorder="1"/>
    <xf numFmtId="0" fontId="0" fillId="18" borderId="15" xfId="0" applyFill="1" applyBorder="1"/>
  </cellXfs>
  <cellStyles count="2565">
    <cellStyle name="Calculation" xfId="1632" builtinId="22"/>
    <cellStyle name="Comma 2" xfId="1864"/>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6" builtinId="9" hidden="1"/>
    <cellStyle name="Followed Hyperlink" xfId="188" builtinId="9" hidden="1"/>
    <cellStyle name="Followed Hyperlink" xfId="190" builtinId="9" hidden="1"/>
    <cellStyle name="Followed Hyperlink" xfId="192" builtinId="9" hidden="1"/>
    <cellStyle name="Followed Hyperlink" xfId="194" builtinId="9" hidden="1"/>
    <cellStyle name="Followed Hyperlink" xfId="196" builtinId="9" hidden="1"/>
    <cellStyle name="Followed Hyperlink" xfId="198" builtinId="9" hidden="1"/>
    <cellStyle name="Followed Hyperlink" xfId="200" builtinId="9" hidden="1"/>
    <cellStyle name="Followed Hyperlink" xfId="202" builtinId="9" hidden="1"/>
    <cellStyle name="Followed Hyperlink" xfId="204" builtinId="9" hidden="1"/>
    <cellStyle name="Followed Hyperlink" xfId="206" builtinId="9" hidden="1"/>
    <cellStyle name="Followed Hyperlink" xfId="208" builtinId="9" hidden="1"/>
    <cellStyle name="Followed Hyperlink" xfId="210" builtinId="9" hidden="1"/>
    <cellStyle name="Followed Hyperlink" xfId="212" builtinId="9" hidden="1"/>
    <cellStyle name="Followed Hyperlink" xfId="214" builtinId="9" hidden="1"/>
    <cellStyle name="Followed Hyperlink" xfId="216" builtinId="9" hidden="1"/>
    <cellStyle name="Followed Hyperlink" xfId="218" builtinId="9" hidden="1"/>
    <cellStyle name="Followed Hyperlink" xfId="220" builtinId="9" hidden="1"/>
    <cellStyle name="Followed Hyperlink" xfId="222" builtinId="9" hidden="1"/>
    <cellStyle name="Followed Hyperlink" xfId="224" builtinId="9" hidden="1"/>
    <cellStyle name="Followed Hyperlink" xfId="226" builtinId="9" hidden="1"/>
    <cellStyle name="Followed Hyperlink" xfId="228" builtinId="9" hidden="1"/>
    <cellStyle name="Followed Hyperlink" xfId="230" builtinId="9" hidden="1"/>
    <cellStyle name="Followed Hyperlink" xfId="232" builtinId="9" hidden="1"/>
    <cellStyle name="Followed Hyperlink" xfId="234" builtinId="9" hidden="1"/>
    <cellStyle name="Followed Hyperlink" xfId="236" builtinId="9" hidden="1"/>
    <cellStyle name="Followed Hyperlink" xfId="238" builtinId="9" hidden="1"/>
    <cellStyle name="Followed Hyperlink" xfId="240" builtinId="9" hidden="1"/>
    <cellStyle name="Followed Hyperlink" xfId="242" builtinId="9" hidden="1"/>
    <cellStyle name="Followed Hyperlink" xfId="244" builtinId="9" hidden="1"/>
    <cellStyle name="Followed Hyperlink" xfId="246" builtinId="9" hidden="1"/>
    <cellStyle name="Followed Hyperlink" xfId="248" builtinId="9" hidden="1"/>
    <cellStyle name="Followed Hyperlink" xfId="250" builtinId="9" hidden="1"/>
    <cellStyle name="Followed Hyperlink" xfId="252" builtinId="9" hidden="1"/>
    <cellStyle name="Followed Hyperlink" xfId="254" builtinId="9" hidden="1"/>
    <cellStyle name="Followed Hyperlink" xfId="256"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4" builtinId="9" hidden="1"/>
    <cellStyle name="Followed Hyperlink" xfId="326" builtinId="9" hidden="1"/>
    <cellStyle name="Followed Hyperlink" xfId="328" builtinId="9" hidden="1"/>
    <cellStyle name="Followed Hyperlink" xfId="330" builtinId="9" hidden="1"/>
    <cellStyle name="Followed Hyperlink" xfId="332" builtinId="9" hidden="1"/>
    <cellStyle name="Followed Hyperlink" xfId="334" builtinId="9" hidden="1"/>
    <cellStyle name="Followed Hyperlink" xfId="336" builtinId="9" hidden="1"/>
    <cellStyle name="Followed Hyperlink" xfId="338" builtinId="9" hidden="1"/>
    <cellStyle name="Followed Hyperlink" xfId="340" builtinId="9" hidden="1"/>
    <cellStyle name="Followed Hyperlink" xfId="342" builtinId="9" hidden="1"/>
    <cellStyle name="Followed Hyperlink" xfId="344" builtinId="9" hidden="1"/>
    <cellStyle name="Followed Hyperlink" xfId="346" builtinId="9" hidden="1"/>
    <cellStyle name="Followed Hyperlink" xfId="348" builtinId="9" hidden="1"/>
    <cellStyle name="Followed Hyperlink" xfId="350" builtinId="9" hidden="1"/>
    <cellStyle name="Followed Hyperlink" xfId="352" builtinId="9" hidden="1"/>
    <cellStyle name="Followed Hyperlink" xfId="354" builtinId="9" hidden="1"/>
    <cellStyle name="Followed Hyperlink" xfId="356" builtinId="9" hidden="1"/>
    <cellStyle name="Followed Hyperlink" xfId="358" builtinId="9" hidden="1"/>
    <cellStyle name="Followed Hyperlink" xfId="360" builtinId="9" hidden="1"/>
    <cellStyle name="Followed Hyperlink" xfId="362" builtinId="9" hidden="1"/>
    <cellStyle name="Followed Hyperlink" xfId="364" builtinId="9" hidden="1"/>
    <cellStyle name="Followed Hyperlink" xfId="366" builtinId="9" hidden="1"/>
    <cellStyle name="Followed Hyperlink" xfId="368" builtinId="9" hidden="1"/>
    <cellStyle name="Followed Hyperlink" xfId="370" builtinId="9" hidden="1"/>
    <cellStyle name="Followed Hyperlink" xfId="372" builtinId="9" hidden="1"/>
    <cellStyle name="Followed Hyperlink" xfId="374" builtinId="9" hidden="1"/>
    <cellStyle name="Followed Hyperlink" xfId="376" builtinId="9" hidden="1"/>
    <cellStyle name="Followed Hyperlink" xfId="378" builtinId="9" hidden="1"/>
    <cellStyle name="Followed Hyperlink" xfId="380" builtinId="9" hidden="1"/>
    <cellStyle name="Followed Hyperlink" xfId="382" builtinId="9" hidden="1"/>
    <cellStyle name="Followed Hyperlink" xfId="384" builtinId="9" hidden="1"/>
    <cellStyle name="Followed Hyperlink" xfId="386" builtinId="9" hidden="1"/>
    <cellStyle name="Followed Hyperlink" xfId="388" builtinId="9" hidden="1"/>
    <cellStyle name="Followed Hyperlink" xfId="390" builtinId="9" hidden="1"/>
    <cellStyle name="Followed Hyperlink" xfId="392" builtinId="9" hidden="1"/>
    <cellStyle name="Followed Hyperlink" xfId="394" builtinId="9" hidden="1"/>
    <cellStyle name="Followed Hyperlink" xfId="396" builtinId="9" hidden="1"/>
    <cellStyle name="Followed Hyperlink" xfId="398" builtinId="9" hidden="1"/>
    <cellStyle name="Followed Hyperlink" xfId="400" builtinId="9" hidden="1"/>
    <cellStyle name="Followed Hyperlink" xfId="402" builtinId="9" hidden="1"/>
    <cellStyle name="Followed Hyperlink" xfId="404" builtinId="9" hidden="1"/>
    <cellStyle name="Followed Hyperlink" xfId="406" builtinId="9" hidden="1"/>
    <cellStyle name="Followed Hyperlink" xfId="408" builtinId="9" hidden="1"/>
    <cellStyle name="Followed Hyperlink" xfId="410" builtinId="9" hidden="1"/>
    <cellStyle name="Followed Hyperlink" xfId="412" builtinId="9" hidden="1"/>
    <cellStyle name="Followed Hyperlink" xfId="414" builtinId="9" hidden="1"/>
    <cellStyle name="Followed Hyperlink" xfId="416" builtinId="9" hidden="1"/>
    <cellStyle name="Followed Hyperlink" xfId="418" builtinId="9" hidden="1"/>
    <cellStyle name="Followed Hyperlink" xfId="420" builtinId="9" hidden="1"/>
    <cellStyle name="Followed Hyperlink" xfId="422" builtinId="9" hidden="1"/>
    <cellStyle name="Followed Hyperlink" xfId="424" builtinId="9" hidden="1"/>
    <cellStyle name="Followed Hyperlink" xfId="426" builtinId="9" hidden="1"/>
    <cellStyle name="Followed Hyperlink" xfId="428" builtinId="9" hidden="1"/>
    <cellStyle name="Followed Hyperlink" xfId="430" builtinId="9" hidden="1"/>
    <cellStyle name="Followed Hyperlink" xfId="432" builtinId="9" hidden="1"/>
    <cellStyle name="Followed Hyperlink" xfId="434" builtinId="9" hidden="1"/>
    <cellStyle name="Followed Hyperlink" xfId="436" builtinId="9" hidden="1"/>
    <cellStyle name="Followed Hyperlink" xfId="438" builtinId="9" hidden="1"/>
    <cellStyle name="Followed Hyperlink" xfId="440" builtinId="9" hidden="1"/>
    <cellStyle name="Followed Hyperlink" xfId="442" builtinId="9" hidden="1"/>
    <cellStyle name="Followed Hyperlink" xfId="444" builtinId="9" hidden="1"/>
    <cellStyle name="Followed Hyperlink" xfId="446" builtinId="9" hidden="1"/>
    <cellStyle name="Followed Hyperlink" xfId="448" builtinId="9" hidden="1"/>
    <cellStyle name="Followed Hyperlink" xfId="450" builtinId="9" hidden="1"/>
    <cellStyle name="Followed Hyperlink" xfId="452" builtinId="9" hidden="1"/>
    <cellStyle name="Followed Hyperlink" xfId="454" builtinId="9" hidden="1"/>
    <cellStyle name="Followed Hyperlink" xfId="456" builtinId="9" hidden="1"/>
    <cellStyle name="Followed Hyperlink" xfId="458" builtinId="9" hidden="1"/>
    <cellStyle name="Followed Hyperlink" xfId="460" builtinId="9" hidden="1"/>
    <cellStyle name="Followed Hyperlink" xfId="462" builtinId="9" hidden="1"/>
    <cellStyle name="Followed Hyperlink" xfId="464" builtinId="9" hidden="1"/>
    <cellStyle name="Followed Hyperlink" xfId="466" builtinId="9" hidden="1"/>
    <cellStyle name="Followed Hyperlink" xfId="468" builtinId="9" hidden="1"/>
    <cellStyle name="Followed Hyperlink" xfId="470" builtinId="9" hidden="1"/>
    <cellStyle name="Followed Hyperlink" xfId="472" builtinId="9" hidden="1"/>
    <cellStyle name="Followed Hyperlink" xfId="474" builtinId="9" hidden="1"/>
    <cellStyle name="Followed Hyperlink" xfId="476" builtinId="9" hidden="1"/>
    <cellStyle name="Followed Hyperlink" xfId="478" builtinId="9" hidden="1"/>
    <cellStyle name="Followed Hyperlink" xfId="480" builtinId="9" hidden="1"/>
    <cellStyle name="Followed Hyperlink" xfId="482" builtinId="9" hidden="1"/>
    <cellStyle name="Followed Hyperlink" xfId="484" builtinId="9" hidden="1"/>
    <cellStyle name="Followed Hyperlink" xfId="486" builtinId="9" hidden="1"/>
    <cellStyle name="Followed Hyperlink" xfId="488" builtinId="9" hidden="1"/>
    <cellStyle name="Followed Hyperlink" xfId="490" builtinId="9" hidden="1"/>
    <cellStyle name="Followed Hyperlink" xfId="492" builtinId="9" hidden="1"/>
    <cellStyle name="Followed Hyperlink" xfId="494" builtinId="9" hidden="1"/>
    <cellStyle name="Followed Hyperlink" xfId="496" builtinId="9" hidden="1"/>
    <cellStyle name="Followed Hyperlink" xfId="498" builtinId="9" hidden="1"/>
    <cellStyle name="Followed Hyperlink" xfId="500" builtinId="9" hidden="1"/>
    <cellStyle name="Followed Hyperlink" xfId="502" builtinId="9" hidden="1"/>
    <cellStyle name="Followed Hyperlink" xfId="504" builtinId="9" hidden="1"/>
    <cellStyle name="Followed Hyperlink" xfId="506" builtinId="9" hidden="1"/>
    <cellStyle name="Followed Hyperlink" xfId="508" builtinId="9" hidden="1"/>
    <cellStyle name="Followed Hyperlink" xfId="510" builtinId="9" hidden="1"/>
    <cellStyle name="Followed Hyperlink" xfId="512" builtinId="9" hidden="1"/>
    <cellStyle name="Followed Hyperlink" xfId="514" builtinId="9" hidden="1"/>
    <cellStyle name="Followed Hyperlink" xfId="516" builtinId="9" hidden="1"/>
    <cellStyle name="Followed Hyperlink" xfId="518" builtinId="9" hidden="1"/>
    <cellStyle name="Followed Hyperlink" xfId="520" builtinId="9" hidden="1"/>
    <cellStyle name="Followed Hyperlink" xfId="522" builtinId="9" hidden="1"/>
    <cellStyle name="Followed Hyperlink" xfId="524" builtinId="9" hidden="1"/>
    <cellStyle name="Followed Hyperlink" xfId="526" builtinId="9" hidden="1"/>
    <cellStyle name="Followed Hyperlink" xfId="528" builtinId="9" hidden="1"/>
    <cellStyle name="Followed Hyperlink" xfId="530" builtinId="9" hidden="1"/>
    <cellStyle name="Followed Hyperlink" xfId="532" builtinId="9" hidden="1"/>
    <cellStyle name="Followed Hyperlink" xfId="534" builtinId="9" hidden="1"/>
    <cellStyle name="Followed Hyperlink" xfId="536" builtinId="9" hidden="1"/>
    <cellStyle name="Followed Hyperlink" xfId="538" builtinId="9" hidden="1"/>
    <cellStyle name="Followed Hyperlink" xfId="540" builtinId="9" hidden="1"/>
    <cellStyle name="Followed Hyperlink" xfId="542" builtinId="9" hidden="1"/>
    <cellStyle name="Followed Hyperlink" xfId="544" builtinId="9" hidden="1"/>
    <cellStyle name="Followed Hyperlink" xfId="546" builtinId="9" hidden="1"/>
    <cellStyle name="Followed Hyperlink" xfId="548" builtinId="9" hidden="1"/>
    <cellStyle name="Followed Hyperlink" xfId="550" builtinId="9" hidden="1"/>
    <cellStyle name="Followed Hyperlink" xfId="552" builtinId="9" hidden="1"/>
    <cellStyle name="Followed Hyperlink" xfId="554" builtinId="9" hidden="1"/>
    <cellStyle name="Followed Hyperlink" xfId="556" builtinId="9" hidden="1"/>
    <cellStyle name="Followed Hyperlink" xfId="558" builtinId="9" hidden="1"/>
    <cellStyle name="Followed Hyperlink" xfId="560" builtinId="9" hidden="1"/>
    <cellStyle name="Followed Hyperlink" xfId="562" builtinId="9" hidden="1"/>
    <cellStyle name="Followed Hyperlink" xfId="564" builtinId="9" hidden="1"/>
    <cellStyle name="Followed Hyperlink" xfId="566" builtinId="9" hidden="1"/>
    <cellStyle name="Followed Hyperlink" xfId="568" builtinId="9" hidden="1"/>
    <cellStyle name="Followed Hyperlink" xfId="570" builtinId="9" hidden="1"/>
    <cellStyle name="Followed Hyperlink" xfId="572" builtinId="9" hidden="1"/>
    <cellStyle name="Followed Hyperlink" xfId="574" builtinId="9" hidden="1"/>
    <cellStyle name="Followed Hyperlink" xfId="576" builtinId="9" hidden="1"/>
    <cellStyle name="Followed Hyperlink" xfId="578" builtinId="9" hidden="1"/>
    <cellStyle name="Followed Hyperlink" xfId="580" builtinId="9" hidden="1"/>
    <cellStyle name="Followed Hyperlink" xfId="582" builtinId="9" hidden="1"/>
    <cellStyle name="Followed Hyperlink" xfId="584" builtinId="9" hidden="1"/>
    <cellStyle name="Followed Hyperlink" xfId="586" builtinId="9" hidden="1"/>
    <cellStyle name="Followed Hyperlink" xfId="588" builtinId="9" hidden="1"/>
    <cellStyle name="Followed Hyperlink" xfId="590" builtinId="9" hidden="1"/>
    <cellStyle name="Followed Hyperlink" xfId="592" builtinId="9" hidden="1"/>
    <cellStyle name="Followed Hyperlink" xfId="594" builtinId="9" hidden="1"/>
    <cellStyle name="Followed Hyperlink" xfId="596" builtinId="9" hidden="1"/>
    <cellStyle name="Followed Hyperlink" xfId="598" builtinId="9" hidden="1"/>
    <cellStyle name="Followed Hyperlink" xfId="600" builtinId="9" hidden="1"/>
    <cellStyle name="Followed Hyperlink" xfId="602" builtinId="9" hidden="1"/>
    <cellStyle name="Followed Hyperlink" xfId="604" builtinId="9" hidden="1"/>
    <cellStyle name="Followed Hyperlink" xfId="606" builtinId="9" hidden="1"/>
    <cellStyle name="Followed Hyperlink" xfId="608" builtinId="9" hidden="1"/>
    <cellStyle name="Followed Hyperlink" xfId="610" builtinId="9" hidden="1"/>
    <cellStyle name="Followed Hyperlink" xfId="612" builtinId="9" hidden="1"/>
    <cellStyle name="Followed Hyperlink" xfId="614" builtinId="9" hidden="1"/>
    <cellStyle name="Followed Hyperlink" xfId="616" builtinId="9" hidden="1"/>
    <cellStyle name="Followed Hyperlink" xfId="618" builtinId="9" hidden="1"/>
    <cellStyle name="Followed Hyperlink" xfId="620" builtinId="9" hidden="1"/>
    <cellStyle name="Followed Hyperlink" xfId="622" builtinId="9" hidden="1"/>
    <cellStyle name="Followed Hyperlink" xfId="624" builtinId="9" hidden="1"/>
    <cellStyle name="Followed Hyperlink" xfId="626" builtinId="9" hidden="1"/>
    <cellStyle name="Followed Hyperlink" xfId="628" builtinId="9" hidden="1"/>
    <cellStyle name="Followed Hyperlink" xfId="630" builtinId="9" hidden="1"/>
    <cellStyle name="Followed Hyperlink" xfId="632" builtinId="9" hidden="1"/>
    <cellStyle name="Followed Hyperlink" xfId="634" builtinId="9" hidden="1"/>
    <cellStyle name="Followed Hyperlink" xfId="636" builtinId="9" hidden="1"/>
    <cellStyle name="Followed Hyperlink" xfId="638" builtinId="9" hidden="1"/>
    <cellStyle name="Followed Hyperlink" xfId="640" builtinId="9" hidden="1"/>
    <cellStyle name="Followed Hyperlink" xfId="642" builtinId="9" hidden="1"/>
    <cellStyle name="Followed Hyperlink" xfId="644" builtinId="9" hidden="1"/>
    <cellStyle name="Followed Hyperlink" xfId="646" builtinId="9" hidden="1"/>
    <cellStyle name="Followed Hyperlink" xfId="648" builtinId="9" hidden="1"/>
    <cellStyle name="Followed Hyperlink" xfId="650" builtinId="9" hidden="1"/>
    <cellStyle name="Followed Hyperlink" xfId="652" builtinId="9" hidden="1"/>
    <cellStyle name="Followed Hyperlink" xfId="654" builtinId="9" hidden="1"/>
    <cellStyle name="Followed Hyperlink" xfId="656" builtinId="9" hidden="1"/>
    <cellStyle name="Followed Hyperlink" xfId="658" builtinId="9" hidden="1"/>
    <cellStyle name="Followed Hyperlink" xfId="660" builtinId="9" hidden="1"/>
    <cellStyle name="Followed Hyperlink" xfId="662" builtinId="9" hidden="1"/>
    <cellStyle name="Followed Hyperlink" xfId="664" builtinId="9" hidden="1"/>
    <cellStyle name="Followed Hyperlink" xfId="666" builtinId="9" hidden="1"/>
    <cellStyle name="Followed Hyperlink" xfId="668" builtinId="9" hidden="1"/>
    <cellStyle name="Followed Hyperlink" xfId="670" builtinId="9" hidden="1"/>
    <cellStyle name="Followed Hyperlink" xfId="672" builtinId="9" hidden="1"/>
    <cellStyle name="Followed Hyperlink" xfId="674" builtinId="9" hidden="1"/>
    <cellStyle name="Followed Hyperlink" xfId="676" builtinId="9" hidden="1"/>
    <cellStyle name="Followed Hyperlink" xfId="678" builtinId="9" hidden="1"/>
    <cellStyle name="Followed Hyperlink" xfId="680" builtinId="9" hidden="1"/>
    <cellStyle name="Followed Hyperlink" xfId="682" builtinId="9" hidden="1"/>
    <cellStyle name="Followed Hyperlink" xfId="684" builtinId="9" hidden="1"/>
    <cellStyle name="Followed Hyperlink" xfId="686" builtinId="9" hidden="1"/>
    <cellStyle name="Followed Hyperlink" xfId="688" builtinId="9" hidden="1"/>
    <cellStyle name="Followed Hyperlink" xfId="690" builtinId="9" hidden="1"/>
    <cellStyle name="Followed Hyperlink" xfId="692" builtinId="9" hidden="1"/>
    <cellStyle name="Followed Hyperlink" xfId="694" builtinId="9" hidden="1"/>
    <cellStyle name="Followed Hyperlink" xfId="696" builtinId="9" hidden="1"/>
    <cellStyle name="Followed Hyperlink" xfId="698" builtinId="9" hidden="1"/>
    <cellStyle name="Followed Hyperlink" xfId="700" builtinId="9" hidden="1"/>
    <cellStyle name="Followed Hyperlink" xfId="702" builtinId="9" hidden="1"/>
    <cellStyle name="Followed Hyperlink" xfId="704" builtinId="9" hidden="1"/>
    <cellStyle name="Followed Hyperlink" xfId="706" builtinId="9" hidden="1"/>
    <cellStyle name="Followed Hyperlink" xfId="708" builtinId="9" hidden="1"/>
    <cellStyle name="Followed Hyperlink" xfId="710" builtinId="9" hidden="1"/>
    <cellStyle name="Followed Hyperlink" xfId="712" builtinId="9" hidden="1"/>
    <cellStyle name="Followed Hyperlink" xfId="714" builtinId="9" hidden="1"/>
    <cellStyle name="Followed Hyperlink" xfId="716" builtinId="9" hidden="1"/>
    <cellStyle name="Followed Hyperlink" xfId="718" builtinId="9" hidden="1"/>
    <cellStyle name="Followed Hyperlink" xfId="720" builtinId="9" hidden="1"/>
    <cellStyle name="Followed Hyperlink" xfId="722" builtinId="9" hidden="1"/>
    <cellStyle name="Followed Hyperlink" xfId="724" builtinId="9" hidden="1"/>
    <cellStyle name="Followed Hyperlink" xfId="726" builtinId="9" hidden="1"/>
    <cellStyle name="Followed Hyperlink" xfId="728" builtinId="9" hidden="1"/>
    <cellStyle name="Followed Hyperlink" xfId="730" builtinId="9" hidden="1"/>
    <cellStyle name="Followed Hyperlink" xfId="732" builtinId="9" hidden="1"/>
    <cellStyle name="Followed Hyperlink" xfId="734" builtinId="9" hidden="1"/>
    <cellStyle name="Followed Hyperlink" xfId="736" builtinId="9" hidden="1"/>
    <cellStyle name="Followed Hyperlink" xfId="738" builtinId="9" hidden="1"/>
    <cellStyle name="Followed Hyperlink" xfId="740" builtinId="9" hidden="1"/>
    <cellStyle name="Followed Hyperlink" xfId="742" builtinId="9" hidden="1"/>
    <cellStyle name="Followed Hyperlink" xfId="744" builtinId="9" hidden="1"/>
    <cellStyle name="Followed Hyperlink" xfId="746" builtinId="9" hidden="1"/>
    <cellStyle name="Followed Hyperlink" xfId="748" builtinId="9" hidden="1"/>
    <cellStyle name="Followed Hyperlink" xfId="750" builtinId="9" hidden="1"/>
    <cellStyle name="Followed Hyperlink" xfId="752" builtinId="9" hidden="1"/>
    <cellStyle name="Followed Hyperlink" xfId="754" builtinId="9" hidden="1"/>
    <cellStyle name="Followed Hyperlink" xfId="756" builtinId="9" hidden="1"/>
    <cellStyle name="Followed Hyperlink" xfId="758" builtinId="9" hidden="1"/>
    <cellStyle name="Followed Hyperlink" xfId="760" builtinId="9" hidden="1"/>
    <cellStyle name="Followed Hyperlink" xfId="762" builtinId="9" hidden="1"/>
    <cellStyle name="Followed Hyperlink" xfId="764" builtinId="9" hidden="1"/>
    <cellStyle name="Followed Hyperlink" xfId="766" builtinId="9" hidden="1"/>
    <cellStyle name="Followed Hyperlink" xfId="768" builtinId="9" hidden="1"/>
    <cellStyle name="Followed Hyperlink" xfId="770" builtinId="9" hidden="1"/>
    <cellStyle name="Followed Hyperlink" xfId="772" builtinId="9" hidden="1"/>
    <cellStyle name="Followed Hyperlink" xfId="774" builtinId="9" hidden="1"/>
    <cellStyle name="Followed Hyperlink" xfId="776" builtinId="9" hidden="1"/>
    <cellStyle name="Followed Hyperlink" xfId="778" builtinId="9" hidden="1"/>
    <cellStyle name="Followed Hyperlink" xfId="780" builtinId="9" hidden="1"/>
    <cellStyle name="Followed Hyperlink" xfId="782" builtinId="9" hidden="1"/>
    <cellStyle name="Followed Hyperlink" xfId="784" builtinId="9" hidden="1"/>
    <cellStyle name="Followed Hyperlink" xfId="786" builtinId="9" hidden="1"/>
    <cellStyle name="Followed Hyperlink" xfId="788" builtinId="9" hidden="1"/>
    <cellStyle name="Followed Hyperlink" xfId="790" builtinId="9" hidden="1"/>
    <cellStyle name="Followed Hyperlink" xfId="792" builtinId="9" hidden="1"/>
    <cellStyle name="Followed Hyperlink" xfId="794" builtinId="9" hidden="1"/>
    <cellStyle name="Followed Hyperlink" xfId="796" builtinId="9" hidden="1"/>
    <cellStyle name="Followed Hyperlink" xfId="798" builtinId="9" hidden="1"/>
    <cellStyle name="Followed Hyperlink" xfId="800" builtinId="9" hidden="1"/>
    <cellStyle name="Followed Hyperlink" xfId="802" builtinId="9" hidden="1"/>
    <cellStyle name="Followed Hyperlink" xfId="804" builtinId="9" hidden="1"/>
    <cellStyle name="Followed Hyperlink" xfId="806" builtinId="9" hidden="1"/>
    <cellStyle name="Followed Hyperlink" xfId="808" builtinId="9" hidden="1"/>
    <cellStyle name="Followed Hyperlink" xfId="810" builtinId="9" hidden="1"/>
    <cellStyle name="Followed Hyperlink" xfId="812" builtinId="9" hidden="1"/>
    <cellStyle name="Followed Hyperlink" xfId="814" builtinId="9" hidden="1"/>
    <cellStyle name="Followed Hyperlink" xfId="816" builtinId="9" hidden="1"/>
    <cellStyle name="Followed Hyperlink" xfId="818" builtinId="9" hidden="1"/>
    <cellStyle name="Followed Hyperlink" xfId="820" builtinId="9" hidden="1"/>
    <cellStyle name="Followed Hyperlink" xfId="822" builtinId="9" hidden="1"/>
    <cellStyle name="Followed Hyperlink" xfId="824" builtinId="9" hidden="1"/>
    <cellStyle name="Followed Hyperlink" xfId="826" builtinId="9" hidden="1"/>
    <cellStyle name="Followed Hyperlink" xfId="828" builtinId="9" hidden="1"/>
    <cellStyle name="Followed Hyperlink" xfId="830" builtinId="9" hidden="1"/>
    <cellStyle name="Followed Hyperlink" xfId="832" builtinId="9" hidden="1"/>
    <cellStyle name="Followed Hyperlink" xfId="834" builtinId="9" hidden="1"/>
    <cellStyle name="Followed Hyperlink" xfId="836" builtinId="9" hidden="1"/>
    <cellStyle name="Followed Hyperlink" xfId="838" builtinId="9" hidden="1"/>
    <cellStyle name="Followed Hyperlink" xfId="840" builtinId="9" hidden="1"/>
    <cellStyle name="Followed Hyperlink" xfId="842" builtinId="9" hidden="1"/>
    <cellStyle name="Followed Hyperlink" xfId="844" builtinId="9" hidden="1"/>
    <cellStyle name="Followed Hyperlink" xfId="846" builtinId="9" hidden="1"/>
    <cellStyle name="Followed Hyperlink" xfId="848" builtinId="9" hidden="1"/>
    <cellStyle name="Followed Hyperlink" xfId="850" builtinId="9" hidden="1"/>
    <cellStyle name="Followed Hyperlink" xfId="852" builtinId="9" hidden="1"/>
    <cellStyle name="Followed Hyperlink" xfId="854" builtinId="9" hidden="1"/>
    <cellStyle name="Followed Hyperlink" xfId="856" builtinId="9" hidden="1"/>
    <cellStyle name="Followed Hyperlink" xfId="858" builtinId="9" hidden="1"/>
    <cellStyle name="Followed Hyperlink" xfId="860" builtinId="9" hidden="1"/>
    <cellStyle name="Followed Hyperlink" xfId="862" builtinId="9" hidden="1"/>
    <cellStyle name="Followed Hyperlink" xfId="864" builtinId="9" hidden="1"/>
    <cellStyle name="Followed Hyperlink" xfId="866" builtinId="9" hidden="1"/>
    <cellStyle name="Followed Hyperlink" xfId="868" builtinId="9" hidden="1"/>
    <cellStyle name="Followed Hyperlink" xfId="870" builtinId="9" hidden="1"/>
    <cellStyle name="Followed Hyperlink" xfId="872" builtinId="9" hidden="1"/>
    <cellStyle name="Followed Hyperlink" xfId="874" builtinId="9" hidden="1"/>
    <cellStyle name="Followed Hyperlink" xfId="876" builtinId="9" hidden="1"/>
    <cellStyle name="Followed Hyperlink" xfId="878" builtinId="9" hidden="1"/>
    <cellStyle name="Followed Hyperlink" xfId="880" builtinId="9" hidden="1"/>
    <cellStyle name="Followed Hyperlink" xfId="882" builtinId="9" hidden="1"/>
    <cellStyle name="Followed Hyperlink" xfId="884" builtinId="9" hidden="1"/>
    <cellStyle name="Followed Hyperlink" xfId="886" builtinId="9" hidden="1"/>
    <cellStyle name="Followed Hyperlink" xfId="888" builtinId="9" hidden="1"/>
    <cellStyle name="Followed Hyperlink" xfId="890" builtinId="9" hidden="1"/>
    <cellStyle name="Followed Hyperlink" xfId="892" builtinId="9" hidden="1"/>
    <cellStyle name="Followed Hyperlink" xfId="894" builtinId="9" hidden="1"/>
    <cellStyle name="Followed Hyperlink" xfId="896" builtinId="9" hidden="1"/>
    <cellStyle name="Followed Hyperlink" xfId="898" builtinId="9" hidden="1"/>
    <cellStyle name="Followed Hyperlink" xfId="900" builtinId="9" hidden="1"/>
    <cellStyle name="Followed Hyperlink" xfId="902" builtinId="9" hidden="1"/>
    <cellStyle name="Followed Hyperlink" xfId="904" builtinId="9" hidden="1"/>
    <cellStyle name="Followed Hyperlink" xfId="906" builtinId="9" hidden="1"/>
    <cellStyle name="Followed Hyperlink" xfId="908" builtinId="9" hidden="1"/>
    <cellStyle name="Followed Hyperlink" xfId="910" builtinId="9" hidden="1"/>
    <cellStyle name="Followed Hyperlink" xfId="912" builtinId="9" hidden="1"/>
    <cellStyle name="Followed Hyperlink" xfId="914" builtinId="9" hidden="1"/>
    <cellStyle name="Followed Hyperlink" xfId="916" builtinId="9" hidden="1"/>
    <cellStyle name="Followed Hyperlink" xfId="918" builtinId="9" hidden="1"/>
    <cellStyle name="Followed Hyperlink" xfId="920" builtinId="9" hidden="1"/>
    <cellStyle name="Followed Hyperlink" xfId="922" builtinId="9" hidden="1"/>
    <cellStyle name="Followed Hyperlink" xfId="924" builtinId="9" hidden="1"/>
    <cellStyle name="Followed Hyperlink" xfId="926" builtinId="9" hidden="1"/>
    <cellStyle name="Followed Hyperlink" xfId="928" builtinId="9" hidden="1"/>
    <cellStyle name="Followed Hyperlink" xfId="930" builtinId="9" hidden="1"/>
    <cellStyle name="Followed Hyperlink" xfId="932" builtinId="9" hidden="1"/>
    <cellStyle name="Followed Hyperlink" xfId="934" builtinId="9" hidden="1"/>
    <cellStyle name="Followed Hyperlink" xfId="936" builtinId="9" hidden="1"/>
    <cellStyle name="Followed Hyperlink" xfId="938" builtinId="9" hidden="1"/>
    <cellStyle name="Followed Hyperlink" xfId="940" builtinId="9" hidden="1"/>
    <cellStyle name="Followed Hyperlink" xfId="942" builtinId="9" hidden="1"/>
    <cellStyle name="Followed Hyperlink" xfId="944" builtinId="9" hidden="1"/>
    <cellStyle name="Followed Hyperlink" xfId="946" builtinId="9" hidden="1"/>
    <cellStyle name="Followed Hyperlink" xfId="948" builtinId="9" hidden="1"/>
    <cellStyle name="Followed Hyperlink" xfId="950" builtinId="9" hidden="1"/>
    <cellStyle name="Followed Hyperlink" xfId="952" builtinId="9" hidden="1"/>
    <cellStyle name="Followed Hyperlink" xfId="954" builtinId="9" hidden="1"/>
    <cellStyle name="Followed Hyperlink" xfId="956" builtinId="9" hidden="1"/>
    <cellStyle name="Followed Hyperlink" xfId="958" builtinId="9" hidden="1"/>
    <cellStyle name="Followed Hyperlink" xfId="960" builtinId="9" hidden="1"/>
    <cellStyle name="Followed Hyperlink" xfId="962" builtinId="9" hidden="1"/>
    <cellStyle name="Followed Hyperlink" xfId="964" builtinId="9" hidden="1"/>
    <cellStyle name="Followed Hyperlink" xfId="966" builtinId="9" hidden="1"/>
    <cellStyle name="Followed Hyperlink" xfId="968" builtinId="9" hidden="1"/>
    <cellStyle name="Followed Hyperlink" xfId="970" builtinId="9" hidden="1"/>
    <cellStyle name="Followed Hyperlink" xfId="972" builtinId="9" hidden="1"/>
    <cellStyle name="Followed Hyperlink" xfId="974" builtinId="9" hidden="1"/>
    <cellStyle name="Followed Hyperlink" xfId="976" builtinId="9" hidden="1"/>
    <cellStyle name="Followed Hyperlink" xfId="978" builtinId="9" hidden="1"/>
    <cellStyle name="Followed Hyperlink" xfId="980" builtinId="9" hidden="1"/>
    <cellStyle name="Followed Hyperlink" xfId="982" builtinId="9" hidden="1"/>
    <cellStyle name="Followed Hyperlink" xfId="984" builtinId="9" hidden="1"/>
    <cellStyle name="Followed Hyperlink" xfId="986" builtinId="9" hidden="1"/>
    <cellStyle name="Followed Hyperlink" xfId="988" builtinId="9" hidden="1"/>
    <cellStyle name="Followed Hyperlink" xfId="990" builtinId="9" hidden="1"/>
    <cellStyle name="Followed Hyperlink" xfId="992" builtinId="9" hidden="1"/>
    <cellStyle name="Followed Hyperlink" xfId="994" builtinId="9" hidden="1"/>
    <cellStyle name="Followed Hyperlink" xfId="996" builtinId="9" hidden="1"/>
    <cellStyle name="Followed Hyperlink" xfId="998" builtinId="9" hidden="1"/>
    <cellStyle name="Followed Hyperlink" xfId="1000" builtinId="9" hidden="1"/>
    <cellStyle name="Followed Hyperlink" xfId="1002" builtinId="9" hidden="1"/>
    <cellStyle name="Followed Hyperlink" xfId="1004" builtinId="9" hidden="1"/>
    <cellStyle name="Followed Hyperlink" xfId="1006" builtinId="9" hidden="1"/>
    <cellStyle name="Followed Hyperlink" xfId="1008" builtinId="9" hidden="1"/>
    <cellStyle name="Followed Hyperlink" xfId="1010" builtinId="9" hidden="1"/>
    <cellStyle name="Followed Hyperlink" xfId="1012" builtinId="9" hidden="1"/>
    <cellStyle name="Followed Hyperlink" xfId="1014" builtinId="9" hidden="1"/>
    <cellStyle name="Followed Hyperlink" xfId="1016" builtinId="9" hidden="1"/>
    <cellStyle name="Followed Hyperlink" xfId="1018" builtinId="9" hidden="1"/>
    <cellStyle name="Followed Hyperlink" xfId="1020" builtinId="9" hidden="1"/>
    <cellStyle name="Followed Hyperlink" xfId="1022" builtinId="9" hidden="1"/>
    <cellStyle name="Followed Hyperlink" xfId="1024" builtinId="9" hidden="1"/>
    <cellStyle name="Followed Hyperlink" xfId="1026" builtinId="9" hidden="1"/>
    <cellStyle name="Followed Hyperlink" xfId="1028" builtinId="9" hidden="1"/>
    <cellStyle name="Followed Hyperlink" xfId="1030" builtinId="9" hidden="1"/>
    <cellStyle name="Followed Hyperlink" xfId="1032" builtinId="9" hidden="1"/>
    <cellStyle name="Followed Hyperlink" xfId="1034" builtinId="9" hidden="1"/>
    <cellStyle name="Followed Hyperlink" xfId="1036" builtinId="9" hidden="1"/>
    <cellStyle name="Followed Hyperlink" xfId="1038" builtinId="9" hidden="1"/>
    <cellStyle name="Followed Hyperlink" xfId="1040" builtinId="9" hidden="1"/>
    <cellStyle name="Followed Hyperlink" xfId="1042" builtinId="9" hidden="1"/>
    <cellStyle name="Followed Hyperlink" xfId="1044" builtinId="9" hidden="1"/>
    <cellStyle name="Followed Hyperlink" xfId="1046" builtinId="9" hidden="1"/>
    <cellStyle name="Followed Hyperlink" xfId="1048" builtinId="9" hidden="1"/>
    <cellStyle name="Followed Hyperlink" xfId="1050" builtinId="9" hidden="1"/>
    <cellStyle name="Followed Hyperlink" xfId="1052" builtinId="9" hidden="1"/>
    <cellStyle name="Followed Hyperlink" xfId="1054" builtinId="9" hidden="1"/>
    <cellStyle name="Followed Hyperlink" xfId="1056" builtinId="9" hidden="1"/>
    <cellStyle name="Followed Hyperlink" xfId="1058" builtinId="9" hidden="1"/>
    <cellStyle name="Followed Hyperlink" xfId="1060" builtinId="9" hidden="1"/>
    <cellStyle name="Followed Hyperlink" xfId="1062" builtinId="9" hidden="1"/>
    <cellStyle name="Followed Hyperlink" xfId="1064" builtinId="9" hidden="1"/>
    <cellStyle name="Followed Hyperlink" xfId="1066" builtinId="9" hidden="1"/>
    <cellStyle name="Followed Hyperlink" xfId="1068" builtinId="9" hidden="1"/>
    <cellStyle name="Followed Hyperlink" xfId="1070" builtinId="9" hidden="1"/>
    <cellStyle name="Followed Hyperlink" xfId="1072" builtinId="9" hidden="1"/>
    <cellStyle name="Followed Hyperlink" xfId="1074" builtinId="9" hidden="1"/>
    <cellStyle name="Followed Hyperlink" xfId="1076" builtinId="9" hidden="1"/>
    <cellStyle name="Followed Hyperlink" xfId="1078" builtinId="9" hidden="1"/>
    <cellStyle name="Followed Hyperlink" xfId="1080" builtinId="9" hidden="1"/>
    <cellStyle name="Followed Hyperlink" xfId="1082" builtinId="9" hidden="1"/>
    <cellStyle name="Followed Hyperlink" xfId="1084" builtinId="9" hidden="1"/>
    <cellStyle name="Followed Hyperlink" xfId="1086" builtinId="9" hidden="1"/>
    <cellStyle name="Followed Hyperlink" xfId="1088" builtinId="9" hidden="1"/>
    <cellStyle name="Followed Hyperlink" xfId="1090" builtinId="9" hidden="1"/>
    <cellStyle name="Followed Hyperlink" xfId="1092" builtinId="9" hidden="1"/>
    <cellStyle name="Followed Hyperlink" xfId="1094" builtinId="9" hidden="1"/>
    <cellStyle name="Followed Hyperlink" xfId="1096" builtinId="9" hidden="1"/>
    <cellStyle name="Followed Hyperlink" xfId="1098" builtinId="9" hidden="1"/>
    <cellStyle name="Followed Hyperlink" xfId="1100" builtinId="9" hidden="1"/>
    <cellStyle name="Followed Hyperlink" xfId="1102" builtinId="9" hidden="1"/>
    <cellStyle name="Followed Hyperlink" xfId="1104" builtinId="9" hidden="1"/>
    <cellStyle name="Followed Hyperlink" xfId="1106" builtinId="9" hidden="1"/>
    <cellStyle name="Followed Hyperlink" xfId="1108" builtinId="9" hidden="1"/>
    <cellStyle name="Followed Hyperlink" xfId="1110" builtinId="9" hidden="1"/>
    <cellStyle name="Followed Hyperlink" xfId="1112" builtinId="9" hidden="1"/>
    <cellStyle name="Followed Hyperlink" xfId="1114" builtinId="9" hidden="1"/>
    <cellStyle name="Followed Hyperlink" xfId="1116" builtinId="9" hidden="1"/>
    <cellStyle name="Followed Hyperlink" xfId="1118" builtinId="9" hidden="1"/>
    <cellStyle name="Followed Hyperlink" xfId="1120" builtinId="9" hidden="1"/>
    <cellStyle name="Followed Hyperlink" xfId="1122" builtinId="9" hidden="1"/>
    <cellStyle name="Followed Hyperlink" xfId="1124" builtinId="9" hidden="1"/>
    <cellStyle name="Followed Hyperlink" xfId="1126" builtinId="9" hidden="1"/>
    <cellStyle name="Followed Hyperlink" xfId="1128" builtinId="9" hidden="1"/>
    <cellStyle name="Followed Hyperlink" xfId="1130" builtinId="9" hidden="1"/>
    <cellStyle name="Followed Hyperlink" xfId="1132" builtinId="9" hidden="1"/>
    <cellStyle name="Followed Hyperlink" xfId="1134" builtinId="9" hidden="1"/>
    <cellStyle name="Followed Hyperlink" xfId="1136" builtinId="9" hidden="1"/>
    <cellStyle name="Followed Hyperlink" xfId="1138" builtinId="9" hidden="1"/>
    <cellStyle name="Followed Hyperlink" xfId="1140" builtinId="9" hidden="1"/>
    <cellStyle name="Followed Hyperlink" xfId="1142" builtinId="9" hidden="1"/>
    <cellStyle name="Followed Hyperlink" xfId="1144" builtinId="9" hidden="1"/>
    <cellStyle name="Followed Hyperlink" xfId="1146" builtinId="9" hidden="1"/>
    <cellStyle name="Followed Hyperlink" xfId="1148" builtinId="9" hidden="1"/>
    <cellStyle name="Followed Hyperlink" xfId="1150" builtinId="9" hidden="1"/>
    <cellStyle name="Followed Hyperlink" xfId="1152" builtinId="9" hidden="1"/>
    <cellStyle name="Followed Hyperlink" xfId="1154" builtinId="9" hidden="1"/>
    <cellStyle name="Followed Hyperlink" xfId="1156" builtinId="9" hidden="1"/>
    <cellStyle name="Followed Hyperlink" xfId="1158" builtinId="9" hidden="1"/>
    <cellStyle name="Followed Hyperlink" xfId="1160" builtinId="9" hidden="1"/>
    <cellStyle name="Followed Hyperlink" xfId="1162" builtinId="9" hidden="1"/>
    <cellStyle name="Followed Hyperlink" xfId="1164" builtinId="9" hidden="1"/>
    <cellStyle name="Followed Hyperlink" xfId="1166" builtinId="9" hidden="1"/>
    <cellStyle name="Followed Hyperlink" xfId="1168" builtinId="9" hidden="1"/>
    <cellStyle name="Followed Hyperlink" xfId="1170" builtinId="9" hidden="1"/>
    <cellStyle name="Followed Hyperlink" xfId="1172" builtinId="9" hidden="1"/>
    <cellStyle name="Followed Hyperlink" xfId="1174" builtinId="9" hidden="1"/>
    <cellStyle name="Followed Hyperlink" xfId="1176" builtinId="9" hidden="1"/>
    <cellStyle name="Followed Hyperlink" xfId="1178" builtinId="9" hidden="1"/>
    <cellStyle name="Followed Hyperlink" xfId="1180" builtinId="9" hidden="1"/>
    <cellStyle name="Followed Hyperlink" xfId="1182" builtinId="9" hidden="1"/>
    <cellStyle name="Followed Hyperlink" xfId="1184" builtinId="9" hidden="1"/>
    <cellStyle name="Followed Hyperlink" xfId="1186" builtinId="9" hidden="1"/>
    <cellStyle name="Followed Hyperlink" xfId="1188" builtinId="9" hidden="1"/>
    <cellStyle name="Followed Hyperlink" xfId="1190" builtinId="9" hidden="1"/>
    <cellStyle name="Followed Hyperlink" xfId="1192" builtinId="9" hidden="1"/>
    <cellStyle name="Followed Hyperlink" xfId="1194" builtinId="9" hidden="1"/>
    <cellStyle name="Followed Hyperlink" xfId="1196" builtinId="9" hidden="1"/>
    <cellStyle name="Followed Hyperlink" xfId="1198" builtinId="9" hidden="1"/>
    <cellStyle name="Followed Hyperlink" xfId="1200" builtinId="9" hidden="1"/>
    <cellStyle name="Followed Hyperlink" xfId="1202" builtinId="9" hidden="1"/>
    <cellStyle name="Followed Hyperlink" xfId="1204" builtinId="9" hidden="1"/>
    <cellStyle name="Followed Hyperlink" xfId="1206" builtinId="9" hidden="1"/>
    <cellStyle name="Followed Hyperlink" xfId="1208" builtinId="9" hidden="1"/>
    <cellStyle name="Followed Hyperlink" xfId="1210" builtinId="9" hidden="1"/>
    <cellStyle name="Followed Hyperlink" xfId="1212" builtinId="9" hidden="1"/>
    <cellStyle name="Followed Hyperlink" xfId="1214" builtinId="9" hidden="1"/>
    <cellStyle name="Followed Hyperlink" xfId="1216" builtinId="9" hidden="1"/>
    <cellStyle name="Followed Hyperlink" xfId="1218" builtinId="9" hidden="1"/>
    <cellStyle name="Followed Hyperlink" xfId="1220" builtinId="9" hidden="1"/>
    <cellStyle name="Followed Hyperlink" xfId="1222" builtinId="9" hidden="1"/>
    <cellStyle name="Followed Hyperlink" xfId="1224" builtinId="9" hidden="1"/>
    <cellStyle name="Followed Hyperlink" xfId="1226" builtinId="9" hidden="1"/>
    <cellStyle name="Followed Hyperlink" xfId="1228" builtinId="9" hidden="1"/>
    <cellStyle name="Followed Hyperlink" xfId="1230" builtinId="9" hidden="1"/>
    <cellStyle name="Followed Hyperlink" xfId="1232" builtinId="9" hidden="1"/>
    <cellStyle name="Followed Hyperlink" xfId="1234" builtinId="9" hidden="1"/>
    <cellStyle name="Followed Hyperlink" xfId="1236" builtinId="9" hidden="1"/>
    <cellStyle name="Followed Hyperlink" xfId="1238" builtinId="9" hidden="1"/>
    <cellStyle name="Followed Hyperlink" xfId="1240" builtinId="9" hidden="1"/>
    <cellStyle name="Followed Hyperlink" xfId="1242" builtinId="9" hidden="1"/>
    <cellStyle name="Followed Hyperlink" xfId="1244" builtinId="9" hidden="1"/>
    <cellStyle name="Followed Hyperlink" xfId="1246" builtinId="9" hidden="1"/>
    <cellStyle name="Followed Hyperlink" xfId="1248" builtinId="9" hidden="1"/>
    <cellStyle name="Followed Hyperlink" xfId="1250" builtinId="9" hidden="1"/>
    <cellStyle name="Followed Hyperlink" xfId="1252" builtinId="9" hidden="1"/>
    <cellStyle name="Followed Hyperlink" xfId="1254" builtinId="9" hidden="1"/>
    <cellStyle name="Followed Hyperlink" xfId="1256" builtinId="9" hidden="1"/>
    <cellStyle name="Followed Hyperlink" xfId="1258" builtinId="9" hidden="1"/>
    <cellStyle name="Followed Hyperlink" xfId="1260" builtinId="9" hidden="1"/>
    <cellStyle name="Followed Hyperlink" xfId="1262" builtinId="9" hidden="1"/>
    <cellStyle name="Followed Hyperlink" xfId="1264" builtinId="9" hidden="1"/>
    <cellStyle name="Followed Hyperlink" xfId="1266" builtinId="9" hidden="1"/>
    <cellStyle name="Followed Hyperlink" xfId="1268" builtinId="9" hidden="1"/>
    <cellStyle name="Followed Hyperlink" xfId="1270" builtinId="9" hidden="1"/>
    <cellStyle name="Followed Hyperlink" xfId="1272" builtinId="9" hidden="1"/>
    <cellStyle name="Followed Hyperlink" xfId="1274" builtinId="9" hidden="1"/>
    <cellStyle name="Followed Hyperlink" xfId="1276" builtinId="9" hidden="1"/>
    <cellStyle name="Followed Hyperlink" xfId="1278" builtinId="9" hidden="1"/>
    <cellStyle name="Followed Hyperlink" xfId="1280" builtinId="9" hidden="1"/>
    <cellStyle name="Followed Hyperlink" xfId="1282" builtinId="9" hidden="1"/>
    <cellStyle name="Followed Hyperlink" xfId="1284" builtinId="9" hidden="1"/>
    <cellStyle name="Followed Hyperlink" xfId="1286" builtinId="9" hidden="1"/>
    <cellStyle name="Followed Hyperlink" xfId="1288" builtinId="9" hidden="1"/>
    <cellStyle name="Followed Hyperlink" xfId="1290" builtinId="9" hidden="1"/>
    <cellStyle name="Followed Hyperlink" xfId="1292" builtinId="9" hidden="1"/>
    <cellStyle name="Followed Hyperlink" xfId="1294" builtinId="9" hidden="1"/>
    <cellStyle name="Followed Hyperlink" xfId="1296" builtinId="9" hidden="1"/>
    <cellStyle name="Followed Hyperlink" xfId="1298" builtinId="9" hidden="1"/>
    <cellStyle name="Followed Hyperlink" xfId="1300" builtinId="9" hidden="1"/>
    <cellStyle name="Followed Hyperlink" xfId="1302" builtinId="9" hidden="1"/>
    <cellStyle name="Followed Hyperlink" xfId="1304" builtinId="9" hidden="1"/>
    <cellStyle name="Followed Hyperlink" xfId="1306" builtinId="9" hidden="1"/>
    <cellStyle name="Followed Hyperlink" xfId="1308" builtinId="9" hidden="1"/>
    <cellStyle name="Followed Hyperlink" xfId="1310" builtinId="9" hidden="1"/>
    <cellStyle name="Followed Hyperlink" xfId="1312" builtinId="9" hidden="1"/>
    <cellStyle name="Followed Hyperlink" xfId="1314" builtinId="9" hidden="1"/>
    <cellStyle name="Followed Hyperlink" xfId="1316" builtinId="9" hidden="1"/>
    <cellStyle name="Followed Hyperlink" xfId="1318" builtinId="9" hidden="1"/>
    <cellStyle name="Followed Hyperlink" xfId="1320" builtinId="9" hidden="1"/>
    <cellStyle name="Followed Hyperlink" xfId="1322" builtinId="9" hidden="1"/>
    <cellStyle name="Followed Hyperlink" xfId="1324" builtinId="9" hidden="1"/>
    <cellStyle name="Followed Hyperlink" xfId="1326" builtinId="9" hidden="1"/>
    <cellStyle name="Followed Hyperlink" xfId="1328" builtinId="9" hidden="1"/>
    <cellStyle name="Followed Hyperlink" xfId="1330" builtinId="9" hidden="1"/>
    <cellStyle name="Followed Hyperlink" xfId="1332" builtinId="9" hidden="1"/>
    <cellStyle name="Followed Hyperlink" xfId="1334" builtinId="9" hidden="1"/>
    <cellStyle name="Followed Hyperlink" xfId="1336" builtinId="9" hidden="1"/>
    <cellStyle name="Followed Hyperlink" xfId="1338" builtinId="9" hidden="1"/>
    <cellStyle name="Followed Hyperlink" xfId="1340" builtinId="9" hidden="1"/>
    <cellStyle name="Followed Hyperlink" xfId="1342" builtinId="9" hidden="1"/>
    <cellStyle name="Followed Hyperlink" xfId="1344" builtinId="9" hidden="1"/>
    <cellStyle name="Followed Hyperlink" xfId="1346" builtinId="9" hidden="1"/>
    <cellStyle name="Followed Hyperlink" xfId="1348" builtinId="9" hidden="1"/>
    <cellStyle name="Followed Hyperlink" xfId="1350" builtinId="9" hidden="1"/>
    <cellStyle name="Followed Hyperlink" xfId="1352" builtinId="9" hidden="1"/>
    <cellStyle name="Followed Hyperlink" xfId="1354" builtinId="9" hidden="1"/>
    <cellStyle name="Followed Hyperlink" xfId="1356" builtinId="9" hidden="1"/>
    <cellStyle name="Followed Hyperlink" xfId="1358" builtinId="9" hidden="1"/>
    <cellStyle name="Followed Hyperlink" xfId="1360" builtinId="9" hidden="1"/>
    <cellStyle name="Followed Hyperlink" xfId="1362" builtinId="9" hidden="1"/>
    <cellStyle name="Followed Hyperlink" xfId="1364" builtinId="9" hidden="1"/>
    <cellStyle name="Followed Hyperlink" xfId="1366" builtinId="9" hidden="1"/>
    <cellStyle name="Followed Hyperlink" xfId="1368" builtinId="9" hidden="1"/>
    <cellStyle name="Followed Hyperlink" xfId="1370" builtinId="9" hidden="1"/>
    <cellStyle name="Followed Hyperlink" xfId="1372" builtinId="9" hidden="1"/>
    <cellStyle name="Followed Hyperlink" xfId="1374" builtinId="9" hidden="1"/>
    <cellStyle name="Followed Hyperlink" xfId="1376" builtinId="9" hidden="1"/>
    <cellStyle name="Followed Hyperlink" xfId="1378" builtinId="9" hidden="1"/>
    <cellStyle name="Followed Hyperlink" xfId="1380" builtinId="9" hidden="1"/>
    <cellStyle name="Followed Hyperlink" xfId="1382" builtinId="9" hidden="1"/>
    <cellStyle name="Followed Hyperlink" xfId="1384" builtinId="9" hidden="1"/>
    <cellStyle name="Followed Hyperlink" xfId="1386" builtinId="9" hidden="1"/>
    <cellStyle name="Followed Hyperlink" xfId="1388" builtinId="9" hidden="1"/>
    <cellStyle name="Followed Hyperlink" xfId="1390" builtinId="9" hidden="1"/>
    <cellStyle name="Followed Hyperlink" xfId="1392" builtinId="9" hidden="1"/>
    <cellStyle name="Followed Hyperlink" xfId="1394" builtinId="9" hidden="1"/>
    <cellStyle name="Followed Hyperlink" xfId="1396" builtinId="9" hidden="1"/>
    <cellStyle name="Followed Hyperlink" xfId="1398" builtinId="9" hidden="1"/>
    <cellStyle name="Followed Hyperlink" xfId="1400" builtinId="9" hidden="1"/>
    <cellStyle name="Followed Hyperlink" xfId="1402" builtinId="9" hidden="1"/>
    <cellStyle name="Followed Hyperlink" xfId="1404" builtinId="9" hidden="1"/>
    <cellStyle name="Followed Hyperlink" xfId="1406" builtinId="9" hidden="1"/>
    <cellStyle name="Followed Hyperlink" xfId="1408" builtinId="9" hidden="1"/>
    <cellStyle name="Followed Hyperlink" xfId="1410" builtinId="9" hidden="1"/>
    <cellStyle name="Followed Hyperlink" xfId="1412" builtinId="9" hidden="1"/>
    <cellStyle name="Followed Hyperlink" xfId="1414" builtinId="9" hidden="1"/>
    <cellStyle name="Followed Hyperlink" xfId="1416" builtinId="9" hidden="1"/>
    <cellStyle name="Followed Hyperlink" xfId="1418" builtinId="9" hidden="1"/>
    <cellStyle name="Followed Hyperlink" xfId="1420" builtinId="9" hidden="1"/>
    <cellStyle name="Followed Hyperlink" xfId="1422" builtinId="9" hidden="1"/>
    <cellStyle name="Followed Hyperlink" xfId="1424" builtinId="9" hidden="1"/>
    <cellStyle name="Followed Hyperlink" xfId="1426" builtinId="9" hidden="1"/>
    <cellStyle name="Followed Hyperlink" xfId="1428" builtinId="9" hidden="1"/>
    <cellStyle name="Followed Hyperlink" xfId="1430" builtinId="9" hidden="1"/>
    <cellStyle name="Followed Hyperlink" xfId="1432" builtinId="9" hidden="1"/>
    <cellStyle name="Followed Hyperlink" xfId="1434" builtinId="9" hidden="1"/>
    <cellStyle name="Followed Hyperlink" xfId="1436" builtinId="9" hidden="1"/>
    <cellStyle name="Followed Hyperlink" xfId="1438" builtinId="9" hidden="1"/>
    <cellStyle name="Followed Hyperlink" xfId="1440" builtinId="9" hidden="1"/>
    <cellStyle name="Followed Hyperlink" xfId="1442" builtinId="9" hidden="1"/>
    <cellStyle name="Followed Hyperlink" xfId="1444" builtinId="9" hidden="1"/>
    <cellStyle name="Followed Hyperlink" xfId="1446" builtinId="9" hidden="1"/>
    <cellStyle name="Followed Hyperlink" xfId="1448" builtinId="9" hidden="1"/>
    <cellStyle name="Followed Hyperlink" xfId="1450" builtinId="9" hidden="1"/>
    <cellStyle name="Followed Hyperlink" xfId="1452" builtinId="9" hidden="1"/>
    <cellStyle name="Followed Hyperlink" xfId="1454" builtinId="9" hidden="1"/>
    <cellStyle name="Followed Hyperlink" xfId="1456" builtinId="9" hidden="1"/>
    <cellStyle name="Followed Hyperlink" xfId="1458" builtinId="9" hidden="1"/>
    <cellStyle name="Followed Hyperlink" xfId="1460" builtinId="9" hidden="1"/>
    <cellStyle name="Followed Hyperlink" xfId="1462" builtinId="9" hidden="1"/>
    <cellStyle name="Followed Hyperlink" xfId="1464" builtinId="9" hidden="1"/>
    <cellStyle name="Followed Hyperlink" xfId="1466" builtinId="9" hidden="1"/>
    <cellStyle name="Followed Hyperlink" xfId="1468" builtinId="9" hidden="1"/>
    <cellStyle name="Followed Hyperlink" xfId="1470" builtinId="9" hidden="1"/>
    <cellStyle name="Followed Hyperlink" xfId="1472" builtinId="9" hidden="1"/>
    <cellStyle name="Followed Hyperlink" xfId="1474" builtinId="9" hidden="1"/>
    <cellStyle name="Followed Hyperlink" xfId="1476" builtinId="9" hidden="1"/>
    <cellStyle name="Followed Hyperlink" xfId="1478" builtinId="9" hidden="1"/>
    <cellStyle name="Followed Hyperlink" xfId="1480" builtinId="9" hidden="1"/>
    <cellStyle name="Followed Hyperlink" xfId="1482" builtinId="9" hidden="1"/>
    <cellStyle name="Followed Hyperlink" xfId="1484" builtinId="9" hidden="1"/>
    <cellStyle name="Followed Hyperlink" xfId="1486" builtinId="9" hidden="1"/>
    <cellStyle name="Followed Hyperlink" xfId="1488" builtinId="9" hidden="1"/>
    <cellStyle name="Followed Hyperlink" xfId="1490" builtinId="9" hidden="1"/>
    <cellStyle name="Followed Hyperlink" xfId="1492" builtinId="9" hidden="1"/>
    <cellStyle name="Followed Hyperlink" xfId="1494" builtinId="9" hidden="1"/>
    <cellStyle name="Followed Hyperlink" xfId="1496" builtinId="9" hidden="1"/>
    <cellStyle name="Followed Hyperlink" xfId="1498" builtinId="9" hidden="1"/>
    <cellStyle name="Followed Hyperlink" xfId="1500" builtinId="9" hidden="1"/>
    <cellStyle name="Followed Hyperlink" xfId="1502" builtinId="9" hidden="1"/>
    <cellStyle name="Followed Hyperlink" xfId="1504" builtinId="9" hidden="1"/>
    <cellStyle name="Followed Hyperlink" xfId="1506" builtinId="9" hidden="1"/>
    <cellStyle name="Followed Hyperlink" xfId="1508" builtinId="9" hidden="1"/>
    <cellStyle name="Followed Hyperlink" xfId="1510" builtinId="9" hidden="1"/>
    <cellStyle name="Followed Hyperlink" xfId="1512" builtinId="9" hidden="1"/>
    <cellStyle name="Followed Hyperlink" xfId="1514" builtinId="9" hidden="1"/>
    <cellStyle name="Followed Hyperlink" xfId="1516" builtinId="9" hidden="1"/>
    <cellStyle name="Followed Hyperlink" xfId="1518" builtinId="9" hidden="1"/>
    <cellStyle name="Followed Hyperlink" xfId="1520" builtinId="9" hidden="1"/>
    <cellStyle name="Followed Hyperlink" xfId="1522" builtinId="9" hidden="1"/>
    <cellStyle name="Followed Hyperlink" xfId="1524" builtinId="9" hidden="1"/>
    <cellStyle name="Followed Hyperlink" xfId="1526" builtinId="9" hidden="1"/>
    <cellStyle name="Followed Hyperlink" xfId="1528" builtinId="9" hidden="1"/>
    <cellStyle name="Followed Hyperlink" xfId="1530" builtinId="9" hidden="1"/>
    <cellStyle name="Followed Hyperlink" xfId="1532" builtinId="9" hidden="1"/>
    <cellStyle name="Followed Hyperlink" xfId="1534" builtinId="9" hidden="1"/>
    <cellStyle name="Followed Hyperlink" xfId="1536" builtinId="9" hidden="1"/>
    <cellStyle name="Followed Hyperlink" xfId="1538" builtinId="9" hidden="1"/>
    <cellStyle name="Followed Hyperlink" xfId="1540" builtinId="9" hidden="1"/>
    <cellStyle name="Followed Hyperlink" xfId="1542" builtinId="9" hidden="1"/>
    <cellStyle name="Followed Hyperlink" xfId="1544" builtinId="9" hidden="1"/>
    <cellStyle name="Followed Hyperlink" xfId="1546" builtinId="9" hidden="1"/>
    <cellStyle name="Followed Hyperlink" xfId="1548" builtinId="9" hidden="1"/>
    <cellStyle name="Followed Hyperlink" xfId="1550" builtinId="9" hidden="1"/>
    <cellStyle name="Followed Hyperlink" xfId="1552" builtinId="9" hidden="1"/>
    <cellStyle name="Followed Hyperlink" xfId="1554" builtinId="9" hidden="1"/>
    <cellStyle name="Followed Hyperlink" xfId="1556" builtinId="9" hidden="1"/>
    <cellStyle name="Followed Hyperlink" xfId="1558" builtinId="9" hidden="1"/>
    <cellStyle name="Followed Hyperlink" xfId="1560" builtinId="9" hidden="1"/>
    <cellStyle name="Followed Hyperlink" xfId="1562" builtinId="9" hidden="1"/>
    <cellStyle name="Followed Hyperlink" xfId="1564" builtinId="9" hidden="1"/>
    <cellStyle name="Followed Hyperlink" xfId="1566" builtinId="9" hidden="1"/>
    <cellStyle name="Followed Hyperlink" xfId="1568" builtinId="9" hidden="1"/>
    <cellStyle name="Followed Hyperlink" xfId="1570" builtinId="9" hidden="1"/>
    <cellStyle name="Followed Hyperlink" xfId="1572" builtinId="9" hidden="1"/>
    <cellStyle name="Followed Hyperlink" xfId="1574" builtinId="9" hidden="1"/>
    <cellStyle name="Followed Hyperlink" xfId="1576" builtinId="9" hidden="1"/>
    <cellStyle name="Followed Hyperlink" xfId="1578" builtinId="9" hidden="1"/>
    <cellStyle name="Followed Hyperlink" xfId="1580" builtinId="9" hidden="1"/>
    <cellStyle name="Followed Hyperlink" xfId="1582" builtinId="9" hidden="1"/>
    <cellStyle name="Followed Hyperlink" xfId="1584" builtinId="9" hidden="1"/>
    <cellStyle name="Followed Hyperlink" xfId="1586" builtinId="9" hidden="1"/>
    <cellStyle name="Followed Hyperlink" xfId="1588" builtinId="9" hidden="1"/>
    <cellStyle name="Followed Hyperlink" xfId="1590" builtinId="9" hidden="1"/>
    <cellStyle name="Followed Hyperlink" xfId="1592" builtinId="9" hidden="1"/>
    <cellStyle name="Followed Hyperlink" xfId="1594" builtinId="9" hidden="1"/>
    <cellStyle name="Followed Hyperlink" xfId="1596" builtinId="9" hidden="1"/>
    <cellStyle name="Followed Hyperlink" xfId="1598" builtinId="9" hidden="1"/>
    <cellStyle name="Followed Hyperlink" xfId="1600" builtinId="9" hidden="1"/>
    <cellStyle name="Followed Hyperlink" xfId="1602" builtinId="9" hidden="1"/>
    <cellStyle name="Followed Hyperlink" xfId="1604" builtinId="9" hidden="1"/>
    <cellStyle name="Followed Hyperlink" xfId="1606" builtinId="9" hidden="1"/>
    <cellStyle name="Followed Hyperlink" xfId="1608" builtinId="9" hidden="1"/>
    <cellStyle name="Followed Hyperlink" xfId="1610" builtinId="9" hidden="1"/>
    <cellStyle name="Followed Hyperlink" xfId="1612" builtinId="9" hidden="1"/>
    <cellStyle name="Followed Hyperlink" xfId="1614" builtinId="9" hidden="1"/>
    <cellStyle name="Followed Hyperlink" xfId="1616" builtinId="9" hidden="1"/>
    <cellStyle name="Followed Hyperlink" xfId="1618" builtinId="9" hidden="1"/>
    <cellStyle name="Followed Hyperlink" xfId="1620" builtinId="9" hidden="1"/>
    <cellStyle name="Followed Hyperlink" xfId="1622" builtinId="9" hidden="1"/>
    <cellStyle name="Followed Hyperlink" xfId="1624" builtinId="9" hidden="1"/>
    <cellStyle name="Followed Hyperlink" xfId="1626" builtinId="9" hidden="1"/>
    <cellStyle name="Followed Hyperlink" xfId="1628" builtinId="9" hidden="1"/>
    <cellStyle name="Followed Hyperlink" xfId="1630" builtinId="9" hidden="1"/>
    <cellStyle name="Followed Hyperlink" xfId="1634" builtinId="9" hidden="1"/>
    <cellStyle name="Followed Hyperlink" xfId="1636" builtinId="9" hidden="1"/>
    <cellStyle name="Followed Hyperlink" xfId="1638" builtinId="9" hidden="1"/>
    <cellStyle name="Followed Hyperlink" xfId="1640" builtinId="9" hidden="1"/>
    <cellStyle name="Followed Hyperlink" xfId="1642" builtinId="9" hidden="1"/>
    <cellStyle name="Followed Hyperlink" xfId="1644" builtinId="9" hidden="1"/>
    <cellStyle name="Followed Hyperlink" xfId="1646" builtinId="9" hidden="1"/>
    <cellStyle name="Followed Hyperlink" xfId="1648" builtinId="9" hidden="1"/>
    <cellStyle name="Followed Hyperlink" xfId="1650" builtinId="9" hidden="1"/>
    <cellStyle name="Followed Hyperlink" xfId="1652" builtinId="9" hidden="1"/>
    <cellStyle name="Followed Hyperlink" xfId="1654" builtinId="9" hidden="1"/>
    <cellStyle name="Followed Hyperlink" xfId="1656" builtinId="9" hidden="1"/>
    <cellStyle name="Followed Hyperlink" xfId="1658" builtinId="9" hidden="1"/>
    <cellStyle name="Followed Hyperlink" xfId="1660" builtinId="9" hidden="1"/>
    <cellStyle name="Followed Hyperlink" xfId="1662" builtinId="9" hidden="1"/>
    <cellStyle name="Followed Hyperlink" xfId="1664" builtinId="9" hidden="1"/>
    <cellStyle name="Followed Hyperlink" xfId="1666" builtinId="9" hidden="1"/>
    <cellStyle name="Followed Hyperlink" xfId="1668" builtinId="9" hidden="1"/>
    <cellStyle name="Followed Hyperlink" xfId="1670" builtinId="9" hidden="1"/>
    <cellStyle name="Followed Hyperlink" xfId="1672" builtinId="9" hidden="1"/>
    <cellStyle name="Followed Hyperlink" xfId="1674" builtinId="9" hidden="1"/>
    <cellStyle name="Followed Hyperlink" xfId="1676" builtinId="9" hidden="1"/>
    <cellStyle name="Followed Hyperlink" xfId="1678" builtinId="9" hidden="1"/>
    <cellStyle name="Followed Hyperlink" xfId="1680" builtinId="9" hidden="1"/>
    <cellStyle name="Followed Hyperlink" xfId="1682" builtinId="9" hidden="1"/>
    <cellStyle name="Followed Hyperlink" xfId="1684" builtinId="9" hidden="1"/>
    <cellStyle name="Followed Hyperlink" xfId="1686" builtinId="9" hidden="1"/>
    <cellStyle name="Followed Hyperlink" xfId="1688" builtinId="9" hidden="1"/>
    <cellStyle name="Followed Hyperlink" xfId="1690" builtinId="9" hidden="1"/>
    <cellStyle name="Followed Hyperlink" xfId="1692" builtinId="9" hidden="1"/>
    <cellStyle name="Followed Hyperlink" xfId="1694" builtinId="9" hidden="1"/>
    <cellStyle name="Followed Hyperlink" xfId="1696" builtinId="9" hidden="1"/>
    <cellStyle name="Followed Hyperlink" xfId="1698" builtinId="9" hidden="1"/>
    <cellStyle name="Followed Hyperlink" xfId="1700" builtinId="9" hidden="1"/>
    <cellStyle name="Followed Hyperlink" xfId="1702" builtinId="9" hidden="1"/>
    <cellStyle name="Followed Hyperlink" xfId="1704" builtinId="9" hidden="1"/>
    <cellStyle name="Followed Hyperlink" xfId="1706" builtinId="9" hidden="1"/>
    <cellStyle name="Followed Hyperlink" xfId="1708" builtinId="9" hidden="1"/>
    <cellStyle name="Followed Hyperlink" xfId="1710" builtinId="9" hidden="1"/>
    <cellStyle name="Followed Hyperlink" xfId="1712" builtinId="9" hidden="1"/>
    <cellStyle name="Followed Hyperlink" xfId="1714" builtinId="9" hidden="1"/>
    <cellStyle name="Followed Hyperlink" xfId="1716" builtinId="9" hidden="1"/>
    <cellStyle name="Followed Hyperlink" xfId="1718" builtinId="9" hidden="1"/>
    <cellStyle name="Followed Hyperlink" xfId="1720" builtinId="9" hidden="1"/>
    <cellStyle name="Followed Hyperlink" xfId="1722" builtinId="9" hidden="1"/>
    <cellStyle name="Followed Hyperlink" xfId="1724" builtinId="9" hidden="1"/>
    <cellStyle name="Followed Hyperlink" xfId="1726" builtinId="9" hidden="1"/>
    <cellStyle name="Followed Hyperlink" xfId="1728" builtinId="9" hidden="1"/>
    <cellStyle name="Followed Hyperlink" xfId="1730" builtinId="9" hidden="1"/>
    <cellStyle name="Followed Hyperlink" xfId="1732" builtinId="9" hidden="1"/>
    <cellStyle name="Followed Hyperlink" xfId="1734" builtinId="9" hidden="1"/>
    <cellStyle name="Followed Hyperlink" xfId="1736" builtinId="9" hidden="1"/>
    <cellStyle name="Followed Hyperlink" xfId="1738" builtinId="9" hidden="1"/>
    <cellStyle name="Followed Hyperlink" xfId="1740" builtinId="9" hidden="1"/>
    <cellStyle name="Followed Hyperlink" xfId="1742" builtinId="9" hidden="1"/>
    <cellStyle name="Followed Hyperlink" xfId="1744" builtinId="9" hidden="1"/>
    <cellStyle name="Followed Hyperlink" xfId="1746" builtinId="9" hidden="1"/>
    <cellStyle name="Followed Hyperlink" xfId="1748" builtinId="9" hidden="1"/>
    <cellStyle name="Followed Hyperlink" xfId="1750" builtinId="9" hidden="1"/>
    <cellStyle name="Followed Hyperlink" xfId="1752" builtinId="9" hidden="1"/>
    <cellStyle name="Followed Hyperlink" xfId="1754" builtinId="9" hidden="1"/>
    <cellStyle name="Followed Hyperlink" xfId="1756" builtinId="9" hidden="1"/>
    <cellStyle name="Followed Hyperlink" xfId="1758" builtinId="9" hidden="1"/>
    <cellStyle name="Followed Hyperlink" xfId="1760" builtinId="9" hidden="1"/>
    <cellStyle name="Followed Hyperlink" xfId="1762" builtinId="9" hidden="1"/>
    <cellStyle name="Followed Hyperlink" xfId="1764" builtinId="9" hidden="1"/>
    <cellStyle name="Followed Hyperlink" xfId="1766" builtinId="9" hidden="1"/>
    <cellStyle name="Followed Hyperlink" xfId="1768" builtinId="9" hidden="1"/>
    <cellStyle name="Followed Hyperlink" xfId="1770" builtinId="9" hidden="1"/>
    <cellStyle name="Followed Hyperlink" xfId="1772" builtinId="9" hidden="1"/>
    <cellStyle name="Followed Hyperlink" xfId="1774" builtinId="9" hidden="1"/>
    <cellStyle name="Followed Hyperlink" xfId="1776" builtinId="9" hidden="1"/>
    <cellStyle name="Followed Hyperlink" xfId="1778" builtinId="9" hidden="1"/>
    <cellStyle name="Followed Hyperlink" xfId="1780" builtinId="9" hidden="1"/>
    <cellStyle name="Followed Hyperlink" xfId="1782" builtinId="9" hidden="1"/>
    <cellStyle name="Followed Hyperlink" xfId="1784" builtinId="9" hidden="1"/>
    <cellStyle name="Followed Hyperlink" xfId="1786" builtinId="9" hidden="1"/>
    <cellStyle name="Followed Hyperlink" xfId="1788" builtinId="9" hidden="1"/>
    <cellStyle name="Followed Hyperlink" xfId="1790" builtinId="9" hidden="1"/>
    <cellStyle name="Followed Hyperlink" xfId="1792" builtinId="9" hidden="1"/>
    <cellStyle name="Followed Hyperlink" xfId="1794" builtinId="9" hidden="1"/>
    <cellStyle name="Followed Hyperlink" xfId="1796" builtinId="9" hidden="1"/>
    <cellStyle name="Followed Hyperlink" xfId="1798" builtinId="9" hidden="1"/>
    <cellStyle name="Followed Hyperlink" xfId="1800" builtinId="9" hidden="1"/>
    <cellStyle name="Followed Hyperlink" xfId="1802" builtinId="9" hidden="1"/>
    <cellStyle name="Followed Hyperlink" xfId="1804" builtinId="9" hidden="1"/>
    <cellStyle name="Followed Hyperlink" xfId="1806" builtinId="9" hidden="1"/>
    <cellStyle name="Followed Hyperlink" xfId="1808" builtinId="9" hidden="1"/>
    <cellStyle name="Followed Hyperlink" xfId="1810" builtinId="9" hidden="1"/>
    <cellStyle name="Followed Hyperlink" xfId="1812" builtinId="9" hidden="1"/>
    <cellStyle name="Followed Hyperlink" xfId="1814" builtinId="9" hidden="1"/>
    <cellStyle name="Followed Hyperlink" xfId="1816" builtinId="9" hidden="1"/>
    <cellStyle name="Followed Hyperlink" xfId="1818" builtinId="9" hidden="1"/>
    <cellStyle name="Followed Hyperlink" xfId="1820" builtinId="9" hidden="1"/>
    <cellStyle name="Followed Hyperlink" xfId="1822" builtinId="9" hidden="1"/>
    <cellStyle name="Followed Hyperlink" xfId="1824" builtinId="9" hidden="1"/>
    <cellStyle name="Followed Hyperlink" xfId="1826" builtinId="9" hidden="1"/>
    <cellStyle name="Followed Hyperlink" xfId="1828" builtinId="9" hidden="1"/>
    <cellStyle name="Followed Hyperlink" xfId="1830" builtinId="9" hidden="1"/>
    <cellStyle name="Followed Hyperlink" xfId="1832" builtinId="9" hidden="1"/>
    <cellStyle name="Followed Hyperlink" xfId="1834" builtinId="9" hidden="1"/>
    <cellStyle name="Followed Hyperlink" xfId="1836" builtinId="9" hidden="1"/>
    <cellStyle name="Followed Hyperlink" xfId="1838" builtinId="9" hidden="1"/>
    <cellStyle name="Followed Hyperlink" xfId="1840" builtinId="9" hidden="1"/>
    <cellStyle name="Followed Hyperlink" xfId="1842" builtinId="9" hidden="1"/>
    <cellStyle name="Followed Hyperlink" xfId="1844" builtinId="9" hidden="1"/>
    <cellStyle name="Followed Hyperlink" xfId="1846" builtinId="9" hidden="1"/>
    <cellStyle name="Followed Hyperlink" xfId="1848" builtinId="9" hidden="1"/>
    <cellStyle name="Followed Hyperlink" xfId="1850" builtinId="9" hidden="1"/>
    <cellStyle name="Followed Hyperlink" xfId="1852" builtinId="9" hidden="1"/>
    <cellStyle name="Followed Hyperlink" xfId="1854" builtinId="9" hidden="1"/>
    <cellStyle name="Followed Hyperlink" xfId="1856" builtinId="9" hidden="1"/>
    <cellStyle name="Followed Hyperlink" xfId="1858" builtinId="9" hidden="1"/>
    <cellStyle name="Followed Hyperlink" xfId="1860" builtinId="9" hidden="1"/>
    <cellStyle name="Followed Hyperlink" xfId="1862" builtinId="9" hidden="1"/>
    <cellStyle name="Followed Hyperlink" xfId="1866" builtinId="9" hidden="1"/>
    <cellStyle name="Followed Hyperlink" xfId="1868" builtinId="9" hidden="1"/>
    <cellStyle name="Followed Hyperlink" xfId="1870" builtinId="9" hidden="1"/>
    <cellStyle name="Followed Hyperlink" xfId="1872" builtinId="9" hidden="1"/>
    <cellStyle name="Followed Hyperlink" xfId="1874" builtinId="9" hidden="1"/>
    <cellStyle name="Followed Hyperlink" xfId="1876" builtinId="9" hidden="1"/>
    <cellStyle name="Followed Hyperlink" xfId="1878" builtinId="9" hidden="1"/>
    <cellStyle name="Followed Hyperlink" xfId="1880" builtinId="9" hidden="1"/>
    <cellStyle name="Followed Hyperlink" xfId="1882" builtinId="9" hidden="1"/>
    <cellStyle name="Followed Hyperlink" xfId="1884" builtinId="9" hidden="1"/>
    <cellStyle name="Followed Hyperlink" xfId="1886" builtinId="9" hidden="1"/>
    <cellStyle name="Followed Hyperlink" xfId="1888" builtinId="9" hidden="1"/>
    <cellStyle name="Followed Hyperlink" xfId="1890" builtinId="9" hidden="1"/>
    <cellStyle name="Followed Hyperlink" xfId="1892" builtinId="9" hidden="1"/>
    <cellStyle name="Followed Hyperlink" xfId="1894" builtinId="9" hidden="1"/>
    <cellStyle name="Followed Hyperlink" xfId="1896" builtinId="9" hidden="1"/>
    <cellStyle name="Followed Hyperlink" xfId="1898" builtinId="9" hidden="1"/>
    <cellStyle name="Followed Hyperlink" xfId="1900" builtinId="9" hidden="1"/>
    <cellStyle name="Followed Hyperlink" xfId="1902" builtinId="9" hidden="1"/>
    <cellStyle name="Followed Hyperlink" xfId="1904" builtinId="9" hidden="1"/>
    <cellStyle name="Followed Hyperlink" xfId="1906" builtinId="9" hidden="1"/>
    <cellStyle name="Followed Hyperlink" xfId="1908" builtinId="9" hidden="1"/>
    <cellStyle name="Followed Hyperlink" xfId="1910" builtinId="9" hidden="1"/>
    <cellStyle name="Followed Hyperlink" xfId="1912" builtinId="9" hidden="1"/>
    <cellStyle name="Followed Hyperlink" xfId="1914" builtinId="9" hidden="1"/>
    <cellStyle name="Followed Hyperlink" xfId="1916" builtinId="9" hidden="1"/>
    <cellStyle name="Followed Hyperlink" xfId="1918" builtinId="9" hidden="1"/>
    <cellStyle name="Followed Hyperlink" xfId="1920" builtinId="9" hidden="1"/>
    <cellStyle name="Followed Hyperlink" xfId="1922" builtinId="9" hidden="1"/>
    <cellStyle name="Followed Hyperlink" xfId="1924" builtinId="9" hidden="1"/>
    <cellStyle name="Followed Hyperlink" xfId="1926" builtinId="9" hidden="1"/>
    <cellStyle name="Followed Hyperlink" xfId="1928" builtinId="9" hidden="1"/>
    <cellStyle name="Followed Hyperlink" xfId="1930" builtinId="9" hidden="1"/>
    <cellStyle name="Followed Hyperlink" xfId="1932" builtinId="9" hidden="1"/>
    <cellStyle name="Followed Hyperlink" xfId="1934" builtinId="9" hidden="1"/>
    <cellStyle name="Followed Hyperlink" xfId="1936" builtinId="9" hidden="1"/>
    <cellStyle name="Followed Hyperlink" xfId="1938" builtinId="9" hidden="1"/>
    <cellStyle name="Followed Hyperlink" xfId="1940" builtinId="9" hidden="1"/>
    <cellStyle name="Followed Hyperlink" xfId="1942" builtinId="9" hidden="1"/>
    <cellStyle name="Followed Hyperlink" xfId="1944" builtinId="9" hidden="1"/>
    <cellStyle name="Followed Hyperlink" xfId="1946" builtinId="9" hidden="1"/>
    <cellStyle name="Followed Hyperlink" xfId="1948" builtinId="9" hidden="1"/>
    <cellStyle name="Followed Hyperlink" xfId="1950" builtinId="9" hidden="1"/>
    <cellStyle name="Followed Hyperlink" xfId="1952" builtinId="9" hidden="1"/>
    <cellStyle name="Followed Hyperlink" xfId="1954" builtinId="9" hidden="1"/>
    <cellStyle name="Followed Hyperlink" xfId="1956" builtinId="9" hidden="1"/>
    <cellStyle name="Followed Hyperlink" xfId="1958" builtinId="9" hidden="1"/>
    <cellStyle name="Followed Hyperlink" xfId="1960" builtinId="9" hidden="1"/>
    <cellStyle name="Followed Hyperlink" xfId="1962" builtinId="9" hidden="1"/>
    <cellStyle name="Followed Hyperlink" xfId="1964" builtinId="9" hidden="1"/>
    <cellStyle name="Followed Hyperlink" xfId="1966" builtinId="9" hidden="1"/>
    <cellStyle name="Followed Hyperlink" xfId="1968" builtinId="9" hidden="1"/>
    <cellStyle name="Followed Hyperlink" xfId="1970" builtinId="9" hidden="1"/>
    <cellStyle name="Followed Hyperlink" xfId="1972" builtinId="9" hidden="1"/>
    <cellStyle name="Followed Hyperlink" xfId="1974" builtinId="9" hidden="1"/>
    <cellStyle name="Followed Hyperlink" xfId="1976" builtinId="9" hidden="1"/>
    <cellStyle name="Followed Hyperlink" xfId="1978" builtinId="9" hidden="1"/>
    <cellStyle name="Followed Hyperlink" xfId="1980" builtinId="9" hidden="1"/>
    <cellStyle name="Followed Hyperlink" xfId="1982" builtinId="9" hidden="1"/>
    <cellStyle name="Followed Hyperlink" xfId="1984" builtinId="9" hidden="1"/>
    <cellStyle name="Followed Hyperlink" xfId="1986" builtinId="9" hidden="1"/>
    <cellStyle name="Followed Hyperlink" xfId="1988" builtinId="9" hidden="1"/>
    <cellStyle name="Followed Hyperlink" xfId="1990" builtinId="9" hidden="1"/>
    <cellStyle name="Followed Hyperlink" xfId="1992" builtinId="9" hidden="1"/>
    <cellStyle name="Followed Hyperlink" xfId="1994" builtinId="9" hidden="1"/>
    <cellStyle name="Followed Hyperlink" xfId="1996" builtinId="9" hidden="1"/>
    <cellStyle name="Followed Hyperlink" xfId="1998" builtinId="9" hidden="1"/>
    <cellStyle name="Followed Hyperlink" xfId="2000" builtinId="9" hidden="1"/>
    <cellStyle name="Followed Hyperlink" xfId="2002" builtinId="9" hidden="1"/>
    <cellStyle name="Followed Hyperlink" xfId="2004" builtinId="9" hidden="1"/>
    <cellStyle name="Followed Hyperlink" xfId="2006" builtinId="9" hidden="1"/>
    <cellStyle name="Followed Hyperlink" xfId="2008" builtinId="9" hidden="1"/>
    <cellStyle name="Followed Hyperlink" xfId="2010" builtinId="9" hidden="1"/>
    <cellStyle name="Followed Hyperlink" xfId="2012" builtinId="9" hidden="1"/>
    <cellStyle name="Followed Hyperlink" xfId="2014" builtinId="9" hidden="1"/>
    <cellStyle name="Followed Hyperlink" xfId="2016" builtinId="9" hidden="1"/>
    <cellStyle name="Followed Hyperlink" xfId="2018" builtinId="9" hidden="1"/>
    <cellStyle name="Followed Hyperlink" xfId="2020" builtinId="9" hidden="1"/>
    <cellStyle name="Followed Hyperlink" xfId="2022" builtinId="9" hidden="1"/>
    <cellStyle name="Followed Hyperlink" xfId="2024" builtinId="9" hidden="1"/>
    <cellStyle name="Followed Hyperlink" xfId="2026" builtinId="9" hidden="1"/>
    <cellStyle name="Followed Hyperlink" xfId="2028" builtinId="9" hidden="1"/>
    <cellStyle name="Followed Hyperlink" xfId="2030" builtinId="9" hidden="1"/>
    <cellStyle name="Followed Hyperlink" xfId="2032" builtinId="9" hidden="1"/>
    <cellStyle name="Followed Hyperlink" xfId="2034" builtinId="9" hidden="1"/>
    <cellStyle name="Followed Hyperlink" xfId="2036" builtinId="9" hidden="1"/>
    <cellStyle name="Followed Hyperlink" xfId="2038" builtinId="9" hidden="1"/>
    <cellStyle name="Followed Hyperlink" xfId="2040" builtinId="9" hidden="1"/>
    <cellStyle name="Followed Hyperlink" xfId="2042" builtinId="9" hidden="1"/>
    <cellStyle name="Followed Hyperlink" xfId="2044" builtinId="9" hidden="1"/>
    <cellStyle name="Followed Hyperlink" xfId="2046" builtinId="9" hidden="1"/>
    <cellStyle name="Followed Hyperlink" xfId="2048" builtinId="9" hidden="1"/>
    <cellStyle name="Followed Hyperlink" xfId="2050" builtinId="9" hidden="1"/>
    <cellStyle name="Followed Hyperlink" xfId="2052" builtinId="9" hidden="1"/>
    <cellStyle name="Followed Hyperlink" xfId="2054" builtinId="9" hidden="1"/>
    <cellStyle name="Followed Hyperlink" xfId="2056" builtinId="9" hidden="1"/>
    <cellStyle name="Followed Hyperlink" xfId="2058" builtinId="9" hidden="1"/>
    <cellStyle name="Followed Hyperlink" xfId="2060" builtinId="9" hidden="1"/>
    <cellStyle name="Followed Hyperlink" xfId="2062" builtinId="9" hidden="1"/>
    <cellStyle name="Followed Hyperlink" xfId="2064" builtinId="9" hidden="1"/>
    <cellStyle name="Followed Hyperlink" xfId="2066" builtinId="9" hidden="1"/>
    <cellStyle name="Followed Hyperlink" xfId="2068" builtinId="9" hidden="1"/>
    <cellStyle name="Followed Hyperlink" xfId="2070" builtinId="9" hidden="1"/>
    <cellStyle name="Followed Hyperlink" xfId="2072" builtinId="9" hidden="1"/>
    <cellStyle name="Followed Hyperlink" xfId="2074" builtinId="9" hidden="1"/>
    <cellStyle name="Followed Hyperlink" xfId="2076" builtinId="9" hidden="1"/>
    <cellStyle name="Followed Hyperlink" xfId="2078" builtinId="9" hidden="1"/>
    <cellStyle name="Followed Hyperlink" xfId="2080" builtinId="9" hidden="1"/>
    <cellStyle name="Followed Hyperlink" xfId="2082" builtinId="9" hidden="1"/>
    <cellStyle name="Followed Hyperlink" xfId="2084" builtinId="9" hidden="1"/>
    <cellStyle name="Followed Hyperlink" xfId="2086" builtinId="9" hidden="1"/>
    <cellStyle name="Followed Hyperlink" xfId="2088" builtinId="9" hidden="1"/>
    <cellStyle name="Followed Hyperlink" xfId="2090" builtinId="9" hidden="1"/>
    <cellStyle name="Followed Hyperlink" xfId="2092" builtinId="9" hidden="1"/>
    <cellStyle name="Followed Hyperlink" xfId="2094" builtinId="9" hidden="1"/>
    <cellStyle name="Followed Hyperlink" xfId="2096" builtinId="9" hidden="1"/>
    <cellStyle name="Followed Hyperlink" xfId="2098" builtinId="9" hidden="1"/>
    <cellStyle name="Followed Hyperlink" xfId="2100" builtinId="9" hidden="1"/>
    <cellStyle name="Followed Hyperlink" xfId="2102" builtinId="9" hidden="1"/>
    <cellStyle name="Followed Hyperlink" xfId="2104" builtinId="9" hidden="1"/>
    <cellStyle name="Followed Hyperlink" xfId="2106" builtinId="9" hidden="1"/>
    <cellStyle name="Followed Hyperlink" xfId="2108" builtinId="9" hidden="1"/>
    <cellStyle name="Followed Hyperlink" xfId="2110" builtinId="9" hidden="1"/>
    <cellStyle name="Followed Hyperlink" xfId="2112" builtinId="9" hidden="1"/>
    <cellStyle name="Followed Hyperlink" xfId="2114" builtinId="9" hidden="1"/>
    <cellStyle name="Followed Hyperlink" xfId="2116" builtinId="9" hidden="1"/>
    <cellStyle name="Followed Hyperlink" xfId="2118" builtinId="9" hidden="1"/>
    <cellStyle name="Followed Hyperlink" xfId="2120" builtinId="9" hidden="1"/>
    <cellStyle name="Followed Hyperlink" xfId="2122" builtinId="9" hidden="1"/>
    <cellStyle name="Followed Hyperlink" xfId="2124" builtinId="9" hidden="1"/>
    <cellStyle name="Followed Hyperlink" xfId="2126" builtinId="9" hidden="1"/>
    <cellStyle name="Followed Hyperlink" xfId="2128" builtinId="9" hidden="1"/>
    <cellStyle name="Followed Hyperlink" xfId="2130" builtinId="9" hidden="1"/>
    <cellStyle name="Followed Hyperlink" xfId="2132" builtinId="9" hidden="1"/>
    <cellStyle name="Followed Hyperlink" xfId="2134" builtinId="9" hidden="1"/>
    <cellStyle name="Followed Hyperlink" xfId="2136" builtinId="9" hidden="1"/>
    <cellStyle name="Followed Hyperlink" xfId="2138" builtinId="9" hidden="1"/>
    <cellStyle name="Followed Hyperlink" xfId="2140" builtinId="9" hidden="1"/>
    <cellStyle name="Followed Hyperlink" xfId="2142" builtinId="9" hidden="1"/>
    <cellStyle name="Followed Hyperlink" xfId="2144" builtinId="9" hidden="1"/>
    <cellStyle name="Followed Hyperlink" xfId="2146" builtinId="9" hidden="1"/>
    <cellStyle name="Followed Hyperlink" xfId="2148" builtinId="9" hidden="1"/>
    <cellStyle name="Followed Hyperlink" xfId="2150" builtinId="9" hidden="1"/>
    <cellStyle name="Followed Hyperlink" xfId="2152" builtinId="9" hidden="1"/>
    <cellStyle name="Followed Hyperlink" xfId="2154" builtinId="9" hidden="1"/>
    <cellStyle name="Followed Hyperlink" xfId="2156" builtinId="9" hidden="1"/>
    <cellStyle name="Followed Hyperlink" xfId="2158" builtinId="9" hidden="1"/>
    <cellStyle name="Followed Hyperlink" xfId="2160" builtinId="9" hidden="1"/>
    <cellStyle name="Followed Hyperlink" xfId="2162" builtinId="9" hidden="1"/>
    <cellStyle name="Followed Hyperlink" xfId="2164" builtinId="9" hidden="1"/>
    <cellStyle name="Followed Hyperlink" xfId="2166" builtinId="9" hidden="1"/>
    <cellStyle name="Followed Hyperlink" xfId="2168" builtinId="9" hidden="1"/>
    <cellStyle name="Followed Hyperlink" xfId="2170" builtinId="9" hidden="1"/>
    <cellStyle name="Followed Hyperlink" xfId="2172" builtinId="9" hidden="1"/>
    <cellStyle name="Followed Hyperlink" xfId="2174" builtinId="9" hidden="1"/>
    <cellStyle name="Followed Hyperlink" xfId="2176" builtinId="9" hidden="1"/>
    <cellStyle name="Followed Hyperlink" xfId="2178" builtinId="9" hidden="1"/>
    <cellStyle name="Followed Hyperlink" xfId="2180" builtinId="9" hidden="1"/>
    <cellStyle name="Followed Hyperlink" xfId="2182" builtinId="9" hidden="1"/>
    <cellStyle name="Followed Hyperlink" xfId="2184" builtinId="9" hidden="1"/>
    <cellStyle name="Followed Hyperlink" xfId="2186" builtinId="9" hidden="1"/>
    <cellStyle name="Followed Hyperlink" xfId="2188" builtinId="9" hidden="1"/>
    <cellStyle name="Followed Hyperlink" xfId="2190" builtinId="9" hidden="1"/>
    <cellStyle name="Followed Hyperlink" xfId="2192" builtinId="9" hidden="1"/>
    <cellStyle name="Followed Hyperlink" xfId="2194" builtinId="9" hidden="1"/>
    <cellStyle name="Followed Hyperlink" xfId="2196" builtinId="9" hidden="1"/>
    <cellStyle name="Followed Hyperlink" xfId="2198" builtinId="9" hidden="1"/>
    <cellStyle name="Followed Hyperlink" xfId="2200" builtinId="9" hidden="1"/>
    <cellStyle name="Followed Hyperlink" xfId="2202" builtinId="9" hidden="1"/>
    <cellStyle name="Followed Hyperlink" xfId="2204" builtinId="9" hidden="1"/>
    <cellStyle name="Followed Hyperlink" xfId="2206" builtinId="9" hidden="1"/>
    <cellStyle name="Followed Hyperlink" xfId="2208" builtinId="9" hidden="1"/>
    <cellStyle name="Followed Hyperlink" xfId="2210" builtinId="9" hidden="1"/>
    <cellStyle name="Followed Hyperlink" xfId="2212" builtinId="9" hidden="1"/>
    <cellStyle name="Followed Hyperlink" xfId="2214" builtinId="9" hidden="1"/>
    <cellStyle name="Followed Hyperlink" xfId="2216" builtinId="9" hidden="1"/>
    <cellStyle name="Followed Hyperlink" xfId="2218" builtinId="9" hidden="1"/>
    <cellStyle name="Followed Hyperlink" xfId="2220" builtinId="9" hidden="1"/>
    <cellStyle name="Followed Hyperlink" xfId="2222" builtinId="9" hidden="1"/>
    <cellStyle name="Followed Hyperlink" xfId="2224" builtinId="9" hidden="1"/>
    <cellStyle name="Followed Hyperlink" xfId="2226" builtinId="9" hidden="1"/>
    <cellStyle name="Followed Hyperlink" xfId="2228" builtinId="9" hidden="1"/>
    <cellStyle name="Followed Hyperlink" xfId="2230" builtinId="9" hidden="1"/>
    <cellStyle name="Followed Hyperlink" xfId="2232" builtinId="9" hidden="1"/>
    <cellStyle name="Followed Hyperlink" xfId="2234" builtinId="9" hidden="1"/>
    <cellStyle name="Followed Hyperlink" xfId="2236" builtinId="9" hidden="1"/>
    <cellStyle name="Followed Hyperlink" xfId="2238" builtinId="9" hidden="1"/>
    <cellStyle name="Followed Hyperlink" xfId="2240" builtinId="9" hidden="1"/>
    <cellStyle name="Followed Hyperlink" xfId="2242" builtinId="9" hidden="1"/>
    <cellStyle name="Followed Hyperlink" xfId="2244" builtinId="9" hidden="1"/>
    <cellStyle name="Followed Hyperlink" xfId="2246" builtinId="9" hidden="1"/>
    <cellStyle name="Followed Hyperlink" xfId="2248" builtinId="9" hidden="1"/>
    <cellStyle name="Followed Hyperlink" xfId="2250" builtinId="9" hidden="1"/>
    <cellStyle name="Followed Hyperlink" xfId="2252" builtinId="9" hidden="1"/>
    <cellStyle name="Followed Hyperlink" xfId="2254" builtinId="9" hidden="1"/>
    <cellStyle name="Followed Hyperlink" xfId="2256" builtinId="9" hidden="1"/>
    <cellStyle name="Followed Hyperlink" xfId="2258" builtinId="9" hidden="1"/>
    <cellStyle name="Followed Hyperlink" xfId="2260" builtinId="9" hidden="1"/>
    <cellStyle name="Followed Hyperlink" xfId="2262" builtinId="9" hidden="1"/>
    <cellStyle name="Followed Hyperlink" xfId="2264" builtinId="9" hidden="1"/>
    <cellStyle name="Followed Hyperlink" xfId="2266" builtinId="9" hidden="1"/>
    <cellStyle name="Followed Hyperlink" xfId="2268" builtinId="9" hidden="1"/>
    <cellStyle name="Followed Hyperlink" xfId="2270" builtinId="9" hidden="1"/>
    <cellStyle name="Followed Hyperlink" xfId="2272" builtinId="9" hidden="1"/>
    <cellStyle name="Followed Hyperlink" xfId="2274" builtinId="9" hidden="1"/>
    <cellStyle name="Followed Hyperlink" xfId="2276" builtinId="9" hidden="1"/>
    <cellStyle name="Followed Hyperlink" xfId="2278" builtinId="9" hidden="1"/>
    <cellStyle name="Followed Hyperlink" xfId="2280" builtinId="9" hidden="1"/>
    <cellStyle name="Followed Hyperlink" xfId="2282" builtinId="9" hidden="1"/>
    <cellStyle name="Followed Hyperlink" xfId="2284" builtinId="9" hidden="1"/>
    <cellStyle name="Followed Hyperlink" xfId="2286" builtinId="9" hidden="1"/>
    <cellStyle name="Followed Hyperlink" xfId="2288" builtinId="9" hidden="1"/>
    <cellStyle name="Followed Hyperlink" xfId="2290" builtinId="9" hidden="1"/>
    <cellStyle name="Followed Hyperlink" xfId="2292" builtinId="9" hidden="1"/>
    <cellStyle name="Followed Hyperlink" xfId="2294" builtinId="9" hidden="1"/>
    <cellStyle name="Followed Hyperlink" xfId="2296" builtinId="9" hidden="1"/>
    <cellStyle name="Followed Hyperlink" xfId="2298" builtinId="9" hidden="1"/>
    <cellStyle name="Followed Hyperlink" xfId="2300" builtinId="9" hidden="1"/>
    <cellStyle name="Followed Hyperlink" xfId="2302" builtinId="9" hidden="1"/>
    <cellStyle name="Followed Hyperlink" xfId="2304" builtinId="9" hidden="1"/>
    <cellStyle name="Followed Hyperlink" xfId="2306" builtinId="9" hidden="1"/>
    <cellStyle name="Followed Hyperlink" xfId="2308" builtinId="9" hidden="1"/>
    <cellStyle name="Followed Hyperlink" xfId="2310" builtinId="9" hidden="1"/>
    <cellStyle name="Followed Hyperlink" xfId="2312" builtinId="9" hidden="1"/>
    <cellStyle name="Followed Hyperlink" xfId="2314" builtinId="9" hidden="1"/>
    <cellStyle name="Followed Hyperlink" xfId="2316" builtinId="9" hidden="1"/>
    <cellStyle name="Followed Hyperlink" xfId="2318" builtinId="9" hidden="1"/>
    <cellStyle name="Followed Hyperlink" xfId="2320" builtinId="9" hidden="1"/>
    <cellStyle name="Followed Hyperlink" xfId="2322" builtinId="9" hidden="1"/>
    <cellStyle name="Followed Hyperlink" xfId="2324" builtinId="9" hidden="1"/>
    <cellStyle name="Followed Hyperlink" xfId="2326" builtinId="9" hidden="1"/>
    <cellStyle name="Followed Hyperlink" xfId="2328" builtinId="9" hidden="1"/>
    <cellStyle name="Followed Hyperlink" xfId="2330" builtinId="9" hidden="1"/>
    <cellStyle name="Followed Hyperlink" xfId="2332" builtinId="9" hidden="1"/>
    <cellStyle name="Followed Hyperlink" xfId="2334" builtinId="9" hidden="1"/>
    <cellStyle name="Followed Hyperlink" xfId="2336" builtinId="9" hidden="1"/>
    <cellStyle name="Followed Hyperlink" xfId="2338" builtinId="9" hidden="1"/>
    <cellStyle name="Followed Hyperlink" xfId="2340" builtinId="9" hidden="1"/>
    <cellStyle name="Followed Hyperlink" xfId="2342" builtinId="9" hidden="1"/>
    <cellStyle name="Followed Hyperlink" xfId="2344" builtinId="9" hidden="1"/>
    <cellStyle name="Followed Hyperlink" xfId="2346" builtinId="9" hidden="1"/>
    <cellStyle name="Followed Hyperlink" xfId="2348" builtinId="9" hidden="1"/>
    <cellStyle name="Followed Hyperlink" xfId="2350" builtinId="9" hidden="1"/>
    <cellStyle name="Followed Hyperlink" xfId="2352" builtinId="9" hidden="1"/>
    <cellStyle name="Followed Hyperlink" xfId="2354" builtinId="9" hidden="1"/>
    <cellStyle name="Followed Hyperlink" xfId="2356" builtinId="9" hidden="1"/>
    <cellStyle name="Followed Hyperlink" xfId="2358" builtinId="9" hidden="1"/>
    <cellStyle name="Followed Hyperlink" xfId="2360" builtinId="9" hidden="1"/>
    <cellStyle name="Followed Hyperlink" xfId="2362" builtinId="9" hidden="1"/>
    <cellStyle name="Followed Hyperlink" xfId="2364" builtinId="9" hidden="1"/>
    <cellStyle name="Followed Hyperlink" xfId="2366" builtinId="9" hidden="1"/>
    <cellStyle name="Followed Hyperlink" xfId="2368" builtinId="9" hidden="1"/>
    <cellStyle name="Followed Hyperlink" xfId="2370" builtinId="9" hidden="1"/>
    <cellStyle name="Followed Hyperlink" xfId="2372" builtinId="9" hidden="1"/>
    <cellStyle name="Followed Hyperlink" xfId="2374" builtinId="9" hidden="1"/>
    <cellStyle name="Followed Hyperlink" xfId="2376" builtinId="9" hidden="1"/>
    <cellStyle name="Followed Hyperlink" xfId="2378" builtinId="9" hidden="1"/>
    <cellStyle name="Followed Hyperlink" xfId="2380" builtinId="9" hidden="1"/>
    <cellStyle name="Followed Hyperlink" xfId="2382" builtinId="9" hidden="1"/>
    <cellStyle name="Followed Hyperlink" xfId="2384" builtinId="9" hidden="1"/>
    <cellStyle name="Followed Hyperlink" xfId="2386" builtinId="9" hidden="1"/>
    <cellStyle name="Followed Hyperlink" xfId="2388" builtinId="9" hidden="1"/>
    <cellStyle name="Followed Hyperlink" xfId="2390" builtinId="9" hidden="1"/>
    <cellStyle name="Followed Hyperlink" xfId="2392" builtinId="9" hidden="1"/>
    <cellStyle name="Followed Hyperlink" xfId="2394" builtinId="9" hidden="1"/>
    <cellStyle name="Followed Hyperlink" xfId="2396" builtinId="9" hidden="1"/>
    <cellStyle name="Followed Hyperlink" xfId="2398" builtinId="9" hidden="1"/>
    <cellStyle name="Followed Hyperlink" xfId="2400" builtinId="9" hidden="1"/>
    <cellStyle name="Followed Hyperlink" xfId="2402" builtinId="9" hidden="1"/>
    <cellStyle name="Followed Hyperlink" xfId="2404" builtinId="9" hidden="1"/>
    <cellStyle name="Followed Hyperlink" xfId="2406" builtinId="9" hidden="1"/>
    <cellStyle name="Followed Hyperlink" xfId="2408" builtinId="9" hidden="1"/>
    <cellStyle name="Followed Hyperlink" xfId="2410" builtinId="9" hidden="1"/>
    <cellStyle name="Followed Hyperlink" xfId="2412" builtinId="9" hidden="1"/>
    <cellStyle name="Followed Hyperlink" xfId="2414" builtinId="9" hidden="1"/>
    <cellStyle name="Followed Hyperlink" xfId="2416" builtinId="9" hidden="1"/>
    <cellStyle name="Followed Hyperlink" xfId="2418" builtinId="9" hidden="1"/>
    <cellStyle name="Followed Hyperlink" xfId="2420" builtinId="9" hidden="1"/>
    <cellStyle name="Followed Hyperlink" xfId="2422" builtinId="9" hidden="1"/>
    <cellStyle name="Followed Hyperlink" xfId="2424" builtinId="9" hidden="1"/>
    <cellStyle name="Followed Hyperlink" xfId="2426" builtinId="9" hidden="1"/>
    <cellStyle name="Followed Hyperlink" xfId="2428" builtinId="9" hidden="1"/>
    <cellStyle name="Followed Hyperlink" xfId="2430" builtinId="9" hidden="1"/>
    <cellStyle name="Followed Hyperlink" xfId="2432" builtinId="9" hidden="1"/>
    <cellStyle name="Followed Hyperlink" xfId="2434" builtinId="9" hidden="1"/>
    <cellStyle name="Followed Hyperlink" xfId="2436" builtinId="9" hidden="1"/>
    <cellStyle name="Followed Hyperlink" xfId="2438" builtinId="9" hidden="1"/>
    <cellStyle name="Followed Hyperlink" xfId="2440" builtinId="9" hidden="1"/>
    <cellStyle name="Followed Hyperlink" xfId="2442" builtinId="9" hidden="1"/>
    <cellStyle name="Followed Hyperlink" xfId="2444" builtinId="9" hidden="1"/>
    <cellStyle name="Followed Hyperlink" xfId="2446" builtinId="9" hidden="1"/>
    <cellStyle name="Followed Hyperlink" xfId="2448" builtinId="9" hidden="1"/>
    <cellStyle name="Followed Hyperlink" xfId="2450" builtinId="9" hidden="1"/>
    <cellStyle name="Followed Hyperlink" xfId="2452" builtinId="9" hidden="1"/>
    <cellStyle name="Followed Hyperlink" xfId="2454" builtinId="9" hidden="1"/>
    <cellStyle name="Followed Hyperlink" xfId="2456" builtinId="9" hidden="1"/>
    <cellStyle name="Followed Hyperlink" xfId="2458" builtinId="9" hidden="1"/>
    <cellStyle name="Followed Hyperlink" xfId="2460" builtinId="9" hidden="1"/>
    <cellStyle name="Followed Hyperlink" xfId="2462" builtinId="9" hidden="1"/>
    <cellStyle name="Followed Hyperlink" xfId="2464" builtinId="9" hidden="1"/>
    <cellStyle name="Followed Hyperlink" xfId="2466" builtinId="9" hidden="1"/>
    <cellStyle name="Followed Hyperlink" xfId="2468" builtinId="9" hidden="1"/>
    <cellStyle name="Followed Hyperlink" xfId="2470" builtinId="9" hidden="1"/>
    <cellStyle name="Followed Hyperlink" xfId="2472" builtinId="9" hidden="1"/>
    <cellStyle name="Followed Hyperlink" xfId="2474" builtinId="9" hidden="1"/>
    <cellStyle name="Followed Hyperlink" xfId="2476" builtinId="9" hidden="1"/>
    <cellStyle name="Followed Hyperlink" xfId="2478" builtinId="9" hidden="1"/>
    <cellStyle name="Followed Hyperlink" xfId="2480" builtinId="9" hidden="1"/>
    <cellStyle name="Followed Hyperlink" xfId="2482" builtinId="9" hidden="1"/>
    <cellStyle name="Followed Hyperlink" xfId="2484" builtinId="9" hidden="1"/>
    <cellStyle name="Followed Hyperlink" xfId="2486" builtinId="9" hidden="1"/>
    <cellStyle name="Followed Hyperlink" xfId="2488" builtinId="9" hidden="1"/>
    <cellStyle name="Followed Hyperlink" xfId="2490" builtinId="9" hidden="1"/>
    <cellStyle name="Followed Hyperlink" xfId="2492" builtinId="9" hidden="1"/>
    <cellStyle name="Followed Hyperlink" xfId="2494" builtinId="9" hidden="1"/>
    <cellStyle name="Followed Hyperlink" xfId="2496" builtinId="9" hidden="1"/>
    <cellStyle name="Followed Hyperlink" xfId="2498" builtinId="9" hidden="1"/>
    <cellStyle name="Followed Hyperlink" xfId="2500" builtinId="9" hidden="1"/>
    <cellStyle name="Followed Hyperlink" xfId="2502" builtinId="9" hidden="1"/>
    <cellStyle name="Followed Hyperlink" xfId="2504" builtinId="9" hidden="1"/>
    <cellStyle name="Followed Hyperlink" xfId="2506" builtinId="9" hidden="1"/>
    <cellStyle name="Followed Hyperlink" xfId="2508" builtinId="9" hidden="1"/>
    <cellStyle name="Followed Hyperlink" xfId="2510" builtinId="9" hidden="1"/>
    <cellStyle name="Followed Hyperlink" xfId="2512" builtinId="9" hidden="1"/>
    <cellStyle name="Followed Hyperlink" xfId="2514" builtinId="9" hidden="1"/>
    <cellStyle name="Followed Hyperlink" xfId="2516" builtinId="9" hidden="1"/>
    <cellStyle name="Followed Hyperlink" xfId="2518" builtinId="9" hidden="1"/>
    <cellStyle name="Followed Hyperlink" xfId="2520" builtinId="9" hidden="1"/>
    <cellStyle name="Followed Hyperlink" xfId="2522" builtinId="9" hidden="1"/>
    <cellStyle name="Followed Hyperlink" xfId="2524" builtinId="9" hidden="1"/>
    <cellStyle name="Followed Hyperlink" xfId="2526" builtinId="9" hidden="1"/>
    <cellStyle name="Followed Hyperlink" xfId="2528" builtinId="9" hidden="1"/>
    <cellStyle name="Followed Hyperlink" xfId="2530" builtinId="9" hidden="1"/>
    <cellStyle name="Followed Hyperlink" xfId="2532" builtinId="9" hidden="1"/>
    <cellStyle name="Followed Hyperlink" xfId="2534" builtinId="9" hidden="1"/>
    <cellStyle name="Followed Hyperlink" xfId="2536" builtinId="9" hidden="1"/>
    <cellStyle name="Followed Hyperlink" xfId="2538" builtinId="9" hidden="1"/>
    <cellStyle name="Followed Hyperlink" xfId="2540" builtinId="9" hidden="1"/>
    <cellStyle name="Followed Hyperlink" xfId="2542" builtinId="9" hidden="1"/>
    <cellStyle name="Followed Hyperlink" xfId="2544" builtinId="9" hidden="1"/>
    <cellStyle name="Followed Hyperlink" xfId="2546" builtinId="9" hidden="1"/>
    <cellStyle name="Followed Hyperlink" xfId="2548" builtinId="9" hidden="1"/>
    <cellStyle name="Followed Hyperlink" xfId="2550" builtinId="9" hidden="1"/>
    <cellStyle name="Followed Hyperlink" xfId="2552" builtinId="9" hidden="1"/>
    <cellStyle name="Followed Hyperlink" xfId="2554" builtinId="9" hidden="1"/>
    <cellStyle name="Followed Hyperlink" xfId="2556" builtinId="9" hidden="1"/>
    <cellStyle name="Followed Hyperlink" xfId="2558" builtinId="9" hidden="1"/>
    <cellStyle name="Followed Hyperlink" xfId="2560" builtinId="9" hidden="1"/>
    <cellStyle name="Followed Hyperlink" xfId="2562" builtinId="9" hidden="1"/>
    <cellStyle name="Followed Hyperlink" xfId="2564" builtinId="9" hidden="1"/>
    <cellStyle name="Good" xfId="1631" builtinId="26"/>
    <cellStyle name="Good 2" xfId="1863"/>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5" builtinId="8" hidden="1"/>
    <cellStyle name="Hyperlink" xfId="187" builtinId="8" hidden="1"/>
    <cellStyle name="Hyperlink" xfId="189" builtinId="8" hidden="1"/>
    <cellStyle name="Hyperlink" xfId="191" builtinId="8" hidden="1"/>
    <cellStyle name="Hyperlink" xfId="193" builtinId="8" hidden="1"/>
    <cellStyle name="Hyperlink" xfId="195" builtinId="8" hidden="1"/>
    <cellStyle name="Hyperlink" xfId="197" builtinId="8" hidden="1"/>
    <cellStyle name="Hyperlink" xfId="199" builtinId="8" hidden="1"/>
    <cellStyle name="Hyperlink" xfId="201" builtinId="8" hidden="1"/>
    <cellStyle name="Hyperlink" xfId="203" builtinId="8" hidden="1"/>
    <cellStyle name="Hyperlink" xfId="205" builtinId="8" hidden="1"/>
    <cellStyle name="Hyperlink" xfId="207" builtinId="8" hidden="1"/>
    <cellStyle name="Hyperlink" xfId="209" builtinId="8" hidden="1"/>
    <cellStyle name="Hyperlink" xfId="211" builtinId="8" hidden="1"/>
    <cellStyle name="Hyperlink" xfId="213" builtinId="8" hidden="1"/>
    <cellStyle name="Hyperlink" xfId="215" builtinId="8" hidden="1"/>
    <cellStyle name="Hyperlink" xfId="217" builtinId="8" hidden="1"/>
    <cellStyle name="Hyperlink" xfId="219" builtinId="8" hidden="1"/>
    <cellStyle name="Hyperlink" xfId="221" builtinId="8" hidden="1"/>
    <cellStyle name="Hyperlink" xfId="223" builtinId="8" hidden="1"/>
    <cellStyle name="Hyperlink" xfId="225" builtinId="8" hidden="1"/>
    <cellStyle name="Hyperlink" xfId="227" builtinId="8" hidden="1"/>
    <cellStyle name="Hyperlink" xfId="229" builtinId="8" hidden="1"/>
    <cellStyle name="Hyperlink" xfId="231" builtinId="8" hidden="1"/>
    <cellStyle name="Hyperlink" xfId="233" builtinId="8" hidden="1"/>
    <cellStyle name="Hyperlink" xfId="235" builtinId="8" hidden="1"/>
    <cellStyle name="Hyperlink" xfId="237" builtinId="8" hidden="1"/>
    <cellStyle name="Hyperlink" xfId="239" builtinId="8" hidden="1"/>
    <cellStyle name="Hyperlink" xfId="241" builtinId="8" hidden="1"/>
    <cellStyle name="Hyperlink" xfId="243" builtinId="8" hidden="1"/>
    <cellStyle name="Hyperlink" xfId="245" builtinId="8" hidden="1"/>
    <cellStyle name="Hyperlink" xfId="247" builtinId="8" hidden="1"/>
    <cellStyle name="Hyperlink" xfId="249" builtinId="8" hidden="1"/>
    <cellStyle name="Hyperlink" xfId="251" builtinId="8" hidden="1"/>
    <cellStyle name="Hyperlink" xfId="253" builtinId="8" hidden="1"/>
    <cellStyle name="Hyperlink" xfId="255"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hidden="1"/>
    <cellStyle name="Hyperlink" xfId="323" builtinId="8" hidden="1"/>
    <cellStyle name="Hyperlink" xfId="325" builtinId="8" hidden="1"/>
    <cellStyle name="Hyperlink" xfId="327" builtinId="8" hidden="1"/>
    <cellStyle name="Hyperlink" xfId="329" builtinId="8" hidden="1"/>
    <cellStyle name="Hyperlink" xfId="331" builtinId="8" hidden="1"/>
    <cellStyle name="Hyperlink" xfId="333" builtinId="8" hidden="1"/>
    <cellStyle name="Hyperlink" xfId="335" builtinId="8" hidden="1"/>
    <cellStyle name="Hyperlink" xfId="337" builtinId="8" hidden="1"/>
    <cellStyle name="Hyperlink" xfId="339" builtinId="8" hidden="1"/>
    <cellStyle name="Hyperlink" xfId="341" builtinId="8" hidden="1"/>
    <cellStyle name="Hyperlink" xfId="343" builtinId="8" hidden="1"/>
    <cellStyle name="Hyperlink" xfId="345" builtinId="8" hidden="1"/>
    <cellStyle name="Hyperlink" xfId="347" builtinId="8" hidden="1"/>
    <cellStyle name="Hyperlink" xfId="349" builtinId="8" hidden="1"/>
    <cellStyle name="Hyperlink" xfId="351" builtinId="8" hidden="1"/>
    <cellStyle name="Hyperlink" xfId="353" builtinId="8" hidden="1"/>
    <cellStyle name="Hyperlink" xfId="355" builtinId="8" hidden="1"/>
    <cellStyle name="Hyperlink" xfId="357" builtinId="8" hidden="1"/>
    <cellStyle name="Hyperlink" xfId="359" builtinId="8" hidden="1"/>
    <cellStyle name="Hyperlink" xfId="361" builtinId="8" hidden="1"/>
    <cellStyle name="Hyperlink" xfId="363" builtinId="8" hidden="1"/>
    <cellStyle name="Hyperlink" xfId="365" builtinId="8" hidden="1"/>
    <cellStyle name="Hyperlink" xfId="367" builtinId="8" hidden="1"/>
    <cellStyle name="Hyperlink" xfId="369" builtinId="8" hidden="1"/>
    <cellStyle name="Hyperlink" xfId="371" builtinId="8" hidden="1"/>
    <cellStyle name="Hyperlink" xfId="373" builtinId="8" hidden="1"/>
    <cellStyle name="Hyperlink" xfId="375" builtinId="8" hidden="1"/>
    <cellStyle name="Hyperlink" xfId="377" builtinId="8" hidden="1"/>
    <cellStyle name="Hyperlink" xfId="379" builtinId="8" hidden="1"/>
    <cellStyle name="Hyperlink" xfId="381" builtinId="8" hidden="1"/>
    <cellStyle name="Hyperlink" xfId="383" builtinId="8" hidden="1"/>
    <cellStyle name="Hyperlink" xfId="385" builtinId="8" hidden="1"/>
    <cellStyle name="Hyperlink" xfId="387" builtinId="8" hidden="1"/>
    <cellStyle name="Hyperlink" xfId="389" builtinId="8" hidden="1"/>
    <cellStyle name="Hyperlink" xfId="391" builtinId="8" hidden="1"/>
    <cellStyle name="Hyperlink" xfId="393" builtinId="8" hidden="1"/>
    <cellStyle name="Hyperlink" xfId="395" builtinId="8" hidden="1"/>
    <cellStyle name="Hyperlink" xfId="397" builtinId="8" hidden="1"/>
    <cellStyle name="Hyperlink" xfId="399" builtinId="8" hidden="1"/>
    <cellStyle name="Hyperlink" xfId="401" builtinId="8" hidden="1"/>
    <cellStyle name="Hyperlink" xfId="403" builtinId="8" hidden="1"/>
    <cellStyle name="Hyperlink" xfId="405" builtinId="8" hidden="1"/>
    <cellStyle name="Hyperlink" xfId="407" builtinId="8" hidden="1"/>
    <cellStyle name="Hyperlink" xfId="409" builtinId="8" hidden="1"/>
    <cellStyle name="Hyperlink" xfId="411" builtinId="8" hidden="1"/>
    <cellStyle name="Hyperlink" xfId="413" builtinId="8" hidden="1"/>
    <cellStyle name="Hyperlink" xfId="415" builtinId="8" hidden="1"/>
    <cellStyle name="Hyperlink" xfId="417" builtinId="8" hidden="1"/>
    <cellStyle name="Hyperlink" xfId="419" builtinId="8" hidden="1"/>
    <cellStyle name="Hyperlink" xfId="421" builtinId="8" hidden="1"/>
    <cellStyle name="Hyperlink" xfId="423" builtinId="8" hidden="1"/>
    <cellStyle name="Hyperlink" xfId="425" builtinId="8" hidden="1"/>
    <cellStyle name="Hyperlink" xfId="427" builtinId="8" hidden="1"/>
    <cellStyle name="Hyperlink" xfId="429" builtinId="8" hidden="1"/>
    <cellStyle name="Hyperlink" xfId="431" builtinId="8" hidden="1"/>
    <cellStyle name="Hyperlink" xfId="433" builtinId="8" hidden="1"/>
    <cellStyle name="Hyperlink" xfId="435" builtinId="8" hidden="1"/>
    <cellStyle name="Hyperlink" xfId="437" builtinId="8" hidden="1"/>
    <cellStyle name="Hyperlink" xfId="439" builtinId="8" hidden="1"/>
    <cellStyle name="Hyperlink" xfId="441" builtinId="8" hidden="1"/>
    <cellStyle name="Hyperlink" xfId="443" builtinId="8" hidden="1"/>
    <cellStyle name="Hyperlink" xfId="445" builtinId="8" hidden="1"/>
    <cellStyle name="Hyperlink" xfId="447" builtinId="8" hidden="1"/>
    <cellStyle name="Hyperlink" xfId="449" builtinId="8" hidden="1"/>
    <cellStyle name="Hyperlink" xfId="451" builtinId="8" hidden="1"/>
    <cellStyle name="Hyperlink" xfId="453" builtinId="8" hidden="1"/>
    <cellStyle name="Hyperlink" xfId="455" builtinId="8" hidden="1"/>
    <cellStyle name="Hyperlink" xfId="457" builtinId="8" hidden="1"/>
    <cellStyle name="Hyperlink" xfId="459" builtinId="8" hidden="1"/>
    <cellStyle name="Hyperlink" xfId="461" builtinId="8" hidden="1"/>
    <cellStyle name="Hyperlink" xfId="463" builtinId="8" hidden="1"/>
    <cellStyle name="Hyperlink" xfId="465" builtinId="8" hidden="1"/>
    <cellStyle name="Hyperlink" xfId="467" builtinId="8" hidden="1"/>
    <cellStyle name="Hyperlink" xfId="469" builtinId="8" hidden="1"/>
    <cellStyle name="Hyperlink" xfId="471" builtinId="8" hidden="1"/>
    <cellStyle name="Hyperlink" xfId="473" builtinId="8" hidden="1"/>
    <cellStyle name="Hyperlink" xfId="475" builtinId="8" hidden="1"/>
    <cellStyle name="Hyperlink" xfId="477" builtinId="8" hidden="1"/>
    <cellStyle name="Hyperlink" xfId="479" builtinId="8" hidden="1"/>
    <cellStyle name="Hyperlink" xfId="481" builtinId="8" hidden="1"/>
    <cellStyle name="Hyperlink" xfId="483" builtinId="8" hidden="1"/>
    <cellStyle name="Hyperlink" xfId="485" builtinId="8" hidden="1"/>
    <cellStyle name="Hyperlink" xfId="487" builtinId="8" hidden="1"/>
    <cellStyle name="Hyperlink" xfId="489" builtinId="8" hidden="1"/>
    <cellStyle name="Hyperlink" xfId="491" builtinId="8" hidden="1"/>
    <cellStyle name="Hyperlink" xfId="493" builtinId="8" hidden="1"/>
    <cellStyle name="Hyperlink" xfId="495" builtinId="8" hidden="1"/>
    <cellStyle name="Hyperlink" xfId="497" builtinId="8" hidden="1"/>
    <cellStyle name="Hyperlink" xfId="499" builtinId="8" hidden="1"/>
    <cellStyle name="Hyperlink" xfId="501" builtinId="8" hidden="1"/>
    <cellStyle name="Hyperlink" xfId="503" builtinId="8" hidden="1"/>
    <cellStyle name="Hyperlink" xfId="505" builtinId="8" hidden="1"/>
    <cellStyle name="Hyperlink" xfId="507" builtinId="8" hidden="1"/>
    <cellStyle name="Hyperlink" xfId="509" builtinId="8" hidden="1"/>
    <cellStyle name="Hyperlink" xfId="511" builtinId="8" hidden="1"/>
    <cellStyle name="Hyperlink" xfId="513" builtinId="8" hidden="1"/>
    <cellStyle name="Hyperlink" xfId="515" builtinId="8" hidden="1"/>
    <cellStyle name="Hyperlink" xfId="517" builtinId="8" hidden="1"/>
    <cellStyle name="Hyperlink" xfId="519" builtinId="8" hidden="1"/>
    <cellStyle name="Hyperlink" xfId="521" builtinId="8" hidden="1"/>
    <cellStyle name="Hyperlink" xfId="523" builtinId="8" hidden="1"/>
    <cellStyle name="Hyperlink" xfId="525" builtinId="8" hidden="1"/>
    <cellStyle name="Hyperlink" xfId="527" builtinId="8" hidden="1"/>
    <cellStyle name="Hyperlink" xfId="529" builtinId="8" hidden="1"/>
    <cellStyle name="Hyperlink" xfId="531" builtinId="8" hidden="1"/>
    <cellStyle name="Hyperlink" xfId="533" builtinId="8" hidden="1"/>
    <cellStyle name="Hyperlink" xfId="535" builtinId="8" hidden="1"/>
    <cellStyle name="Hyperlink" xfId="537" builtinId="8" hidden="1"/>
    <cellStyle name="Hyperlink" xfId="539" builtinId="8" hidden="1"/>
    <cellStyle name="Hyperlink" xfId="541" builtinId="8" hidden="1"/>
    <cellStyle name="Hyperlink" xfId="543" builtinId="8" hidden="1"/>
    <cellStyle name="Hyperlink" xfId="545" builtinId="8" hidden="1"/>
    <cellStyle name="Hyperlink" xfId="547" builtinId="8" hidden="1"/>
    <cellStyle name="Hyperlink" xfId="549" builtinId="8" hidden="1"/>
    <cellStyle name="Hyperlink" xfId="551" builtinId="8" hidden="1"/>
    <cellStyle name="Hyperlink" xfId="553" builtinId="8" hidden="1"/>
    <cellStyle name="Hyperlink" xfId="555" builtinId="8" hidden="1"/>
    <cellStyle name="Hyperlink" xfId="557" builtinId="8" hidden="1"/>
    <cellStyle name="Hyperlink" xfId="559" builtinId="8" hidden="1"/>
    <cellStyle name="Hyperlink" xfId="561" builtinId="8" hidden="1"/>
    <cellStyle name="Hyperlink" xfId="563" builtinId="8" hidden="1"/>
    <cellStyle name="Hyperlink" xfId="565" builtinId="8" hidden="1"/>
    <cellStyle name="Hyperlink" xfId="567" builtinId="8" hidden="1"/>
    <cellStyle name="Hyperlink" xfId="569" builtinId="8" hidden="1"/>
    <cellStyle name="Hyperlink" xfId="571" builtinId="8" hidden="1"/>
    <cellStyle name="Hyperlink" xfId="573" builtinId="8" hidden="1"/>
    <cellStyle name="Hyperlink" xfId="575" builtinId="8" hidden="1"/>
    <cellStyle name="Hyperlink" xfId="577" builtinId="8" hidden="1"/>
    <cellStyle name="Hyperlink" xfId="579" builtinId="8" hidden="1"/>
    <cellStyle name="Hyperlink" xfId="581" builtinId="8" hidden="1"/>
    <cellStyle name="Hyperlink" xfId="583" builtinId="8" hidden="1"/>
    <cellStyle name="Hyperlink" xfId="585" builtinId="8" hidden="1"/>
    <cellStyle name="Hyperlink" xfId="587" builtinId="8" hidden="1"/>
    <cellStyle name="Hyperlink" xfId="589" builtinId="8" hidden="1"/>
    <cellStyle name="Hyperlink" xfId="591" builtinId="8" hidden="1"/>
    <cellStyle name="Hyperlink" xfId="593" builtinId="8" hidden="1"/>
    <cellStyle name="Hyperlink" xfId="595" builtinId="8" hidden="1"/>
    <cellStyle name="Hyperlink" xfId="597" builtinId="8" hidden="1"/>
    <cellStyle name="Hyperlink" xfId="599" builtinId="8" hidden="1"/>
    <cellStyle name="Hyperlink" xfId="601" builtinId="8" hidden="1"/>
    <cellStyle name="Hyperlink" xfId="603" builtinId="8" hidden="1"/>
    <cellStyle name="Hyperlink" xfId="605" builtinId="8" hidden="1"/>
    <cellStyle name="Hyperlink" xfId="607" builtinId="8" hidden="1"/>
    <cellStyle name="Hyperlink" xfId="609" builtinId="8" hidden="1"/>
    <cellStyle name="Hyperlink" xfId="611" builtinId="8" hidden="1"/>
    <cellStyle name="Hyperlink" xfId="613" builtinId="8" hidden="1"/>
    <cellStyle name="Hyperlink" xfId="615" builtinId="8" hidden="1"/>
    <cellStyle name="Hyperlink" xfId="617" builtinId="8" hidden="1"/>
    <cellStyle name="Hyperlink" xfId="619" builtinId="8" hidden="1"/>
    <cellStyle name="Hyperlink" xfId="621" builtinId="8" hidden="1"/>
    <cellStyle name="Hyperlink" xfId="623" builtinId="8" hidden="1"/>
    <cellStyle name="Hyperlink" xfId="625" builtinId="8" hidden="1"/>
    <cellStyle name="Hyperlink" xfId="627" builtinId="8" hidden="1"/>
    <cellStyle name="Hyperlink" xfId="629" builtinId="8" hidden="1"/>
    <cellStyle name="Hyperlink" xfId="631" builtinId="8" hidden="1"/>
    <cellStyle name="Hyperlink" xfId="633" builtinId="8" hidden="1"/>
    <cellStyle name="Hyperlink" xfId="635" builtinId="8" hidden="1"/>
    <cellStyle name="Hyperlink" xfId="637" builtinId="8" hidden="1"/>
    <cellStyle name="Hyperlink" xfId="639" builtinId="8" hidden="1"/>
    <cellStyle name="Hyperlink" xfId="641" builtinId="8" hidden="1"/>
    <cellStyle name="Hyperlink" xfId="643" builtinId="8" hidden="1"/>
    <cellStyle name="Hyperlink" xfId="645" builtinId="8" hidden="1"/>
    <cellStyle name="Hyperlink" xfId="647" builtinId="8" hidden="1"/>
    <cellStyle name="Hyperlink" xfId="649" builtinId="8" hidden="1"/>
    <cellStyle name="Hyperlink" xfId="651" builtinId="8" hidden="1"/>
    <cellStyle name="Hyperlink" xfId="653" builtinId="8" hidden="1"/>
    <cellStyle name="Hyperlink" xfId="655" builtinId="8" hidden="1"/>
    <cellStyle name="Hyperlink" xfId="657" builtinId="8" hidden="1"/>
    <cellStyle name="Hyperlink" xfId="659" builtinId="8" hidden="1"/>
    <cellStyle name="Hyperlink" xfId="661" builtinId="8" hidden="1"/>
    <cellStyle name="Hyperlink" xfId="663" builtinId="8" hidden="1"/>
    <cellStyle name="Hyperlink" xfId="665" builtinId="8" hidden="1"/>
    <cellStyle name="Hyperlink" xfId="667" builtinId="8" hidden="1"/>
    <cellStyle name="Hyperlink" xfId="669" builtinId="8" hidden="1"/>
    <cellStyle name="Hyperlink" xfId="671" builtinId="8" hidden="1"/>
    <cellStyle name="Hyperlink" xfId="673" builtinId="8" hidden="1"/>
    <cellStyle name="Hyperlink" xfId="675" builtinId="8" hidden="1"/>
    <cellStyle name="Hyperlink" xfId="677" builtinId="8" hidden="1"/>
    <cellStyle name="Hyperlink" xfId="679" builtinId="8" hidden="1"/>
    <cellStyle name="Hyperlink" xfId="681" builtinId="8" hidden="1"/>
    <cellStyle name="Hyperlink" xfId="683" builtinId="8" hidden="1"/>
    <cellStyle name="Hyperlink" xfId="685" builtinId="8" hidden="1"/>
    <cellStyle name="Hyperlink" xfId="687" builtinId="8" hidden="1"/>
    <cellStyle name="Hyperlink" xfId="689" builtinId="8" hidden="1"/>
    <cellStyle name="Hyperlink" xfId="691" builtinId="8" hidden="1"/>
    <cellStyle name="Hyperlink" xfId="693" builtinId="8" hidden="1"/>
    <cellStyle name="Hyperlink" xfId="695" builtinId="8" hidden="1"/>
    <cellStyle name="Hyperlink" xfId="697" builtinId="8" hidden="1"/>
    <cellStyle name="Hyperlink" xfId="699" builtinId="8" hidden="1"/>
    <cellStyle name="Hyperlink" xfId="701" builtinId="8" hidden="1"/>
    <cellStyle name="Hyperlink" xfId="703" builtinId="8" hidden="1"/>
    <cellStyle name="Hyperlink" xfId="705" builtinId="8" hidden="1"/>
    <cellStyle name="Hyperlink" xfId="707" builtinId="8" hidden="1"/>
    <cellStyle name="Hyperlink" xfId="709" builtinId="8" hidden="1"/>
    <cellStyle name="Hyperlink" xfId="711" builtinId="8" hidden="1"/>
    <cellStyle name="Hyperlink" xfId="713" builtinId="8" hidden="1"/>
    <cellStyle name="Hyperlink" xfId="715" builtinId="8" hidden="1"/>
    <cellStyle name="Hyperlink" xfId="717" builtinId="8" hidden="1"/>
    <cellStyle name="Hyperlink" xfId="719" builtinId="8" hidden="1"/>
    <cellStyle name="Hyperlink" xfId="721" builtinId="8" hidden="1"/>
    <cellStyle name="Hyperlink" xfId="723" builtinId="8" hidden="1"/>
    <cellStyle name="Hyperlink" xfId="725" builtinId="8" hidden="1"/>
    <cellStyle name="Hyperlink" xfId="727" builtinId="8" hidden="1"/>
    <cellStyle name="Hyperlink" xfId="729" builtinId="8" hidden="1"/>
    <cellStyle name="Hyperlink" xfId="731" builtinId="8" hidden="1"/>
    <cellStyle name="Hyperlink" xfId="733" builtinId="8" hidden="1"/>
    <cellStyle name="Hyperlink" xfId="735" builtinId="8" hidden="1"/>
    <cellStyle name="Hyperlink" xfId="737" builtinId="8" hidden="1"/>
    <cellStyle name="Hyperlink" xfId="739" builtinId="8" hidden="1"/>
    <cellStyle name="Hyperlink" xfId="741" builtinId="8" hidden="1"/>
    <cellStyle name="Hyperlink" xfId="743" builtinId="8" hidden="1"/>
    <cellStyle name="Hyperlink" xfId="745" builtinId="8" hidden="1"/>
    <cellStyle name="Hyperlink" xfId="747" builtinId="8" hidden="1"/>
    <cellStyle name="Hyperlink" xfId="749" builtinId="8" hidden="1"/>
    <cellStyle name="Hyperlink" xfId="751" builtinId="8" hidden="1"/>
    <cellStyle name="Hyperlink" xfId="753" builtinId="8" hidden="1"/>
    <cellStyle name="Hyperlink" xfId="755" builtinId="8" hidden="1"/>
    <cellStyle name="Hyperlink" xfId="757" builtinId="8" hidden="1"/>
    <cellStyle name="Hyperlink" xfId="759" builtinId="8" hidden="1"/>
    <cellStyle name="Hyperlink" xfId="761" builtinId="8" hidden="1"/>
    <cellStyle name="Hyperlink" xfId="763" builtinId="8" hidden="1"/>
    <cellStyle name="Hyperlink" xfId="765" builtinId="8" hidden="1"/>
    <cellStyle name="Hyperlink" xfId="767" builtinId="8" hidden="1"/>
    <cellStyle name="Hyperlink" xfId="769" builtinId="8" hidden="1"/>
    <cellStyle name="Hyperlink" xfId="771" builtinId="8" hidden="1"/>
    <cellStyle name="Hyperlink" xfId="773" builtinId="8" hidden="1"/>
    <cellStyle name="Hyperlink" xfId="775" builtinId="8" hidden="1"/>
    <cellStyle name="Hyperlink" xfId="777" builtinId="8" hidden="1"/>
    <cellStyle name="Hyperlink" xfId="779" builtinId="8" hidden="1"/>
    <cellStyle name="Hyperlink" xfId="781" builtinId="8" hidden="1"/>
    <cellStyle name="Hyperlink" xfId="783" builtinId="8" hidden="1"/>
    <cellStyle name="Hyperlink" xfId="785" builtinId="8" hidden="1"/>
    <cellStyle name="Hyperlink" xfId="787" builtinId="8" hidden="1"/>
    <cellStyle name="Hyperlink" xfId="789" builtinId="8" hidden="1"/>
    <cellStyle name="Hyperlink" xfId="791" builtinId="8" hidden="1"/>
    <cellStyle name="Hyperlink" xfId="793" builtinId="8" hidden="1"/>
    <cellStyle name="Hyperlink" xfId="795" builtinId="8" hidden="1"/>
    <cellStyle name="Hyperlink" xfId="797" builtinId="8" hidden="1"/>
    <cellStyle name="Hyperlink" xfId="799" builtinId="8" hidden="1"/>
    <cellStyle name="Hyperlink" xfId="801" builtinId="8" hidden="1"/>
    <cellStyle name="Hyperlink" xfId="803" builtinId="8" hidden="1"/>
    <cellStyle name="Hyperlink" xfId="805" builtinId="8" hidden="1"/>
    <cellStyle name="Hyperlink" xfId="807" builtinId="8" hidden="1"/>
    <cellStyle name="Hyperlink" xfId="809" builtinId="8" hidden="1"/>
    <cellStyle name="Hyperlink" xfId="811" builtinId="8" hidden="1"/>
    <cellStyle name="Hyperlink" xfId="813" builtinId="8" hidden="1"/>
    <cellStyle name="Hyperlink" xfId="815" builtinId="8" hidden="1"/>
    <cellStyle name="Hyperlink" xfId="817" builtinId="8" hidden="1"/>
    <cellStyle name="Hyperlink" xfId="819" builtinId="8" hidden="1"/>
    <cellStyle name="Hyperlink" xfId="821" builtinId="8" hidden="1"/>
    <cellStyle name="Hyperlink" xfId="823" builtinId="8" hidden="1"/>
    <cellStyle name="Hyperlink" xfId="825" builtinId="8" hidden="1"/>
    <cellStyle name="Hyperlink" xfId="827" builtinId="8" hidden="1"/>
    <cellStyle name="Hyperlink" xfId="829" builtinId="8" hidden="1"/>
    <cellStyle name="Hyperlink" xfId="831" builtinId="8" hidden="1"/>
    <cellStyle name="Hyperlink" xfId="833" builtinId="8" hidden="1"/>
    <cellStyle name="Hyperlink" xfId="835" builtinId="8" hidden="1"/>
    <cellStyle name="Hyperlink" xfId="837" builtinId="8" hidden="1"/>
    <cellStyle name="Hyperlink" xfId="839" builtinId="8" hidden="1"/>
    <cellStyle name="Hyperlink" xfId="841" builtinId="8" hidden="1"/>
    <cellStyle name="Hyperlink" xfId="843" builtinId="8" hidden="1"/>
    <cellStyle name="Hyperlink" xfId="845" builtinId="8" hidden="1"/>
    <cellStyle name="Hyperlink" xfId="847" builtinId="8" hidden="1"/>
    <cellStyle name="Hyperlink" xfId="849" builtinId="8" hidden="1"/>
    <cellStyle name="Hyperlink" xfId="851" builtinId="8" hidden="1"/>
    <cellStyle name="Hyperlink" xfId="853" builtinId="8" hidden="1"/>
    <cellStyle name="Hyperlink" xfId="855" builtinId="8" hidden="1"/>
    <cellStyle name="Hyperlink" xfId="857" builtinId="8" hidden="1"/>
    <cellStyle name="Hyperlink" xfId="859" builtinId="8" hidden="1"/>
    <cellStyle name="Hyperlink" xfId="861" builtinId="8" hidden="1"/>
    <cellStyle name="Hyperlink" xfId="863" builtinId="8" hidden="1"/>
    <cellStyle name="Hyperlink" xfId="865" builtinId="8" hidden="1"/>
    <cellStyle name="Hyperlink" xfId="867" builtinId="8" hidden="1"/>
    <cellStyle name="Hyperlink" xfId="869" builtinId="8" hidden="1"/>
    <cellStyle name="Hyperlink" xfId="871" builtinId="8" hidden="1"/>
    <cellStyle name="Hyperlink" xfId="873" builtinId="8" hidden="1"/>
    <cellStyle name="Hyperlink" xfId="875" builtinId="8" hidden="1"/>
    <cellStyle name="Hyperlink" xfId="877" builtinId="8" hidden="1"/>
    <cellStyle name="Hyperlink" xfId="879" builtinId="8" hidden="1"/>
    <cellStyle name="Hyperlink" xfId="881" builtinId="8" hidden="1"/>
    <cellStyle name="Hyperlink" xfId="883" builtinId="8" hidden="1"/>
    <cellStyle name="Hyperlink" xfId="885" builtinId="8" hidden="1"/>
    <cellStyle name="Hyperlink" xfId="887" builtinId="8" hidden="1"/>
    <cellStyle name="Hyperlink" xfId="889" builtinId="8" hidden="1"/>
    <cellStyle name="Hyperlink" xfId="891" builtinId="8" hidden="1"/>
    <cellStyle name="Hyperlink" xfId="893" builtinId="8" hidden="1"/>
    <cellStyle name="Hyperlink" xfId="895" builtinId="8" hidden="1"/>
    <cellStyle name="Hyperlink" xfId="897" builtinId="8" hidden="1"/>
    <cellStyle name="Hyperlink" xfId="899" builtinId="8" hidden="1"/>
    <cellStyle name="Hyperlink" xfId="901" builtinId="8" hidden="1"/>
    <cellStyle name="Hyperlink" xfId="903" builtinId="8" hidden="1"/>
    <cellStyle name="Hyperlink" xfId="905" builtinId="8" hidden="1"/>
    <cellStyle name="Hyperlink" xfId="907" builtinId="8" hidden="1"/>
    <cellStyle name="Hyperlink" xfId="909" builtinId="8" hidden="1"/>
    <cellStyle name="Hyperlink" xfId="911" builtinId="8" hidden="1"/>
    <cellStyle name="Hyperlink" xfId="913" builtinId="8" hidden="1"/>
    <cellStyle name="Hyperlink" xfId="915" builtinId="8" hidden="1"/>
    <cellStyle name="Hyperlink" xfId="917" builtinId="8" hidden="1"/>
    <cellStyle name="Hyperlink" xfId="919" builtinId="8" hidden="1"/>
    <cellStyle name="Hyperlink" xfId="921" builtinId="8" hidden="1"/>
    <cellStyle name="Hyperlink" xfId="923" builtinId="8" hidden="1"/>
    <cellStyle name="Hyperlink" xfId="925" builtinId="8" hidden="1"/>
    <cellStyle name="Hyperlink" xfId="927" builtinId="8" hidden="1"/>
    <cellStyle name="Hyperlink" xfId="929" builtinId="8" hidden="1"/>
    <cellStyle name="Hyperlink" xfId="931" builtinId="8" hidden="1"/>
    <cellStyle name="Hyperlink" xfId="933" builtinId="8" hidden="1"/>
    <cellStyle name="Hyperlink" xfId="935" builtinId="8" hidden="1"/>
    <cellStyle name="Hyperlink" xfId="937" builtinId="8" hidden="1"/>
    <cellStyle name="Hyperlink" xfId="939" builtinId="8" hidden="1"/>
    <cellStyle name="Hyperlink" xfId="941" builtinId="8" hidden="1"/>
    <cellStyle name="Hyperlink" xfId="943" builtinId="8" hidden="1"/>
    <cellStyle name="Hyperlink" xfId="945" builtinId="8" hidden="1"/>
    <cellStyle name="Hyperlink" xfId="947" builtinId="8" hidden="1"/>
    <cellStyle name="Hyperlink" xfId="949" builtinId="8" hidden="1"/>
    <cellStyle name="Hyperlink" xfId="951" builtinId="8" hidden="1"/>
    <cellStyle name="Hyperlink" xfId="953" builtinId="8" hidden="1"/>
    <cellStyle name="Hyperlink" xfId="955" builtinId="8" hidden="1"/>
    <cellStyle name="Hyperlink" xfId="957" builtinId="8" hidden="1"/>
    <cellStyle name="Hyperlink" xfId="959" builtinId="8" hidden="1"/>
    <cellStyle name="Hyperlink" xfId="961" builtinId="8" hidden="1"/>
    <cellStyle name="Hyperlink" xfId="963" builtinId="8" hidden="1"/>
    <cellStyle name="Hyperlink" xfId="965" builtinId="8" hidden="1"/>
    <cellStyle name="Hyperlink" xfId="967" builtinId="8" hidden="1"/>
    <cellStyle name="Hyperlink" xfId="969" builtinId="8" hidden="1"/>
    <cellStyle name="Hyperlink" xfId="971" builtinId="8" hidden="1"/>
    <cellStyle name="Hyperlink" xfId="973" builtinId="8" hidden="1"/>
    <cellStyle name="Hyperlink" xfId="975" builtinId="8" hidden="1"/>
    <cellStyle name="Hyperlink" xfId="977" builtinId="8" hidden="1"/>
    <cellStyle name="Hyperlink" xfId="979" builtinId="8" hidden="1"/>
    <cellStyle name="Hyperlink" xfId="981" builtinId="8" hidden="1"/>
    <cellStyle name="Hyperlink" xfId="983" builtinId="8" hidden="1"/>
    <cellStyle name="Hyperlink" xfId="985" builtinId="8" hidden="1"/>
    <cellStyle name="Hyperlink" xfId="987" builtinId="8" hidden="1"/>
    <cellStyle name="Hyperlink" xfId="989" builtinId="8" hidden="1"/>
    <cellStyle name="Hyperlink" xfId="991" builtinId="8" hidden="1"/>
    <cellStyle name="Hyperlink" xfId="993" builtinId="8" hidden="1"/>
    <cellStyle name="Hyperlink" xfId="995" builtinId="8" hidden="1"/>
    <cellStyle name="Hyperlink" xfId="997" builtinId="8" hidden="1"/>
    <cellStyle name="Hyperlink" xfId="999" builtinId="8" hidden="1"/>
    <cellStyle name="Hyperlink" xfId="1001" builtinId="8" hidden="1"/>
    <cellStyle name="Hyperlink" xfId="1003" builtinId="8" hidden="1"/>
    <cellStyle name="Hyperlink" xfId="1005" builtinId="8" hidden="1"/>
    <cellStyle name="Hyperlink" xfId="1007" builtinId="8" hidden="1"/>
    <cellStyle name="Hyperlink" xfId="1009" builtinId="8" hidden="1"/>
    <cellStyle name="Hyperlink" xfId="1011" builtinId="8" hidden="1"/>
    <cellStyle name="Hyperlink" xfId="1013" builtinId="8" hidden="1"/>
    <cellStyle name="Hyperlink" xfId="1015" builtinId="8" hidden="1"/>
    <cellStyle name="Hyperlink" xfId="1017" builtinId="8" hidden="1"/>
    <cellStyle name="Hyperlink" xfId="1019" builtinId="8" hidden="1"/>
    <cellStyle name="Hyperlink" xfId="1021" builtinId="8" hidden="1"/>
    <cellStyle name="Hyperlink" xfId="1023" builtinId="8" hidden="1"/>
    <cellStyle name="Hyperlink" xfId="1025" builtinId="8" hidden="1"/>
    <cellStyle name="Hyperlink" xfId="1027" builtinId="8" hidden="1"/>
    <cellStyle name="Hyperlink" xfId="1029" builtinId="8" hidden="1"/>
    <cellStyle name="Hyperlink" xfId="1031" builtinId="8" hidden="1"/>
    <cellStyle name="Hyperlink" xfId="1033" builtinId="8" hidden="1"/>
    <cellStyle name="Hyperlink" xfId="1035" builtinId="8" hidden="1"/>
    <cellStyle name="Hyperlink" xfId="1037" builtinId="8" hidden="1"/>
    <cellStyle name="Hyperlink" xfId="1039" builtinId="8" hidden="1"/>
    <cellStyle name="Hyperlink" xfId="1041" builtinId="8" hidden="1"/>
    <cellStyle name="Hyperlink" xfId="1043" builtinId="8" hidden="1"/>
    <cellStyle name="Hyperlink" xfId="1045" builtinId="8" hidden="1"/>
    <cellStyle name="Hyperlink" xfId="1047" builtinId="8" hidden="1"/>
    <cellStyle name="Hyperlink" xfId="1049" builtinId="8" hidden="1"/>
    <cellStyle name="Hyperlink" xfId="1051" builtinId="8" hidden="1"/>
    <cellStyle name="Hyperlink" xfId="1053" builtinId="8" hidden="1"/>
    <cellStyle name="Hyperlink" xfId="1055" builtinId="8" hidden="1"/>
    <cellStyle name="Hyperlink" xfId="1057" builtinId="8" hidden="1"/>
    <cellStyle name="Hyperlink" xfId="1059" builtinId="8" hidden="1"/>
    <cellStyle name="Hyperlink" xfId="1061" builtinId="8" hidden="1"/>
    <cellStyle name="Hyperlink" xfId="1063" builtinId="8" hidden="1"/>
    <cellStyle name="Hyperlink" xfId="1065" builtinId="8" hidden="1"/>
    <cellStyle name="Hyperlink" xfId="1067" builtinId="8" hidden="1"/>
    <cellStyle name="Hyperlink" xfId="1069" builtinId="8" hidden="1"/>
    <cellStyle name="Hyperlink" xfId="1071" builtinId="8" hidden="1"/>
    <cellStyle name="Hyperlink" xfId="1073" builtinId="8" hidden="1"/>
    <cellStyle name="Hyperlink" xfId="1075" builtinId="8" hidden="1"/>
    <cellStyle name="Hyperlink" xfId="1077" builtinId="8" hidden="1"/>
    <cellStyle name="Hyperlink" xfId="1079" builtinId="8" hidden="1"/>
    <cellStyle name="Hyperlink" xfId="1081" builtinId="8" hidden="1"/>
    <cellStyle name="Hyperlink" xfId="1083" builtinId="8" hidden="1"/>
    <cellStyle name="Hyperlink" xfId="1085" builtinId="8" hidden="1"/>
    <cellStyle name="Hyperlink" xfId="1087" builtinId="8" hidden="1"/>
    <cellStyle name="Hyperlink" xfId="1089" builtinId="8" hidden="1"/>
    <cellStyle name="Hyperlink" xfId="1091" builtinId="8" hidden="1"/>
    <cellStyle name="Hyperlink" xfId="1093" builtinId="8" hidden="1"/>
    <cellStyle name="Hyperlink" xfId="1095" builtinId="8" hidden="1"/>
    <cellStyle name="Hyperlink" xfId="1097" builtinId="8" hidden="1"/>
    <cellStyle name="Hyperlink" xfId="1099" builtinId="8" hidden="1"/>
    <cellStyle name="Hyperlink" xfId="1101" builtinId="8" hidden="1"/>
    <cellStyle name="Hyperlink" xfId="1103" builtinId="8" hidden="1"/>
    <cellStyle name="Hyperlink" xfId="1105" builtinId="8" hidden="1"/>
    <cellStyle name="Hyperlink" xfId="1107" builtinId="8" hidden="1"/>
    <cellStyle name="Hyperlink" xfId="1109" builtinId="8" hidden="1"/>
    <cellStyle name="Hyperlink" xfId="1111" builtinId="8" hidden="1"/>
    <cellStyle name="Hyperlink" xfId="1113" builtinId="8" hidden="1"/>
    <cellStyle name="Hyperlink" xfId="1115" builtinId="8" hidden="1"/>
    <cellStyle name="Hyperlink" xfId="1117" builtinId="8" hidden="1"/>
    <cellStyle name="Hyperlink" xfId="1119" builtinId="8" hidden="1"/>
    <cellStyle name="Hyperlink" xfId="1121" builtinId="8" hidden="1"/>
    <cellStyle name="Hyperlink" xfId="1123" builtinId="8" hidden="1"/>
    <cellStyle name="Hyperlink" xfId="1125" builtinId="8" hidden="1"/>
    <cellStyle name="Hyperlink" xfId="1127" builtinId="8" hidden="1"/>
    <cellStyle name="Hyperlink" xfId="1129" builtinId="8" hidden="1"/>
    <cellStyle name="Hyperlink" xfId="1131" builtinId="8" hidden="1"/>
    <cellStyle name="Hyperlink" xfId="1133" builtinId="8" hidden="1"/>
    <cellStyle name="Hyperlink" xfId="1135" builtinId="8" hidden="1"/>
    <cellStyle name="Hyperlink" xfId="1137" builtinId="8" hidden="1"/>
    <cellStyle name="Hyperlink" xfId="1139" builtinId="8" hidden="1"/>
    <cellStyle name="Hyperlink" xfId="1141" builtinId="8" hidden="1"/>
    <cellStyle name="Hyperlink" xfId="1143" builtinId="8" hidden="1"/>
    <cellStyle name="Hyperlink" xfId="1145" builtinId="8" hidden="1"/>
    <cellStyle name="Hyperlink" xfId="1147" builtinId="8" hidden="1"/>
    <cellStyle name="Hyperlink" xfId="1149" builtinId="8" hidden="1"/>
    <cellStyle name="Hyperlink" xfId="1151" builtinId="8" hidden="1"/>
    <cellStyle name="Hyperlink" xfId="1153" builtinId="8" hidden="1"/>
    <cellStyle name="Hyperlink" xfId="1155" builtinId="8" hidden="1"/>
    <cellStyle name="Hyperlink" xfId="1157" builtinId="8" hidden="1"/>
    <cellStyle name="Hyperlink" xfId="1159" builtinId="8" hidden="1"/>
    <cellStyle name="Hyperlink" xfId="1161" builtinId="8" hidden="1"/>
    <cellStyle name="Hyperlink" xfId="1163" builtinId="8" hidden="1"/>
    <cellStyle name="Hyperlink" xfId="1165" builtinId="8" hidden="1"/>
    <cellStyle name="Hyperlink" xfId="1167" builtinId="8" hidden="1"/>
    <cellStyle name="Hyperlink" xfId="1169" builtinId="8" hidden="1"/>
    <cellStyle name="Hyperlink" xfId="1171" builtinId="8" hidden="1"/>
    <cellStyle name="Hyperlink" xfId="1173" builtinId="8" hidden="1"/>
    <cellStyle name="Hyperlink" xfId="1175" builtinId="8" hidden="1"/>
    <cellStyle name="Hyperlink" xfId="1177" builtinId="8" hidden="1"/>
    <cellStyle name="Hyperlink" xfId="1179" builtinId="8" hidden="1"/>
    <cellStyle name="Hyperlink" xfId="1181" builtinId="8" hidden="1"/>
    <cellStyle name="Hyperlink" xfId="1183" builtinId="8" hidden="1"/>
    <cellStyle name="Hyperlink" xfId="1185" builtinId="8" hidden="1"/>
    <cellStyle name="Hyperlink" xfId="1187" builtinId="8" hidden="1"/>
    <cellStyle name="Hyperlink" xfId="1189" builtinId="8" hidden="1"/>
    <cellStyle name="Hyperlink" xfId="1191" builtinId="8" hidden="1"/>
    <cellStyle name="Hyperlink" xfId="1193" builtinId="8" hidden="1"/>
    <cellStyle name="Hyperlink" xfId="1195" builtinId="8" hidden="1"/>
    <cellStyle name="Hyperlink" xfId="1197" builtinId="8" hidden="1"/>
    <cellStyle name="Hyperlink" xfId="1199" builtinId="8" hidden="1"/>
    <cellStyle name="Hyperlink" xfId="1201" builtinId="8" hidden="1"/>
    <cellStyle name="Hyperlink" xfId="1203" builtinId="8" hidden="1"/>
    <cellStyle name="Hyperlink" xfId="1205" builtinId="8" hidden="1"/>
    <cellStyle name="Hyperlink" xfId="1207" builtinId="8" hidden="1"/>
    <cellStyle name="Hyperlink" xfId="1209" builtinId="8" hidden="1"/>
    <cellStyle name="Hyperlink" xfId="1211" builtinId="8" hidden="1"/>
    <cellStyle name="Hyperlink" xfId="1213" builtinId="8" hidden="1"/>
    <cellStyle name="Hyperlink" xfId="1215" builtinId="8" hidden="1"/>
    <cellStyle name="Hyperlink" xfId="1217" builtinId="8" hidden="1"/>
    <cellStyle name="Hyperlink" xfId="1219" builtinId="8" hidden="1"/>
    <cellStyle name="Hyperlink" xfId="1221" builtinId="8" hidden="1"/>
    <cellStyle name="Hyperlink" xfId="1223" builtinId="8" hidden="1"/>
    <cellStyle name="Hyperlink" xfId="1225" builtinId="8" hidden="1"/>
    <cellStyle name="Hyperlink" xfId="1227" builtinId="8" hidden="1"/>
    <cellStyle name="Hyperlink" xfId="1229" builtinId="8" hidden="1"/>
    <cellStyle name="Hyperlink" xfId="1231" builtinId="8" hidden="1"/>
    <cellStyle name="Hyperlink" xfId="1233" builtinId="8" hidden="1"/>
    <cellStyle name="Hyperlink" xfId="1235" builtinId="8" hidden="1"/>
    <cellStyle name="Hyperlink" xfId="1237" builtinId="8" hidden="1"/>
    <cellStyle name="Hyperlink" xfId="1239" builtinId="8" hidden="1"/>
    <cellStyle name="Hyperlink" xfId="1241" builtinId="8" hidden="1"/>
    <cellStyle name="Hyperlink" xfId="1243" builtinId="8" hidden="1"/>
    <cellStyle name="Hyperlink" xfId="1245" builtinId="8" hidden="1"/>
    <cellStyle name="Hyperlink" xfId="1247" builtinId="8" hidden="1"/>
    <cellStyle name="Hyperlink" xfId="1249" builtinId="8" hidden="1"/>
    <cellStyle name="Hyperlink" xfId="1251" builtinId="8" hidden="1"/>
    <cellStyle name="Hyperlink" xfId="1253" builtinId="8" hidden="1"/>
    <cellStyle name="Hyperlink" xfId="1255" builtinId="8" hidden="1"/>
    <cellStyle name="Hyperlink" xfId="1257" builtinId="8" hidden="1"/>
    <cellStyle name="Hyperlink" xfId="1259" builtinId="8" hidden="1"/>
    <cellStyle name="Hyperlink" xfId="1261" builtinId="8" hidden="1"/>
    <cellStyle name="Hyperlink" xfId="1263" builtinId="8" hidden="1"/>
    <cellStyle name="Hyperlink" xfId="1265" builtinId="8" hidden="1"/>
    <cellStyle name="Hyperlink" xfId="1267" builtinId="8" hidden="1"/>
    <cellStyle name="Hyperlink" xfId="1269" builtinId="8" hidden="1"/>
    <cellStyle name="Hyperlink" xfId="1271" builtinId="8" hidden="1"/>
    <cellStyle name="Hyperlink" xfId="1273" builtinId="8" hidden="1"/>
    <cellStyle name="Hyperlink" xfId="1275" builtinId="8" hidden="1"/>
    <cellStyle name="Hyperlink" xfId="1277" builtinId="8" hidden="1"/>
    <cellStyle name="Hyperlink" xfId="1279" builtinId="8" hidden="1"/>
    <cellStyle name="Hyperlink" xfId="1281" builtinId="8" hidden="1"/>
    <cellStyle name="Hyperlink" xfId="1283" builtinId="8" hidden="1"/>
    <cellStyle name="Hyperlink" xfId="1285" builtinId="8" hidden="1"/>
    <cellStyle name="Hyperlink" xfId="1287" builtinId="8" hidden="1"/>
    <cellStyle name="Hyperlink" xfId="1289" builtinId="8" hidden="1"/>
    <cellStyle name="Hyperlink" xfId="1291" builtinId="8" hidden="1"/>
    <cellStyle name="Hyperlink" xfId="1293" builtinId="8" hidden="1"/>
    <cellStyle name="Hyperlink" xfId="1295" builtinId="8" hidden="1"/>
    <cellStyle name="Hyperlink" xfId="1297" builtinId="8" hidden="1"/>
    <cellStyle name="Hyperlink" xfId="1299" builtinId="8" hidden="1"/>
    <cellStyle name="Hyperlink" xfId="1301" builtinId="8" hidden="1"/>
    <cellStyle name="Hyperlink" xfId="1303" builtinId="8" hidden="1"/>
    <cellStyle name="Hyperlink" xfId="1305" builtinId="8" hidden="1"/>
    <cellStyle name="Hyperlink" xfId="1307" builtinId="8" hidden="1"/>
    <cellStyle name="Hyperlink" xfId="1309" builtinId="8" hidden="1"/>
    <cellStyle name="Hyperlink" xfId="1311" builtinId="8" hidden="1"/>
    <cellStyle name="Hyperlink" xfId="1313" builtinId="8" hidden="1"/>
    <cellStyle name="Hyperlink" xfId="1315" builtinId="8" hidden="1"/>
    <cellStyle name="Hyperlink" xfId="1317" builtinId="8" hidden="1"/>
    <cellStyle name="Hyperlink" xfId="1319" builtinId="8" hidden="1"/>
    <cellStyle name="Hyperlink" xfId="1321" builtinId="8" hidden="1"/>
    <cellStyle name="Hyperlink" xfId="1323" builtinId="8" hidden="1"/>
    <cellStyle name="Hyperlink" xfId="1325" builtinId="8" hidden="1"/>
    <cellStyle name="Hyperlink" xfId="1327" builtinId="8" hidden="1"/>
    <cellStyle name="Hyperlink" xfId="1329" builtinId="8" hidden="1"/>
    <cellStyle name="Hyperlink" xfId="1331" builtinId="8" hidden="1"/>
    <cellStyle name="Hyperlink" xfId="1333" builtinId="8" hidden="1"/>
    <cellStyle name="Hyperlink" xfId="1335" builtinId="8" hidden="1"/>
    <cellStyle name="Hyperlink" xfId="1337" builtinId="8" hidden="1"/>
    <cellStyle name="Hyperlink" xfId="1339" builtinId="8" hidden="1"/>
    <cellStyle name="Hyperlink" xfId="1341" builtinId="8" hidden="1"/>
    <cellStyle name="Hyperlink" xfId="1343" builtinId="8" hidden="1"/>
    <cellStyle name="Hyperlink" xfId="1345" builtinId="8" hidden="1"/>
    <cellStyle name="Hyperlink" xfId="1347" builtinId="8" hidden="1"/>
    <cellStyle name="Hyperlink" xfId="1349" builtinId="8" hidden="1"/>
    <cellStyle name="Hyperlink" xfId="1351" builtinId="8" hidden="1"/>
    <cellStyle name="Hyperlink" xfId="1353" builtinId="8" hidden="1"/>
    <cellStyle name="Hyperlink" xfId="1355" builtinId="8" hidden="1"/>
    <cellStyle name="Hyperlink" xfId="1357" builtinId="8" hidden="1"/>
    <cellStyle name="Hyperlink" xfId="1359" builtinId="8" hidden="1"/>
    <cellStyle name="Hyperlink" xfId="1361" builtinId="8" hidden="1"/>
    <cellStyle name="Hyperlink" xfId="1363" builtinId="8" hidden="1"/>
    <cellStyle name="Hyperlink" xfId="1365" builtinId="8" hidden="1"/>
    <cellStyle name="Hyperlink" xfId="1367" builtinId="8" hidden="1"/>
    <cellStyle name="Hyperlink" xfId="1369" builtinId="8" hidden="1"/>
    <cellStyle name="Hyperlink" xfId="1371" builtinId="8" hidden="1"/>
    <cellStyle name="Hyperlink" xfId="1373" builtinId="8" hidden="1"/>
    <cellStyle name="Hyperlink" xfId="1375" builtinId="8" hidden="1"/>
    <cellStyle name="Hyperlink" xfId="1377" builtinId="8" hidden="1"/>
    <cellStyle name="Hyperlink" xfId="1379" builtinId="8" hidden="1"/>
    <cellStyle name="Hyperlink" xfId="1381" builtinId="8" hidden="1"/>
    <cellStyle name="Hyperlink" xfId="1383" builtinId="8" hidden="1"/>
    <cellStyle name="Hyperlink" xfId="1385" builtinId="8" hidden="1"/>
    <cellStyle name="Hyperlink" xfId="1387" builtinId="8" hidden="1"/>
    <cellStyle name="Hyperlink" xfId="1389" builtinId="8" hidden="1"/>
    <cellStyle name="Hyperlink" xfId="1391" builtinId="8" hidden="1"/>
    <cellStyle name="Hyperlink" xfId="1393" builtinId="8" hidden="1"/>
    <cellStyle name="Hyperlink" xfId="1395" builtinId="8" hidden="1"/>
    <cellStyle name="Hyperlink" xfId="1397" builtinId="8" hidden="1"/>
    <cellStyle name="Hyperlink" xfId="1399" builtinId="8" hidden="1"/>
    <cellStyle name="Hyperlink" xfId="1401" builtinId="8" hidden="1"/>
    <cellStyle name="Hyperlink" xfId="1403" builtinId="8" hidden="1"/>
    <cellStyle name="Hyperlink" xfId="1405" builtinId="8" hidden="1"/>
    <cellStyle name="Hyperlink" xfId="1407" builtinId="8" hidden="1"/>
    <cellStyle name="Hyperlink" xfId="1409" builtinId="8" hidden="1"/>
    <cellStyle name="Hyperlink" xfId="1411" builtinId="8" hidden="1"/>
    <cellStyle name="Hyperlink" xfId="1413" builtinId="8" hidden="1"/>
    <cellStyle name="Hyperlink" xfId="1415" builtinId="8" hidden="1"/>
    <cellStyle name="Hyperlink" xfId="1417" builtinId="8" hidden="1"/>
    <cellStyle name="Hyperlink" xfId="1419" builtinId="8" hidden="1"/>
    <cellStyle name="Hyperlink" xfId="1421" builtinId="8" hidden="1"/>
    <cellStyle name="Hyperlink" xfId="1423" builtinId="8" hidden="1"/>
    <cellStyle name="Hyperlink" xfId="1425" builtinId="8" hidden="1"/>
    <cellStyle name="Hyperlink" xfId="1427" builtinId="8" hidden="1"/>
    <cellStyle name="Hyperlink" xfId="1429" builtinId="8" hidden="1"/>
    <cellStyle name="Hyperlink" xfId="1431" builtinId="8" hidden="1"/>
    <cellStyle name="Hyperlink" xfId="1433" builtinId="8" hidden="1"/>
    <cellStyle name="Hyperlink" xfId="1435" builtinId="8" hidden="1"/>
    <cellStyle name="Hyperlink" xfId="1437" builtinId="8" hidden="1"/>
    <cellStyle name="Hyperlink" xfId="1439" builtinId="8" hidden="1"/>
    <cellStyle name="Hyperlink" xfId="1441" builtinId="8" hidden="1"/>
    <cellStyle name="Hyperlink" xfId="1443" builtinId="8" hidden="1"/>
    <cellStyle name="Hyperlink" xfId="1445" builtinId="8" hidden="1"/>
    <cellStyle name="Hyperlink" xfId="1447" builtinId="8" hidden="1"/>
    <cellStyle name="Hyperlink" xfId="1449" builtinId="8" hidden="1"/>
    <cellStyle name="Hyperlink" xfId="1451" builtinId="8" hidden="1"/>
    <cellStyle name="Hyperlink" xfId="1453" builtinId="8" hidden="1"/>
    <cellStyle name="Hyperlink" xfId="1455" builtinId="8" hidden="1"/>
    <cellStyle name="Hyperlink" xfId="1457" builtinId="8" hidden="1"/>
    <cellStyle name="Hyperlink" xfId="1459" builtinId="8" hidden="1"/>
    <cellStyle name="Hyperlink" xfId="1461" builtinId="8" hidden="1"/>
    <cellStyle name="Hyperlink" xfId="1463" builtinId="8" hidden="1"/>
    <cellStyle name="Hyperlink" xfId="1465" builtinId="8" hidden="1"/>
    <cellStyle name="Hyperlink" xfId="1467" builtinId="8" hidden="1"/>
    <cellStyle name="Hyperlink" xfId="1469" builtinId="8" hidden="1"/>
    <cellStyle name="Hyperlink" xfId="1471" builtinId="8" hidden="1"/>
    <cellStyle name="Hyperlink" xfId="1473" builtinId="8" hidden="1"/>
    <cellStyle name="Hyperlink" xfId="1475" builtinId="8" hidden="1"/>
    <cellStyle name="Hyperlink" xfId="1477" builtinId="8" hidden="1"/>
    <cellStyle name="Hyperlink" xfId="1479" builtinId="8" hidden="1"/>
    <cellStyle name="Hyperlink" xfId="1481" builtinId="8" hidden="1"/>
    <cellStyle name="Hyperlink" xfId="1483" builtinId="8" hidden="1"/>
    <cellStyle name="Hyperlink" xfId="1485" builtinId="8" hidden="1"/>
    <cellStyle name="Hyperlink" xfId="1487" builtinId="8" hidden="1"/>
    <cellStyle name="Hyperlink" xfId="1489" builtinId="8" hidden="1"/>
    <cellStyle name="Hyperlink" xfId="1491" builtinId="8" hidden="1"/>
    <cellStyle name="Hyperlink" xfId="1493" builtinId="8" hidden="1"/>
    <cellStyle name="Hyperlink" xfId="1495" builtinId="8" hidden="1"/>
    <cellStyle name="Hyperlink" xfId="1497" builtinId="8" hidden="1"/>
    <cellStyle name="Hyperlink" xfId="1499" builtinId="8" hidden="1"/>
    <cellStyle name="Hyperlink" xfId="1501" builtinId="8" hidden="1"/>
    <cellStyle name="Hyperlink" xfId="1503" builtinId="8" hidden="1"/>
    <cellStyle name="Hyperlink" xfId="1505" builtinId="8" hidden="1"/>
    <cellStyle name="Hyperlink" xfId="1507" builtinId="8" hidden="1"/>
    <cellStyle name="Hyperlink" xfId="1509" builtinId="8" hidden="1"/>
    <cellStyle name="Hyperlink" xfId="1511" builtinId="8" hidden="1"/>
    <cellStyle name="Hyperlink" xfId="1513" builtinId="8" hidden="1"/>
    <cellStyle name="Hyperlink" xfId="1515" builtinId="8" hidden="1"/>
    <cellStyle name="Hyperlink" xfId="1517" builtinId="8" hidden="1"/>
    <cellStyle name="Hyperlink" xfId="1519" builtinId="8" hidden="1"/>
    <cellStyle name="Hyperlink" xfId="1521" builtinId="8" hidden="1"/>
    <cellStyle name="Hyperlink" xfId="1523" builtinId="8" hidden="1"/>
    <cellStyle name="Hyperlink" xfId="1525" builtinId="8" hidden="1"/>
    <cellStyle name="Hyperlink" xfId="1527" builtinId="8" hidden="1"/>
    <cellStyle name="Hyperlink" xfId="1529" builtinId="8" hidden="1"/>
    <cellStyle name="Hyperlink" xfId="1531" builtinId="8" hidden="1"/>
    <cellStyle name="Hyperlink" xfId="1533" builtinId="8" hidden="1"/>
    <cellStyle name="Hyperlink" xfId="1535" builtinId="8" hidden="1"/>
    <cellStyle name="Hyperlink" xfId="1537" builtinId="8" hidden="1"/>
    <cellStyle name="Hyperlink" xfId="1539" builtinId="8" hidden="1"/>
    <cellStyle name="Hyperlink" xfId="1541" builtinId="8" hidden="1"/>
    <cellStyle name="Hyperlink" xfId="1543" builtinId="8" hidden="1"/>
    <cellStyle name="Hyperlink" xfId="1545" builtinId="8" hidden="1"/>
    <cellStyle name="Hyperlink" xfId="1547" builtinId="8" hidden="1"/>
    <cellStyle name="Hyperlink" xfId="1549" builtinId="8" hidden="1"/>
    <cellStyle name="Hyperlink" xfId="1551" builtinId="8" hidden="1"/>
    <cellStyle name="Hyperlink" xfId="1553" builtinId="8" hidden="1"/>
    <cellStyle name="Hyperlink" xfId="1555" builtinId="8" hidden="1"/>
    <cellStyle name="Hyperlink" xfId="1557" builtinId="8" hidden="1"/>
    <cellStyle name="Hyperlink" xfId="1559" builtinId="8" hidden="1"/>
    <cellStyle name="Hyperlink" xfId="1561" builtinId="8" hidden="1"/>
    <cellStyle name="Hyperlink" xfId="1563" builtinId="8" hidden="1"/>
    <cellStyle name="Hyperlink" xfId="1565" builtinId="8" hidden="1"/>
    <cellStyle name="Hyperlink" xfId="1567" builtinId="8" hidden="1"/>
    <cellStyle name="Hyperlink" xfId="1569" builtinId="8" hidden="1"/>
    <cellStyle name="Hyperlink" xfId="1571" builtinId="8" hidden="1"/>
    <cellStyle name="Hyperlink" xfId="1573" builtinId="8" hidden="1"/>
    <cellStyle name="Hyperlink" xfId="1575" builtinId="8" hidden="1"/>
    <cellStyle name="Hyperlink" xfId="1577" builtinId="8" hidden="1"/>
    <cellStyle name="Hyperlink" xfId="1579" builtinId="8" hidden="1"/>
    <cellStyle name="Hyperlink" xfId="1581" builtinId="8" hidden="1"/>
    <cellStyle name="Hyperlink" xfId="1583" builtinId="8" hidden="1"/>
    <cellStyle name="Hyperlink" xfId="1585" builtinId="8" hidden="1"/>
    <cellStyle name="Hyperlink" xfId="1587" builtinId="8" hidden="1"/>
    <cellStyle name="Hyperlink" xfId="1589" builtinId="8" hidden="1"/>
    <cellStyle name="Hyperlink" xfId="1591" builtinId="8" hidden="1"/>
    <cellStyle name="Hyperlink" xfId="1593" builtinId="8" hidden="1"/>
    <cellStyle name="Hyperlink" xfId="1595" builtinId="8" hidden="1"/>
    <cellStyle name="Hyperlink" xfId="1597" builtinId="8" hidden="1"/>
    <cellStyle name="Hyperlink" xfId="1599" builtinId="8" hidden="1"/>
    <cellStyle name="Hyperlink" xfId="1601" builtinId="8" hidden="1"/>
    <cellStyle name="Hyperlink" xfId="1603" builtinId="8" hidden="1"/>
    <cellStyle name="Hyperlink" xfId="1605" builtinId="8" hidden="1"/>
    <cellStyle name="Hyperlink" xfId="1607" builtinId="8" hidden="1"/>
    <cellStyle name="Hyperlink" xfId="1609" builtinId="8" hidden="1"/>
    <cellStyle name="Hyperlink" xfId="1611" builtinId="8" hidden="1"/>
    <cellStyle name="Hyperlink" xfId="1613" builtinId="8" hidden="1"/>
    <cellStyle name="Hyperlink" xfId="1615" builtinId="8" hidden="1"/>
    <cellStyle name="Hyperlink" xfId="1617" builtinId="8" hidden="1"/>
    <cellStyle name="Hyperlink" xfId="1619" builtinId="8" hidden="1"/>
    <cellStyle name="Hyperlink" xfId="1621" builtinId="8" hidden="1"/>
    <cellStyle name="Hyperlink" xfId="1623" builtinId="8" hidden="1"/>
    <cellStyle name="Hyperlink" xfId="1625" builtinId="8" hidden="1"/>
    <cellStyle name="Hyperlink" xfId="1627" builtinId="8" hidden="1"/>
    <cellStyle name="Hyperlink" xfId="1629" builtinId="8" hidden="1"/>
    <cellStyle name="Hyperlink" xfId="1633" builtinId="8" hidden="1"/>
    <cellStyle name="Hyperlink" xfId="1635" builtinId="8" hidden="1"/>
    <cellStyle name="Hyperlink" xfId="1637" builtinId="8" hidden="1"/>
    <cellStyle name="Hyperlink" xfId="1639" builtinId="8" hidden="1"/>
    <cellStyle name="Hyperlink" xfId="1641" builtinId="8" hidden="1"/>
    <cellStyle name="Hyperlink" xfId="1643" builtinId="8" hidden="1"/>
    <cellStyle name="Hyperlink" xfId="1645" builtinId="8" hidden="1"/>
    <cellStyle name="Hyperlink" xfId="1647" builtinId="8" hidden="1"/>
    <cellStyle name="Hyperlink" xfId="1649" builtinId="8" hidden="1"/>
    <cellStyle name="Hyperlink" xfId="1651" builtinId="8" hidden="1"/>
    <cellStyle name="Hyperlink" xfId="1653" builtinId="8" hidden="1"/>
    <cellStyle name="Hyperlink" xfId="1655" builtinId="8" hidden="1"/>
    <cellStyle name="Hyperlink" xfId="1657" builtinId="8" hidden="1"/>
    <cellStyle name="Hyperlink" xfId="1659" builtinId="8" hidden="1"/>
    <cellStyle name="Hyperlink" xfId="1661" builtinId="8" hidden="1"/>
    <cellStyle name="Hyperlink" xfId="1663" builtinId="8" hidden="1"/>
    <cellStyle name="Hyperlink" xfId="1665" builtinId="8" hidden="1"/>
    <cellStyle name="Hyperlink" xfId="1667" builtinId="8" hidden="1"/>
    <cellStyle name="Hyperlink" xfId="1669" builtinId="8" hidden="1"/>
    <cellStyle name="Hyperlink" xfId="1671" builtinId="8" hidden="1"/>
    <cellStyle name="Hyperlink" xfId="1673" builtinId="8" hidden="1"/>
    <cellStyle name="Hyperlink" xfId="1675" builtinId="8" hidden="1"/>
    <cellStyle name="Hyperlink" xfId="1677" builtinId="8" hidden="1"/>
    <cellStyle name="Hyperlink" xfId="1679" builtinId="8" hidden="1"/>
    <cellStyle name="Hyperlink" xfId="1681" builtinId="8" hidden="1"/>
    <cellStyle name="Hyperlink" xfId="1683" builtinId="8" hidden="1"/>
    <cellStyle name="Hyperlink" xfId="1685" builtinId="8" hidden="1"/>
    <cellStyle name="Hyperlink" xfId="1687" builtinId="8" hidden="1"/>
    <cellStyle name="Hyperlink" xfId="1689" builtinId="8" hidden="1"/>
    <cellStyle name="Hyperlink" xfId="1691" builtinId="8" hidden="1"/>
    <cellStyle name="Hyperlink" xfId="1693" builtinId="8" hidden="1"/>
    <cellStyle name="Hyperlink" xfId="1695" builtinId="8" hidden="1"/>
    <cellStyle name="Hyperlink" xfId="1697" builtinId="8" hidden="1"/>
    <cellStyle name="Hyperlink" xfId="1699" builtinId="8" hidden="1"/>
    <cellStyle name="Hyperlink" xfId="1701" builtinId="8" hidden="1"/>
    <cellStyle name="Hyperlink" xfId="1703" builtinId="8" hidden="1"/>
    <cellStyle name="Hyperlink" xfId="1705" builtinId="8" hidden="1"/>
    <cellStyle name="Hyperlink" xfId="1707" builtinId="8" hidden="1"/>
    <cellStyle name="Hyperlink" xfId="1709" builtinId="8" hidden="1"/>
    <cellStyle name="Hyperlink" xfId="1711" builtinId="8" hidden="1"/>
    <cellStyle name="Hyperlink" xfId="1713" builtinId="8" hidden="1"/>
    <cellStyle name="Hyperlink" xfId="1715" builtinId="8" hidden="1"/>
    <cellStyle name="Hyperlink" xfId="1717" builtinId="8" hidden="1"/>
    <cellStyle name="Hyperlink" xfId="1719" builtinId="8" hidden="1"/>
    <cellStyle name="Hyperlink" xfId="1721" builtinId="8" hidden="1"/>
    <cellStyle name="Hyperlink" xfId="1723" builtinId="8" hidden="1"/>
    <cellStyle name="Hyperlink" xfId="1725" builtinId="8" hidden="1"/>
    <cellStyle name="Hyperlink" xfId="1727" builtinId="8" hidden="1"/>
    <cellStyle name="Hyperlink" xfId="1729" builtinId="8" hidden="1"/>
    <cellStyle name="Hyperlink" xfId="1731" builtinId="8" hidden="1"/>
    <cellStyle name="Hyperlink" xfId="1733" builtinId="8" hidden="1"/>
    <cellStyle name="Hyperlink" xfId="1735" builtinId="8" hidden="1"/>
    <cellStyle name="Hyperlink" xfId="1737" builtinId="8" hidden="1"/>
    <cellStyle name="Hyperlink" xfId="1739" builtinId="8" hidden="1"/>
    <cellStyle name="Hyperlink" xfId="1741" builtinId="8" hidden="1"/>
    <cellStyle name="Hyperlink" xfId="1743" builtinId="8" hidden="1"/>
    <cellStyle name="Hyperlink" xfId="1745" builtinId="8" hidden="1"/>
    <cellStyle name="Hyperlink" xfId="1747" builtinId="8" hidden="1"/>
    <cellStyle name="Hyperlink" xfId="1749" builtinId="8" hidden="1"/>
    <cellStyle name="Hyperlink" xfId="1751" builtinId="8" hidden="1"/>
    <cellStyle name="Hyperlink" xfId="1753" builtinId="8" hidden="1"/>
    <cellStyle name="Hyperlink" xfId="1755" builtinId="8" hidden="1"/>
    <cellStyle name="Hyperlink" xfId="1757" builtinId="8" hidden="1"/>
    <cellStyle name="Hyperlink" xfId="1759" builtinId="8" hidden="1"/>
    <cellStyle name="Hyperlink" xfId="1761" builtinId="8" hidden="1"/>
    <cellStyle name="Hyperlink" xfId="1763" builtinId="8" hidden="1"/>
    <cellStyle name="Hyperlink" xfId="1765" builtinId="8" hidden="1"/>
    <cellStyle name="Hyperlink" xfId="1767" builtinId="8" hidden="1"/>
    <cellStyle name="Hyperlink" xfId="1769" builtinId="8" hidden="1"/>
    <cellStyle name="Hyperlink" xfId="1771" builtinId="8" hidden="1"/>
    <cellStyle name="Hyperlink" xfId="1773" builtinId="8" hidden="1"/>
    <cellStyle name="Hyperlink" xfId="1775" builtinId="8" hidden="1"/>
    <cellStyle name="Hyperlink" xfId="1777" builtinId="8" hidden="1"/>
    <cellStyle name="Hyperlink" xfId="1779" builtinId="8" hidden="1"/>
    <cellStyle name="Hyperlink" xfId="1781" builtinId="8" hidden="1"/>
    <cellStyle name="Hyperlink" xfId="1783" builtinId="8" hidden="1"/>
    <cellStyle name="Hyperlink" xfId="1785" builtinId="8" hidden="1"/>
    <cellStyle name="Hyperlink" xfId="1787" builtinId="8" hidden="1"/>
    <cellStyle name="Hyperlink" xfId="1789" builtinId="8" hidden="1"/>
    <cellStyle name="Hyperlink" xfId="1791" builtinId="8" hidden="1"/>
    <cellStyle name="Hyperlink" xfId="1793" builtinId="8" hidden="1"/>
    <cellStyle name="Hyperlink" xfId="1795" builtinId="8" hidden="1"/>
    <cellStyle name="Hyperlink" xfId="1797" builtinId="8" hidden="1"/>
    <cellStyle name="Hyperlink" xfId="1799" builtinId="8" hidden="1"/>
    <cellStyle name="Hyperlink" xfId="1801" builtinId="8" hidden="1"/>
    <cellStyle name="Hyperlink" xfId="1803" builtinId="8" hidden="1"/>
    <cellStyle name="Hyperlink" xfId="1805" builtinId="8" hidden="1"/>
    <cellStyle name="Hyperlink" xfId="1807" builtinId="8" hidden="1"/>
    <cellStyle name="Hyperlink" xfId="1809" builtinId="8" hidden="1"/>
    <cellStyle name="Hyperlink" xfId="1811" builtinId="8" hidden="1"/>
    <cellStyle name="Hyperlink" xfId="1813" builtinId="8" hidden="1"/>
    <cellStyle name="Hyperlink" xfId="1815" builtinId="8" hidden="1"/>
    <cellStyle name="Hyperlink" xfId="1817" builtinId="8" hidden="1"/>
    <cellStyle name="Hyperlink" xfId="1819" builtinId="8" hidden="1"/>
    <cellStyle name="Hyperlink" xfId="1821" builtinId="8" hidden="1"/>
    <cellStyle name="Hyperlink" xfId="1823" builtinId="8" hidden="1"/>
    <cellStyle name="Hyperlink" xfId="1825" builtinId="8" hidden="1"/>
    <cellStyle name="Hyperlink" xfId="1827" builtinId="8" hidden="1"/>
    <cellStyle name="Hyperlink" xfId="1829" builtinId="8" hidden="1"/>
    <cellStyle name="Hyperlink" xfId="1831" builtinId="8" hidden="1"/>
    <cellStyle name="Hyperlink" xfId="1833" builtinId="8" hidden="1"/>
    <cellStyle name="Hyperlink" xfId="1835" builtinId="8" hidden="1"/>
    <cellStyle name="Hyperlink" xfId="1837" builtinId="8" hidden="1"/>
    <cellStyle name="Hyperlink" xfId="1839" builtinId="8" hidden="1"/>
    <cellStyle name="Hyperlink" xfId="1841" builtinId="8" hidden="1"/>
    <cellStyle name="Hyperlink" xfId="1843" builtinId="8" hidden="1"/>
    <cellStyle name="Hyperlink" xfId="1845" builtinId="8" hidden="1"/>
    <cellStyle name="Hyperlink" xfId="1847" builtinId="8" hidden="1"/>
    <cellStyle name="Hyperlink" xfId="1849" builtinId="8" hidden="1"/>
    <cellStyle name="Hyperlink" xfId="1851" builtinId="8" hidden="1"/>
    <cellStyle name="Hyperlink" xfId="1853" builtinId="8" hidden="1"/>
    <cellStyle name="Hyperlink" xfId="1855" builtinId="8" hidden="1"/>
    <cellStyle name="Hyperlink" xfId="1857" builtinId="8" hidden="1"/>
    <cellStyle name="Hyperlink" xfId="1859" builtinId="8" hidden="1"/>
    <cellStyle name="Hyperlink" xfId="1861" builtinId="8" hidden="1"/>
    <cellStyle name="Hyperlink" xfId="1865" builtinId="8" hidden="1"/>
    <cellStyle name="Hyperlink" xfId="1867" builtinId="8" hidden="1"/>
    <cellStyle name="Hyperlink" xfId="1869" builtinId="8" hidden="1"/>
    <cellStyle name="Hyperlink" xfId="1871" builtinId="8" hidden="1"/>
    <cellStyle name="Hyperlink" xfId="1873" builtinId="8" hidden="1"/>
    <cellStyle name="Hyperlink" xfId="1875" builtinId="8" hidden="1"/>
    <cellStyle name="Hyperlink" xfId="1877" builtinId="8" hidden="1"/>
    <cellStyle name="Hyperlink" xfId="1879" builtinId="8" hidden="1"/>
    <cellStyle name="Hyperlink" xfId="1881" builtinId="8" hidden="1"/>
    <cellStyle name="Hyperlink" xfId="1883" builtinId="8" hidden="1"/>
    <cellStyle name="Hyperlink" xfId="1885" builtinId="8" hidden="1"/>
    <cellStyle name="Hyperlink" xfId="1887" builtinId="8" hidden="1"/>
    <cellStyle name="Hyperlink" xfId="1889" builtinId="8" hidden="1"/>
    <cellStyle name="Hyperlink" xfId="1891" builtinId="8" hidden="1"/>
    <cellStyle name="Hyperlink" xfId="1893" builtinId="8" hidden="1"/>
    <cellStyle name="Hyperlink" xfId="1895" builtinId="8" hidden="1"/>
    <cellStyle name="Hyperlink" xfId="1897" builtinId="8" hidden="1"/>
    <cellStyle name="Hyperlink" xfId="1899" builtinId="8" hidden="1"/>
    <cellStyle name="Hyperlink" xfId="1901" builtinId="8" hidden="1"/>
    <cellStyle name="Hyperlink" xfId="1903" builtinId="8" hidden="1"/>
    <cellStyle name="Hyperlink" xfId="1905" builtinId="8" hidden="1"/>
    <cellStyle name="Hyperlink" xfId="1907" builtinId="8" hidden="1"/>
    <cellStyle name="Hyperlink" xfId="1909" builtinId="8" hidden="1"/>
    <cellStyle name="Hyperlink" xfId="1911" builtinId="8" hidden="1"/>
    <cellStyle name="Hyperlink" xfId="1913" builtinId="8" hidden="1"/>
    <cellStyle name="Hyperlink" xfId="1915" builtinId="8" hidden="1"/>
    <cellStyle name="Hyperlink" xfId="1917" builtinId="8" hidden="1"/>
    <cellStyle name="Hyperlink" xfId="1919" builtinId="8" hidden="1"/>
    <cellStyle name="Hyperlink" xfId="1921" builtinId="8" hidden="1"/>
    <cellStyle name="Hyperlink" xfId="1923" builtinId="8" hidden="1"/>
    <cellStyle name="Hyperlink" xfId="1925" builtinId="8" hidden="1"/>
    <cellStyle name="Hyperlink" xfId="1927" builtinId="8" hidden="1"/>
    <cellStyle name="Hyperlink" xfId="1929" builtinId="8" hidden="1"/>
    <cellStyle name="Hyperlink" xfId="1931" builtinId="8" hidden="1"/>
    <cellStyle name="Hyperlink" xfId="1933" builtinId="8" hidden="1"/>
    <cellStyle name="Hyperlink" xfId="1935" builtinId="8" hidden="1"/>
    <cellStyle name="Hyperlink" xfId="1937" builtinId="8" hidden="1"/>
    <cellStyle name="Hyperlink" xfId="1939" builtinId="8" hidden="1"/>
    <cellStyle name="Hyperlink" xfId="1941" builtinId="8" hidden="1"/>
    <cellStyle name="Hyperlink" xfId="1943" builtinId="8" hidden="1"/>
    <cellStyle name="Hyperlink" xfId="1945" builtinId="8" hidden="1"/>
    <cellStyle name="Hyperlink" xfId="1947" builtinId="8" hidden="1"/>
    <cellStyle name="Hyperlink" xfId="1949" builtinId="8" hidden="1"/>
    <cellStyle name="Hyperlink" xfId="1951" builtinId="8" hidden="1"/>
    <cellStyle name="Hyperlink" xfId="1953" builtinId="8" hidden="1"/>
    <cellStyle name="Hyperlink" xfId="1955" builtinId="8" hidden="1"/>
    <cellStyle name="Hyperlink" xfId="1957" builtinId="8" hidden="1"/>
    <cellStyle name="Hyperlink" xfId="1959" builtinId="8" hidden="1"/>
    <cellStyle name="Hyperlink" xfId="1961" builtinId="8" hidden="1"/>
    <cellStyle name="Hyperlink" xfId="1963" builtinId="8" hidden="1"/>
    <cellStyle name="Hyperlink" xfId="1965" builtinId="8" hidden="1"/>
    <cellStyle name="Hyperlink" xfId="1967" builtinId="8" hidden="1"/>
    <cellStyle name="Hyperlink" xfId="1969" builtinId="8" hidden="1"/>
    <cellStyle name="Hyperlink" xfId="1971" builtinId="8" hidden="1"/>
    <cellStyle name="Hyperlink" xfId="1973" builtinId="8" hidden="1"/>
    <cellStyle name="Hyperlink" xfId="1975" builtinId="8" hidden="1"/>
    <cellStyle name="Hyperlink" xfId="1977" builtinId="8" hidden="1"/>
    <cellStyle name="Hyperlink" xfId="1979" builtinId="8" hidden="1"/>
    <cellStyle name="Hyperlink" xfId="1981" builtinId="8" hidden="1"/>
    <cellStyle name="Hyperlink" xfId="1983" builtinId="8" hidden="1"/>
    <cellStyle name="Hyperlink" xfId="1985" builtinId="8" hidden="1"/>
    <cellStyle name="Hyperlink" xfId="1987" builtinId="8" hidden="1"/>
    <cellStyle name="Hyperlink" xfId="1989" builtinId="8" hidden="1"/>
    <cellStyle name="Hyperlink" xfId="1991" builtinId="8" hidden="1"/>
    <cellStyle name="Hyperlink" xfId="1993" builtinId="8" hidden="1"/>
    <cellStyle name="Hyperlink" xfId="1995" builtinId="8" hidden="1"/>
    <cellStyle name="Hyperlink" xfId="1997" builtinId="8" hidden="1"/>
    <cellStyle name="Hyperlink" xfId="1999" builtinId="8" hidden="1"/>
    <cellStyle name="Hyperlink" xfId="2001" builtinId="8" hidden="1"/>
    <cellStyle name="Hyperlink" xfId="2003" builtinId="8" hidden="1"/>
    <cellStyle name="Hyperlink" xfId="2005" builtinId="8" hidden="1"/>
    <cellStyle name="Hyperlink" xfId="2007" builtinId="8" hidden="1"/>
    <cellStyle name="Hyperlink" xfId="2009" builtinId="8" hidden="1"/>
    <cellStyle name="Hyperlink" xfId="2011" builtinId="8" hidden="1"/>
    <cellStyle name="Hyperlink" xfId="2013" builtinId="8" hidden="1"/>
    <cellStyle name="Hyperlink" xfId="2015" builtinId="8" hidden="1"/>
    <cellStyle name="Hyperlink" xfId="2017" builtinId="8" hidden="1"/>
    <cellStyle name="Hyperlink" xfId="2019" builtinId="8" hidden="1"/>
    <cellStyle name="Hyperlink" xfId="2021" builtinId="8" hidden="1"/>
    <cellStyle name="Hyperlink" xfId="2023" builtinId="8" hidden="1"/>
    <cellStyle name="Hyperlink" xfId="2025" builtinId="8" hidden="1"/>
    <cellStyle name="Hyperlink" xfId="2027" builtinId="8" hidden="1"/>
    <cellStyle name="Hyperlink" xfId="2029" builtinId="8" hidden="1"/>
    <cellStyle name="Hyperlink" xfId="2031" builtinId="8" hidden="1"/>
    <cellStyle name="Hyperlink" xfId="2033" builtinId="8" hidden="1"/>
    <cellStyle name="Hyperlink" xfId="2035" builtinId="8" hidden="1"/>
    <cellStyle name="Hyperlink" xfId="2037" builtinId="8" hidden="1"/>
    <cellStyle name="Hyperlink" xfId="2039" builtinId="8" hidden="1"/>
    <cellStyle name="Hyperlink" xfId="2041" builtinId="8" hidden="1"/>
    <cellStyle name="Hyperlink" xfId="2043" builtinId="8" hidden="1"/>
    <cellStyle name="Hyperlink" xfId="2045" builtinId="8" hidden="1"/>
    <cellStyle name="Hyperlink" xfId="2047" builtinId="8" hidden="1"/>
    <cellStyle name="Hyperlink" xfId="2049" builtinId="8" hidden="1"/>
    <cellStyle name="Hyperlink" xfId="2051" builtinId="8" hidden="1"/>
    <cellStyle name="Hyperlink" xfId="2053" builtinId="8" hidden="1"/>
    <cellStyle name="Hyperlink" xfId="2055" builtinId="8" hidden="1"/>
    <cellStyle name="Hyperlink" xfId="2057" builtinId="8" hidden="1"/>
    <cellStyle name="Hyperlink" xfId="2059" builtinId="8" hidden="1"/>
    <cellStyle name="Hyperlink" xfId="2061" builtinId="8" hidden="1"/>
    <cellStyle name="Hyperlink" xfId="2063" builtinId="8" hidden="1"/>
    <cellStyle name="Hyperlink" xfId="2065" builtinId="8" hidden="1"/>
    <cellStyle name="Hyperlink" xfId="2067" builtinId="8" hidden="1"/>
    <cellStyle name="Hyperlink" xfId="2069" builtinId="8" hidden="1"/>
    <cellStyle name="Hyperlink" xfId="2071" builtinId="8" hidden="1"/>
    <cellStyle name="Hyperlink" xfId="2073" builtinId="8" hidden="1"/>
    <cellStyle name="Hyperlink" xfId="2075" builtinId="8" hidden="1"/>
    <cellStyle name="Hyperlink" xfId="2077" builtinId="8" hidden="1"/>
    <cellStyle name="Hyperlink" xfId="2079" builtinId="8" hidden="1"/>
    <cellStyle name="Hyperlink" xfId="2081" builtinId="8" hidden="1"/>
    <cellStyle name="Hyperlink" xfId="2083" builtinId="8" hidden="1"/>
    <cellStyle name="Hyperlink" xfId="2085" builtinId="8" hidden="1"/>
    <cellStyle name="Hyperlink" xfId="2087" builtinId="8" hidden="1"/>
    <cellStyle name="Hyperlink" xfId="2089" builtinId="8" hidden="1"/>
    <cellStyle name="Hyperlink" xfId="2091" builtinId="8" hidden="1"/>
    <cellStyle name="Hyperlink" xfId="2093" builtinId="8" hidden="1"/>
    <cellStyle name="Hyperlink" xfId="2095" builtinId="8" hidden="1"/>
    <cellStyle name="Hyperlink" xfId="2097" builtinId="8" hidden="1"/>
    <cellStyle name="Hyperlink" xfId="2099" builtinId="8" hidden="1"/>
    <cellStyle name="Hyperlink" xfId="2101" builtinId="8" hidden="1"/>
    <cellStyle name="Hyperlink" xfId="2103" builtinId="8" hidden="1"/>
    <cellStyle name="Hyperlink" xfId="2105" builtinId="8" hidden="1"/>
    <cellStyle name="Hyperlink" xfId="2107" builtinId="8" hidden="1"/>
    <cellStyle name="Hyperlink" xfId="2109" builtinId="8" hidden="1"/>
    <cellStyle name="Hyperlink" xfId="2111" builtinId="8" hidden="1"/>
    <cellStyle name="Hyperlink" xfId="2113" builtinId="8" hidden="1"/>
    <cellStyle name="Hyperlink" xfId="2115" builtinId="8" hidden="1"/>
    <cellStyle name="Hyperlink" xfId="2117" builtinId="8" hidden="1"/>
    <cellStyle name="Hyperlink" xfId="2119" builtinId="8" hidden="1"/>
    <cellStyle name="Hyperlink" xfId="2121" builtinId="8" hidden="1"/>
    <cellStyle name="Hyperlink" xfId="2123" builtinId="8" hidden="1"/>
    <cellStyle name="Hyperlink" xfId="2125" builtinId="8" hidden="1"/>
    <cellStyle name="Hyperlink" xfId="2127" builtinId="8" hidden="1"/>
    <cellStyle name="Hyperlink" xfId="2129" builtinId="8" hidden="1"/>
    <cellStyle name="Hyperlink" xfId="2131" builtinId="8" hidden="1"/>
    <cellStyle name="Hyperlink" xfId="2133" builtinId="8" hidden="1"/>
    <cellStyle name="Hyperlink" xfId="2135" builtinId="8" hidden="1"/>
    <cellStyle name="Hyperlink" xfId="2137" builtinId="8" hidden="1"/>
    <cellStyle name="Hyperlink" xfId="2139" builtinId="8" hidden="1"/>
    <cellStyle name="Hyperlink" xfId="2141" builtinId="8" hidden="1"/>
    <cellStyle name="Hyperlink" xfId="2143" builtinId="8" hidden="1"/>
    <cellStyle name="Hyperlink" xfId="2145" builtinId="8" hidden="1"/>
    <cellStyle name="Hyperlink" xfId="2147" builtinId="8" hidden="1"/>
    <cellStyle name="Hyperlink" xfId="2149" builtinId="8" hidden="1"/>
    <cellStyle name="Hyperlink" xfId="2151" builtinId="8" hidden="1"/>
    <cellStyle name="Hyperlink" xfId="2153" builtinId="8" hidden="1"/>
    <cellStyle name="Hyperlink" xfId="2155" builtinId="8" hidden="1"/>
    <cellStyle name="Hyperlink" xfId="2157" builtinId="8" hidden="1"/>
    <cellStyle name="Hyperlink" xfId="2159" builtinId="8" hidden="1"/>
    <cellStyle name="Hyperlink" xfId="2161" builtinId="8" hidden="1"/>
    <cellStyle name="Hyperlink" xfId="2163" builtinId="8" hidden="1"/>
    <cellStyle name="Hyperlink" xfId="2165" builtinId="8" hidden="1"/>
    <cellStyle name="Hyperlink" xfId="2167" builtinId="8" hidden="1"/>
    <cellStyle name="Hyperlink" xfId="2169" builtinId="8" hidden="1"/>
    <cellStyle name="Hyperlink" xfId="2171" builtinId="8" hidden="1"/>
    <cellStyle name="Hyperlink" xfId="2173" builtinId="8" hidden="1"/>
    <cellStyle name="Hyperlink" xfId="2175" builtinId="8" hidden="1"/>
    <cellStyle name="Hyperlink" xfId="2177" builtinId="8" hidden="1"/>
    <cellStyle name="Hyperlink" xfId="2179" builtinId="8" hidden="1"/>
    <cellStyle name="Hyperlink" xfId="2181" builtinId="8" hidden="1"/>
    <cellStyle name="Hyperlink" xfId="2183" builtinId="8" hidden="1"/>
    <cellStyle name="Hyperlink" xfId="2185" builtinId="8" hidden="1"/>
    <cellStyle name="Hyperlink" xfId="2187" builtinId="8" hidden="1"/>
    <cellStyle name="Hyperlink" xfId="2189" builtinId="8" hidden="1"/>
    <cellStyle name="Hyperlink" xfId="2191" builtinId="8" hidden="1"/>
    <cellStyle name="Hyperlink" xfId="2193" builtinId="8" hidden="1"/>
    <cellStyle name="Hyperlink" xfId="2195" builtinId="8" hidden="1"/>
    <cellStyle name="Hyperlink" xfId="2197" builtinId="8" hidden="1"/>
    <cellStyle name="Hyperlink" xfId="2199" builtinId="8" hidden="1"/>
    <cellStyle name="Hyperlink" xfId="2201" builtinId="8" hidden="1"/>
    <cellStyle name="Hyperlink" xfId="2203" builtinId="8" hidden="1"/>
    <cellStyle name="Hyperlink" xfId="2205" builtinId="8" hidden="1"/>
    <cellStyle name="Hyperlink" xfId="2207" builtinId="8" hidden="1"/>
    <cellStyle name="Hyperlink" xfId="2209" builtinId="8" hidden="1"/>
    <cellStyle name="Hyperlink" xfId="2211" builtinId="8" hidden="1"/>
    <cellStyle name="Hyperlink" xfId="2213" builtinId="8" hidden="1"/>
    <cellStyle name="Hyperlink" xfId="2215" builtinId="8" hidden="1"/>
    <cellStyle name="Hyperlink" xfId="2217" builtinId="8" hidden="1"/>
    <cellStyle name="Hyperlink" xfId="2219" builtinId="8" hidden="1"/>
    <cellStyle name="Hyperlink" xfId="2221" builtinId="8" hidden="1"/>
    <cellStyle name="Hyperlink" xfId="2223" builtinId="8" hidden="1"/>
    <cellStyle name="Hyperlink" xfId="2225" builtinId="8" hidden="1"/>
    <cellStyle name="Hyperlink" xfId="2227" builtinId="8" hidden="1"/>
    <cellStyle name="Hyperlink" xfId="2229" builtinId="8" hidden="1"/>
    <cellStyle name="Hyperlink" xfId="2231" builtinId="8" hidden="1"/>
    <cellStyle name="Hyperlink" xfId="2233" builtinId="8" hidden="1"/>
    <cellStyle name="Hyperlink" xfId="2235" builtinId="8" hidden="1"/>
    <cellStyle name="Hyperlink" xfId="2237" builtinId="8" hidden="1"/>
    <cellStyle name="Hyperlink" xfId="2239" builtinId="8" hidden="1"/>
    <cellStyle name="Hyperlink" xfId="2241" builtinId="8" hidden="1"/>
    <cellStyle name="Hyperlink" xfId="2243" builtinId="8" hidden="1"/>
    <cellStyle name="Hyperlink" xfId="2245" builtinId="8" hidden="1"/>
    <cellStyle name="Hyperlink" xfId="2247" builtinId="8" hidden="1"/>
    <cellStyle name="Hyperlink" xfId="2249" builtinId="8" hidden="1"/>
    <cellStyle name="Hyperlink" xfId="2251" builtinId="8" hidden="1"/>
    <cellStyle name="Hyperlink" xfId="2253" builtinId="8" hidden="1"/>
    <cellStyle name="Hyperlink" xfId="2255" builtinId="8" hidden="1"/>
    <cellStyle name="Hyperlink" xfId="2257" builtinId="8" hidden="1"/>
    <cellStyle name="Hyperlink" xfId="2259" builtinId="8" hidden="1"/>
    <cellStyle name="Hyperlink" xfId="2261" builtinId="8" hidden="1"/>
    <cellStyle name="Hyperlink" xfId="2263" builtinId="8" hidden="1"/>
    <cellStyle name="Hyperlink" xfId="2265" builtinId="8" hidden="1"/>
    <cellStyle name="Hyperlink" xfId="2267" builtinId="8" hidden="1"/>
    <cellStyle name="Hyperlink" xfId="2269" builtinId="8" hidden="1"/>
    <cellStyle name="Hyperlink" xfId="2271" builtinId="8" hidden="1"/>
    <cellStyle name="Hyperlink" xfId="2273" builtinId="8" hidden="1"/>
    <cellStyle name="Hyperlink" xfId="2275" builtinId="8" hidden="1"/>
    <cellStyle name="Hyperlink" xfId="2277" builtinId="8" hidden="1"/>
    <cellStyle name="Hyperlink" xfId="2279" builtinId="8" hidden="1"/>
    <cellStyle name="Hyperlink" xfId="2281" builtinId="8" hidden="1"/>
    <cellStyle name="Hyperlink" xfId="2283" builtinId="8" hidden="1"/>
    <cellStyle name="Hyperlink" xfId="2285" builtinId="8" hidden="1"/>
    <cellStyle name="Hyperlink" xfId="2287" builtinId="8" hidden="1"/>
    <cellStyle name="Hyperlink" xfId="2289" builtinId="8" hidden="1"/>
    <cellStyle name="Hyperlink" xfId="2291" builtinId="8" hidden="1"/>
    <cellStyle name="Hyperlink" xfId="2293" builtinId="8" hidden="1"/>
    <cellStyle name="Hyperlink" xfId="2295" builtinId="8" hidden="1"/>
    <cellStyle name="Hyperlink" xfId="2297" builtinId="8" hidden="1"/>
    <cellStyle name="Hyperlink" xfId="2299" builtinId="8" hidden="1"/>
    <cellStyle name="Hyperlink" xfId="2301" builtinId="8" hidden="1"/>
    <cellStyle name="Hyperlink" xfId="2303" builtinId="8" hidden="1"/>
    <cellStyle name="Hyperlink" xfId="2305" builtinId="8" hidden="1"/>
    <cellStyle name="Hyperlink" xfId="2307" builtinId="8" hidden="1"/>
    <cellStyle name="Hyperlink" xfId="2309" builtinId="8" hidden="1"/>
    <cellStyle name="Hyperlink" xfId="2311" builtinId="8" hidden="1"/>
    <cellStyle name="Hyperlink" xfId="2313" builtinId="8" hidden="1"/>
    <cellStyle name="Hyperlink" xfId="2315" builtinId="8" hidden="1"/>
    <cellStyle name="Hyperlink" xfId="2317" builtinId="8" hidden="1"/>
    <cellStyle name="Hyperlink" xfId="2319" builtinId="8" hidden="1"/>
    <cellStyle name="Hyperlink" xfId="2321" builtinId="8" hidden="1"/>
    <cellStyle name="Hyperlink" xfId="2323" builtinId="8" hidden="1"/>
    <cellStyle name="Hyperlink" xfId="2325" builtinId="8" hidden="1"/>
    <cellStyle name="Hyperlink" xfId="2327" builtinId="8" hidden="1"/>
    <cellStyle name="Hyperlink" xfId="2329" builtinId="8" hidden="1"/>
    <cellStyle name="Hyperlink" xfId="2331" builtinId="8" hidden="1"/>
    <cellStyle name="Hyperlink" xfId="2333" builtinId="8" hidden="1"/>
    <cellStyle name="Hyperlink" xfId="2335" builtinId="8" hidden="1"/>
    <cellStyle name="Hyperlink" xfId="2337" builtinId="8" hidden="1"/>
    <cellStyle name="Hyperlink" xfId="2339" builtinId="8" hidden="1"/>
    <cellStyle name="Hyperlink" xfId="2341" builtinId="8" hidden="1"/>
    <cellStyle name="Hyperlink" xfId="2343" builtinId="8" hidden="1"/>
    <cellStyle name="Hyperlink" xfId="2345" builtinId="8" hidden="1"/>
    <cellStyle name="Hyperlink" xfId="2347" builtinId="8" hidden="1"/>
    <cellStyle name="Hyperlink" xfId="2349" builtinId="8" hidden="1"/>
    <cellStyle name="Hyperlink" xfId="2351" builtinId="8" hidden="1"/>
    <cellStyle name="Hyperlink" xfId="2353" builtinId="8" hidden="1"/>
    <cellStyle name="Hyperlink" xfId="2355" builtinId="8" hidden="1"/>
    <cellStyle name="Hyperlink" xfId="2357" builtinId="8" hidden="1"/>
    <cellStyle name="Hyperlink" xfId="2359" builtinId="8" hidden="1"/>
    <cellStyle name="Hyperlink" xfId="2361" builtinId="8" hidden="1"/>
    <cellStyle name="Hyperlink" xfId="2363" builtinId="8" hidden="1"/>
    <cellStyle name="Hyperlink" xfId="2365" builtinId="8" hidden="1"/>
    <cellStyle name="Hyperlink" xfId="2367" builtinId="8" hidden="1"/>
    <cellStyle name="Hyperlink" xfId="2369" builtinId="8" hidden="1"/>
    <cellStyle name="Hyperlink" xfId="2371" builtinId="8" hidden="1"/>
    <cellStyle name="Hyperlink" xfId="2373" builtinId="8" hidden="1"/>
    <cellStyle name="Hyperlink" xfId="2375" builtinId="8" hidden="1"/>
    <cellStyle name="Hyperlink" xfId="2377" builtinId="8" hidden="1"/>
    <cellStyle name="Hyperlink" xfId="2379" builtinId="8" hidden="1"/>
    <cellStyle name="Hyperlink" xfId="2381" builtinId="8" hidden="1"/>
    <cellStyle name="Hyperlink" xfId="2383" builtinId="8" hidden="1"/>
    <cellStyle name="Hyperlink" xfId="2385" builtinId="8" hidden="1"/>
    <cellStyle name="Hyperlink" xfId="2387" builtinId="8" hidden="1"/>
    <cellStyle name="Hyperlink" xfId="2389" builtinId="8" hidden="1"/>
    <cellStyle name="Hyperlink" xfId="2391" builtinId="8" hidden="1"/>
    <cellStyle name="Hyperlink" xfId="2393" builtinId="8" hidden="1"/>
    <cellStyle name="Hyperlink" xfId="2395" builtinId="8" hidden="1"/>
    <cellStyle name="Hyperlink" xfId="2397" builtinId="8" hidden="1"/>
    <cellStyle name="Hyperlink" xfId="2399" builtinId="8" hidden="1"/>
    <cellStyle name="Hyperlink" xfId="2401" builtinId="8" hidden="1"/>
    <cellStyle name="Hyperlink" xfId="2403" builtinId="8" hidden="1"/>
    <cellStyle name="Hyperlink" xfId="2405" builtinId="8" hidden="1"/>
    <cellStyle name="Hyperlink" xfId="2407" builtinId="8" hidden="1"/>
    <cellStyle name="Hyperlink" xfId="2409" builtinId="8" hidden="1"/>
    <cellStyle name="Hyperlink" xfId="2411" builtinId="8" hidden="1"/>
    <cellStyle name="Hyperlink" xfId="2413" builtinId="8" hidden="1"/>
    <cellStyle name="Hyperlink" xfId="2415" builtinId="8" hidden="1"/>
    <cellStyle name="Hyperlink" xfId="2417" builtinId="8" hidden="1"/>
    <cellStyle name="Hyperlink" xfId="2419" builtinId="8" hidden="1"/>
    <cellStyle name="Hyperlink" xfId="2421" builtinId="8" hidden="1"/>
    <cellStyle name="Hyperlink" xfId="2423" builtinId="8" hidden="1"/>
    <cellStyle name="Hyperlink" xfId="2425" builtinId="8" hidden="1"/>
    <cellStyle name="Hyperlink" xfId="2427" builtinId="8" hidden="1"/>
    <cellStyle name="Hyperlink" xfId="2429" builtinId="8" hidden="1"/>
    <cellStyle name="Hyperlink" xfId="2431" builtinId="8" hidden="1"/>
    <cellStyle name="Hyperlink" xfId="2433" builtinId="8" hidden="1"/>
    <cellStyle name="Hyperlink" xfId="2435" builtinId="8" hidden="1"/>
    <cellStyle name="Hyperlink" xfId="2437" builtinId="8" hidden="1"/>
    <cellStyle name="Hyperlink" xfId="2439" builtinId="8" hidden="1"/>
    <cellStyle name="Hyperlink" xfId="2441" builtinId="8" hidden="1"/>
    <cellStyle name="Hyperlink" xfId="2443" builtinId="8" hidden="1"/>
    <cellStyle name="Hyperlink" xfId="2445" builtinId="8" hidden="1"/>
    <cellStyle name="Hyperlink" xfId="2447" builtinId="8" hidden="1"/>
    <cellStyle name="Hyperlink" xfId="2449" builtinId="8" hidden="1"/>
    <cellStyle name="Hyperlink" xfId="2451" builtinId="8" hidden="1"/>
    <cellStyle name="Hyperlink" xfId="2453" builtinId="8" hidden="1"/>
    <cellStyle name="Hyperlink" xfId="2455" builtinId="8" hidden="1"/>
    <cellStyle name="Hyperlink" xfId="2457" builtinId="8" hidden="1"/>
    <cellStyle name="Hyperlink" xfId="2459" builtinId="8" hidden="1"/>
    <cellStyle name="Hyperlink" xfId="2461" builtinId="8" hidden="1"/>
    <cellStyle name="Hyperlink" xfId="2463" builtinId="8" hidden="1"/>
    <cellStyle name="Hyperlink" xfId="2465" builtinId="8" hidden="1"/>
    <cellStyle name="Hyperlink" xfId="2467" builtinId="8" hidden="1"/>
    <cellStyle name="Hyperlink" xfId="2469" builtinId="8" hidden="1"/>
    <cellStyle name="Hyperlink" xfId="2471" builtinId="8" hidden="1"/>
    <cellStyle name="Hyperlink" xfId="2473" builtinId="8" hidden="1"/>
    <cellStyle name="Hyperlink" xfId="2475" builtinId="8" hidden="1"/>
    <cellStyle name="Hyperlink" xfId="2477" builtinId="8" hidden="1"/>
    <cellStyle name="Hyperlink" xfId="2479" builtinId="8" hidden="1"/>
    <cellStyle name="Hyperlink" xfId="2481" builtinId="8" hidden="1"/>
    <cellStyle name="Hyperlink" xfId="2483" builtinId="8" hidden="1"/>
    <cellStyle name="Hyperlink" xfId="2485" builtinId="8" hidden="1"/>
    <cellStyle name="Hyperlink" xfId="2487" builtinId="8" hidden="1"/>
    <cellStyle name="Hyperlink" xfId="2489" builtinId="8" hidden="1"/>
    <cellStyle name="Hyperlink" xfId="2491" builtinId="8" hidden="1"/>
    <cellStyle name="Hyperlink" xfId="2493" builtinId="8" hidden="1"/>
    <cellStyle name="Hyperlink" xfId="2495" builtinId="8" hidden="1"/>
    <cellStyle name="Hyperlink" xfId="2497" builtinId="8" hidden="1"/>
    <cellStyle name="Hyperlink" xfId="2499" builtinId="8" hidden="1"/>
    <cellStyle name="Hyperlink" xfId="2501" builtinId="8" hidden="1"/>
    <cellStyle name="Hyperlink" xfId="2503" builtinId="8" hidden="1"/>
    <cellStyle name="Hyperlink" xfId="2505" builtinId="8" hidden="1"/>
    <cellStyle name="Hyperlink" xfId="2507" builtinId="8" hidden="1"/>
    <cellStyle name="Hyperlink" xfId="2509" builtinId="8" hidden="1"/>
    <cellStyle name="Hyperlink" xfId="2511" builtinId="8" hidden="1"/>
    <cellStyle name="Hyperlink" xfId="2513" builtinId="8" hidden="1"/>
    <cellStyle name="Hyperlink" xfId="2515" builtinId="8" hidden="1"/>
    <cellStyle name="Hyperlink" xfId="2517" builtinId="8" hidden="1"/>
    <cellStyle name="Hyperlink" xfId="2519" builtinId="8" hidden="1"/>
    <cellStyle name="Hyperlink" xfId="2521" builtinId="8" hidden="1"/>
    <cellStyle name="Hyperlink" xfId="2523" builtinId="8" hidden="1"/>
    <cellStyle name="Hyperlink" xfId="2525" builtinId="8" hidden="1"/>
    <cellStyle name="Hyperlink" xfId="2527" builtinId="8" hidden="1"/>
    <cellStyle name="Hyperlink" xfId="2529" builtinId="8" hidden="1"/>
    <cellStyle name="Hyperlink" xfId="2531" builtinId="8" hidden="1"/>
    <cellStyle name="Hyperlink" xfId="2533" builtinId="8" hidden="1"/>
    <cellStyle name="Hyperlink" xfId="2535" builtinId="8" hidden="1"/>
    <cellStyle name="Hyperlink" xfId="2537" builtinId="8" hidden="1"/>
    <cellStyle name="Hyperlink" xfId="2539" builtinId="8" hidden="1"/>
    <cellStyle name="Hyperlink" xfId="2541" builtinId="8" hidden="1"/>
    <cellStyle name="Hyperlink" xfId="2543" builtinId="8" hidden="1"/>
    <cellStyle name="Hyperlink" xfId="2545" builtinId="8" hidden="1"/>
    <cellStyle name="Hyperlink" xfId="2547" builtinId="8" hidden="1"/>
    <cellStyle name="Hyperlink" xfId="2549" builtinId="8" hidden="1"/>
    <cellStyle name="Hyperlink" xfId="2551" builtinId="8" hidden="1"/>
    <cellStyle name="Hyperlink" xfId="2553" builtinId="8" hidden="1"/>
    <cellStyle name="Hyperlink" xfId="2555" builtinId="8" hidden="1"/>
    <cellStyle name="Hyperlink" xfId="2557" builtinId="8" hidden="1"/>
    <cellStyle name="Hyperlink" xfId="2559" builtinId="8" hidden="1"/>
    <cellStyle name="Hyperlink" xfId="2561" builtinId="8" hidden="1"/>
    <cellStyle name="Hyperlink" xfId="2563" builtinId="8" hidden="1"/>
    <cellStyle name="Normal" xfId="0" builtinId="0"/>
  </cellStyles>
  <dxfs count="0"/>
  <tableStyles count="0" defaultTableStyle="TableStyleMedium9" defaultPivotStyle="PivotStyleMedium4"/>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1" Type="http://schemas.openxmlformats.org/officeDocument/2006/relationships/worksheet" Target="worksheets/sheet11.xml"/><Relationship Id="rId12" Type="http://schemas.openxmlformats.org/officeDocument/2006/relationships/externalLink" Target="externalLinks/externalLink1.xml"/><Relationship Id="rId13" Type="http://schemas.openxmlformats.org/officeDocument/2006/relationships/theme" Target="theme/theme1.xml"/><Relationship Id="rId14" Type="http://schemas.openxmlformats.org/officeDocument/2006/relationships/styles" Target="styles.xml"/><Relationship Id="rId15" Type="http://schemas.openxmlformats.org/officeDocument/2006/relationships/sharedStrings" Target="sharedStrings.xml"/><Relationship Id="rId16" Type="http://schemas.openxmlformats.org/officeDocument/2006/relationships/calcChain" Target="calcChain.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s>
</file>

<file path=xl/drawings/_rels/drawing1.xml.rels><?xml version="1.0" encoding="UTF-8" standalone="yes"?>
<Relationships xmlns="http://schemas.openxmlformats.org/package/2006/relationships"><Relationship Id="rId3" Type="http://schemas.openxmlformats.org/officeDocument/2006/relationships/image" Target="../media/image3.tif"/><Relationship Id="rId4" Type="http://schemas.openxmlformats.org/officeDocument/2006/relationships/image" Target="../media/image4.png"/><Relationship Id="rId5" Type="http://schemas.openxmlformats.org/officeDocument/2006/relationships/image" Target="../media/image5.tif"/><Relationship Id="rId6" Type="http://schemas.openxmlformats.org/officeDocument/2006/relationships/image" Target="../media/image6.png"/><Relationship Id="rId1" Type="http://schemas.openxmlformats.org/officeDocument/2006/relationships/image" Target="../media/image1.tif"/><Relationship Id="rId2" Type="http://schemas.openxmlformats.org/officeDocument/2006/relationships/image" Target="../media/image2.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9.tif"/><Relationship Id="rId2"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3.tif"/><Relationship Id="rId4" Type="http://schemas.openxmlformats.org/officeDocument/2006/relationships/image" Target="../media/image14.tif"/><Relationship Id="rId1" Type="http://schemas.openxmlformats.org/officeDocument/2006/relationships/image" Target="../media/image11.tif"/><Relationship Id="rId2" Type="http://schemas.openxmlformats.org/officeDocument/2006/relationships/image" Target="../media/image12.tif"/></Relationships>
</file>

<file path=xl/drawings/_rels/drawing5.xml.rels><?xml version="1.0" encoding="UTF-8" standalone="yes"?>
<Relationships xmlns="http://schemas.openxmlformats.org/package/2006/relationships"><Relationship Id="rId1" Type="http://schemas.openxmlformats.org/officeDocument/2006/relationships/image" Target="../media/image15.tif"/><Relationship Id="rId2" Type="http://schemas.openxmlformats.org/officeDocument/2006/relationships/image" Target="../media/image9.tif"/><Relationship Id="rId3" Type="http://schemas.openxmlformats.org/officeDocument/2006/relationships/image" Target="../media/image16.tif"/></Relationships>
</file>

<file path=xl/drawings/_rels/drawing6.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13</xdr:col>
      <xdr:colOff>368301</xdr:colOff>
      <xdr:row>26</xdr:row>
      <xdr:rowOff>127002</xdr:rowOff>
    </xdr:from>
    <xdr:to>
      <xdr:col>17</xdr:col>
      <xdr:colOff>444499</xdr:colOff>
      <xdr:row>38</xdr:row>
      <xdr:rowOff>177800</xdr:rowOff>
    </xdr:to>
    <xdr:pic>
      <xdr:nvPicPr>
        <xdr:cNvPr id="3" name="Picture 2" descr="Cd-RR-ost-02.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43101" y="5499102"/>
          <a:ext cx="3428998" cy="2743198"/>
        </a:xfrm>
        <a:prstGeom prst="rect">
          <a:avLst/>
        </a:prstGeom>
      </xdr:spPr>
    </xdr:pic>
    <xdr:clientData/>
  </xdr:twoCellAnchor>
  <xdr:twoCellAnchor editAs="oneCell">
    <xdr:from>
      <xdr:col>17</xdr:col>
      <xdr:colOff>698500</xdr:colOff>
      <xdr:row>26</xdr:row>
      <xdr:rowOff>10250</xdr:rowOff>
    </xdr:from>
    <xdr:to>
      <xdr:col>23</xdr:col>
      <xdr:colOff>825500</xdr:colOff>
      <xdr:row>39</xdr:row>
      <xdr:rowOff>25399</xdr:rowOff>
    </xdr:to>
    <xdr:pic>
      <xdr:nvPicPr>
        <xdr:cNvPr id="4" name="Picture 3" descr="Cd-RR-ost-02-count.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326100" y="5382350"/>
          <a:ext cx="5156200" cy="2898049"/>
        </a:xfrm>
        <a:prstGeom prst="rect">
          <a:avLst/>
        </a:prstGeom>
      </xdr:spPr>
    </xdr:pic>
    <xdr:clientData/>
  </xdr:twoCellAnchor>
  <xdr:twoCellAnchor editAs="oneCell">
    <xdr:from>
      <xdr:col>13</xdr:col>
      <xdr:colOff>406400</xdr:colOff>
      <xdr:row>40</xdr:row>
      <xdr:rowOff>76200</xdr:rowOff>
    </xdr:from>
    <xdr:to>
      <xdr:col>17</xdr:col>
      <xdr:colOff>292100</xdr:colOff>
      <xdr:row>51</xdr:row>
      <xdr:rowOff>165100</xdr:rowOff>
    </xdr:to>
    <xdr:pic>
      <xdr:nvPicPr>
        <xdr:cNvPr id="6" name="Picture 5" descr="Cd-RR-ost-08.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681200" y="8521700"/>
          <a:ext cx="3238500" cy="2590800"/>
        </a:xfrm>
        <a:prstGeom prst="rect">
          <a:avLst/>
        </a:prstGeom>
      </xdr:spPr>
    </xdr:pic>
    <xdr:clientData/>
  </xdr:twoCellAnchor>
  <xdr:twoCellAnchor editAs="oneCell">
    <xdr:from>
      <xdr:col>17</xdr:col>
      <xdr:colOff>685800</xdr:colOff>
      <xdr:row>39</xdr:row>
      <xdr:rowOff>163186</xdr:rowOff>
    </xdr:from>
    <xdr:to>
      <xdr:col>22</xdr:col>
      <xdr:colOff>25400</xdr:colOff>
      <xdr:row>54</xdr:row>
      <xdr:rowOff>50799</xdr:rowOff>
    </xdr:to>
    <xdr:pic>
      <xdr:nvPicPr>
        <xdr:cNvPr id="7" name="Picture 6" descr="Cd-RR-ost-08-count.pn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8313400" y="8418186"/>
          <a:ext cx="3530600" cy="3151513"/>
        </a:xfrm>
        <a:prstGeom prst="rect">
          <a:avLst/>
        </a:prstGeom>
      </xdr:spPr>
    </xdr:pic>
    <xdr:clientData/>
  </xdr:twoCellAnchor>
  <xdr:twoCellAnchor editAs="oneCell">
    <xdr:from>
      <xdr:col>13</xdr:col>
      <xdr:colOff>457200</xdr:colOff>
      <xdr:row>53</xdr:row>
      <xdr:rowOff>58420</xdr:rowOff>
    </xdr:from>
    <xdr:to>
      <xdr:col>17</xdr:col>
      <xdr:colOff>254000</xdr:colOff>
      <xdr:row>64</xdr:row>
      <xdr:rowOff>76200</xdr:rowOff>
    </xdr:to>
    <xdr:pic>
      <xdr:nvPicPr>
        <xdr:cNvPr id="9" name="Picture 8" descr="Cd-ost-04.tif"/>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4732000" y="11386820"/>
          <a:ext cx="3149600" cy="2519680"/>
        </a:xfrm>
        <a:prstGeom prst="rect">
          <a:avLst/>
        </a:prstGeom>
      </xdr:spPr>
    </xdr:pic>
    <xdr:clientData/>
  </xdr:twoCellAnchor>
  <xdr:twoCellAnchor editAs="oneCell">
    <xdr:from>
      <xdr:col>17</xdr:col>
      <xdr:colOff>723900</xdr:colOff>
      <xdr:row>54</xdr:row>
      <xdr:rowOff>108399</xdr:rowOff>
    </xdr:from>
    <xdr:to>
      <xdr:col>21</xdr:col>
      <xdr:colOff>812800</xdr:colOff>
      <xdr:row>67</xdr:row>
      <xdr:rowOff>158887</xdr:rowOff>
    </xdr:to>
    <xdr:pic>
      <xdr:nvPicPr>
        <xdr:cNvPr id="10" name="Picture 9" descr="Cd-ost-04-count.png"/>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351500" y="11627299"/>
          <a:ext cx="3441700" cy="293338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12</xdr:col>
      <xdr:colOff>63500</xdr:colOff>
      <xdr:row>35</xdr:row>
      <xdr:rowOff>50800</xdr:rowOff>
    </xdr:from>
    <xdr:to>
      <xdr:col>18</xdr:col>
      <xdr:colOff>281130</xdr:colOff>
      <xdr:row>55</xdr:row>
      <xdr:rowOff>63500</xdr:rowOff>
    </xdr:to>
    <xdr:pic>
      <xdr:nvPicPr>
        <xdr:cNvPr id="2" name="Picture 1" descr="Cd-1-12um-Masson's-5x-01.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017500" y="6553200"/>
          <a:ext cx="5246830" cy="4013200"/>
        </a:xfrm>
        <a:prstGeom prst="rect">
          <a:avLst/>
        </a:prstGeom>
      </xdr:spPr>
    </xdr:pic>
    <xdr:clientData/>
  </xdr:twoCellAnchor>
  <xdr:twoCellAnchor editAs="oneCell">
    <xdr:from>
      <xdr:col>12</xdr:col>
      <xdr:colOff>127000</xdr:colOff>
      <xdr:row>57</xdr:row>
      <xdr:rowOff>0</xdr:rowOff>
    </xdr:from>
    <xdr:to>
      <xdr:col>17</xdr:col>
      <xdr:colOff>32239</xdr:colOff>
      <xdr:row>72</xdr:row>
      <xdr:rowOff>72944</xdr:rowOff>
    </xdr:to>
    <xdr:pic>
      <xdr:nvPicPr>
        <xdr:cNvPr id="3" name="Picture 2" descr="Cd-1-12um-Masson's-40x-02.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081000" y="10883900"/>
          <a:ext cx="4096239" cy="31209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517524</xdr:colOff>
      <xdr:row>20</xdr:row>
      <xdr:rowOff>304800</xdr:rowOff>
    </xdr:from>
    <xdr:to>
      <xdr:col>12</xdr:col>
      <xdr:colOff>469899</xdr:colOff>
      <xdr:row>38</xdr:row>
      <xdr:rowOff>165100</xdr:rowOff>
    </xdr:to>
    <xdr:pic>
      <xdr:nvPicPr>
        <xdr:cNvPr id="2" name="Picture 1" descr="Cd-cho-19.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74024" y="5092700"/>
          <a:ext cx="5159375" cy="4127500"/>
        </a:xfrm>
        <a:prstGeom prst="rect">
          <a:avLst/>
        </a:prstGeom>
      </xdr:spPr>
    </xdr:pic>
    <xdr:clientData/>
  </xdr:twoCellAnchor>
  <xdr:twoCellAnchor editAs="oneCell">
    <xdr:from>
      <xdr:col>12</xdr:col>
      <xdr:colOff>685800</xdr:colOff>
      <xdr:row>20</xdr:row>
      <xdr:rowOff>350328</xdr:rowOff>
    </xdr:from>
    <xdr:to>
      <xdr:col>18</xdr:col>
      <xdr:colOff>728742</xdr:colOff>
      <xdr:row>38</xdr:row>
      <xdr:rowOff>139700</xdr:rowOff>
    </xdr:to>
    <xdr:pic>
      <xdr:nvPicPr>
        <xdr:cNvPr id="3" name="Picture 2" descr="Cd-cho-26.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449300" y="5138228"/>
          <a:ext cx="5072142" cy="405657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292100</xdr:colOff>
      <xdr:row>3</xdr:row>
      <xdr:rowOff>165100</xdr:rowOff>
    </xdr:from>
    <xdr:to>
      <xdr:col>6</xdr:col>
      <xdr:colOff>1022350</xdr:colOff>
      <xdr:row>12</xdr:row>
      <xdr:rowOff>50800</xdr:rowOff>
    </xdr:to>
    <xdr:pic>
      <xdr:nvPicPr>
        <xdr:cNvPr id="2" name="Picture 1" descr="Cd-RR-11.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57900" y="736600"/>
          <a:ext cx="2000250" cy="1600200"/>
        </a:xfrm>
        <a:prstGeom prst="rect">
          <a:avLst/>
        </a:prstGeom>
      </xdr:spPr>
    </xdr:pic>
    <xdr:clientData/>
  </xdr:twoCellAnchor>
  <xdr:twoCellAnchor editAs="oneCell">
    <xdr:from>
      <xdr:col>15</xdr:col>
      <xdr:colOff>330199</xdr:colOff>
      <xdr:row>24</xdr:row>
      <xdr:rowOff>368300</xdr:rowOff>
    </xdr:from>
    <xdr:to>
      <xdr:col>16</xdr:col>
      <xdr:colOff>1193800</xdr:colOff>
      <xdr:row>31</xdr:row>
      <xdr:rowOff>68581</xdr:rowOff>
    </xdr:to>
    <xdr:pic>
      <xdr:nvPicPr>
        <xdr:cNvPr id="10" name="Picture 9" descr="Cd-RR-11.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284699" y="6680200"/>
          <a:ext cx="2006601" cy="1605281"/>
        </a:xfrm>
        <a:prstGeom prst="rect">
          <a:avLst/>
        </a:prstGeom>
      </xdr:spPr>
    </xdr:pic>
    <xdr:clientData/>
  </xdr:twoCellAnchor>
  <xdr:twoCellAnchor editAs="oneCell">
    <xdr:from>
      <xdr:col>17</xdr:col>
      <xdr:colOff>50800</xdr:colOff>
      <xdr:row>27</xdr:row>
      <xdr:rowOff>7620</xdr:rowOff>
    </xdr:from>
    <xdr:to>
      <xdr:col>18</xdr:col>
      <xdr:colOff>736600</xdr:colOff>
      <xdr:row>34</xdr:row>
      <xdr:rowOff>127000</xdr:rowOff>
    </xdr:to>
    <xdr:pic>
      <xdr:nvPicPr>
        <xdr:cNvPr id="3" name="Picture 2" descr="Cd-cho-10.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418300" y="7462520"/>
          <a:ext cx="1816100" cy="1452880"/>
        </a:xfrm>
        <a:prstGeom prst="rect">
          <a:avLst/>
        </a:prstGeom>
      </xdr:spPr>
    </xdr:pic>
    <xdr:clientData/>
  </xdr:twoCellAnchor>
  <xdr:twoCellAnchor editAs="oneCell">
    <xdr:from>
      <xdr:col>15</xdr:col>
      <xdr:colOff>406400</xdr:colOff>
      <xdr:row>32</xdr:row>
      <xdr:rowOff>66040</xdr:rowOff>
    </xdr:from>
    <xdr:to>
      <xdr:col>16</xdr:col>
      <xdr:colOff>990600</xdr:colOff>
      <xdr:row>39</xdr:row>
      <xdr:rowOff>114300</xdr:rowOff>
    </xdr:to>
    <xdr:pic>
      <xdr:nvPicPr>
        <xdr:cNvPr id="4" name="Picture 3" descr="Cd-cho-17.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360900" y="8473440"/>
          <a:ext cx="1727200" cy="1381760"/>
        </a:xfrm>
        <a:prstGeom prst="rect">
          <a:avLst/>
        </a:prstGeom>
      </xdr:spPr>
    </xdr:pic>
    <xdr:clientData/>
  </xdr:twoCellAnchor>
  <xdr:twoCellAnchor editAs="oneCell">
    <xdr:from>
      <xdr:col>17</xdr:col>
      <xdr:colOff>76199</xdr:colOff>
      <xdr:row>35</xdr:row>
      <xdr:rowOff>144780</xdr:rowOff>
    </xdr:from>
    <xdr:to>
      <xdr:col>18</xdr:col>
      <xdr:colOff>955674</xdr:colOff>
      <xdr:row>44</xdr:row>
      <xdr:rowOff>38100</xdr:rowOff>
    </xdr:to>
    <xdr:pic>
      <xdr:nvPicPr>
        <xdr:cNvPr id="5" name="Picture 4" descr="Cd-cho-31.tif"/>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9443699" y="9123680"/>
          <a:ext cx="2009775" cy="160782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12</xdr:col>
      <xdr:colOff>279400</xdr:colOff>
      <xdr:row>17</xdr:row>
      <xdr:rowOff>137160</xdr:rowOff>
    </xdr:from>
    <xdr:to>
      <xdr:col>14</xdr:col>
      <xdr:colOff>698499</xdr:colOff>
      <xdr:row>24</xdr:row>
      <xdr:rowOff>27939</xdr:rowOff>
    </xdr:to>
    <xdr:pic>
      <xdr:nvPicPr>
        <xdr:cNvPr id="3" name="Picture 2" descr="Cd-RR-13.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366500" y="3947160"/>
          <a:ext cx="2070099" cy="1656079"/>
        </a:xfrm>
        <a:prstGeom prst="rect">
          <a:avLst/>
        </a:prstGeom>
      </xdr:spPr>
    </xdr:pic>
    <xdr:clientData/>
  </xdr:twoCellAnchor>
  <xdr:twoCellAnchor editAs="oneCell">
    <xdr:from>
      <xdr:col>7</xdr:col>
      <xdr:colOff>165100</xdr:colOff>
      <xdr:row>17</xdr:row>
      <xdr:rowOff>149860</xdr:rowOff>
    </xdr:from>
    <xdr:to>
      <xdr:col>9</xdr:col>
      <xdr:colOff>596900</xdr:colOff>
      <xdr:row>24</xdr:row>
      <xdr:rowOff>50800</xdr:rowOff>
    </xdr:to>
    <xdr:pic>
      <xdr:nvPicPr>
        <xdr:cNvPr id="4" name="Picture 3" descr="Cd-cho-19.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124700" y="3959860"/>
          <a:ext cx="2082800" cy="1666240"/>
        </a:xfrm>
        <a:prstGeom prst="rect">
          <a:avLst/>
        </a:prstGeom>
      </xdr:spPr>
    </xdr:pic>
    <xdr:clientData/>
  </xdr:twoCellAnchor>
  <xdr:twoCellAnchor editAs="oneCell">
    <xdr:from>
      <xdr:col>9</xdr:col>
      <xdr:colOff>625474</xdr:colOff>
      <xdr:row>17</xdr:row>
      <xdr:rowOff>152400</xdr:rowOff>
    </xdr:from>
    <xdr:to>
      <xdr:col>12</xdr:col>
      <xdr:colOff>228599</xdr:colOff>
      <xdr:row>24</xdr:row>
      <xdr:rowOff>50800</xdr:rowOff>
    </xdr:to>
    <xdr:pic>
      <xdr:nvPicPr>
        <xdr:cNvPr id="5" name="Picture 4" descr="Cd-cho-22.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236074" y="3962400"/>
          <a:ext cx="2079625" cy="1663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9</xdr:col>
      <xdr:colOff>254000</xdr:colOff>
      <xdr:row>10</xdr:row>
      <xdr:rowOff>125068</xdr:rowOff>
    </xdr:from>
    <xdr:to>
      <xdr:col>13</xdr:col>
      <xdr:colOff>695114</xdr:colOff>
      <xdr:row>25</xdr:row>
      <xdr:rowOff>75184</xdr:rowOff>
    </xdr:to>
    <xdr:pic>
      <xdr:nvPicPr>
        <xdr:cNvPr id="2" name="Picture 1" descr="P1050084.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83500" y="1458568"/>
          <a:ext cx="3743114" cy="280761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danielleludeman/Documents/MSc/Measurements%20of%20AV%20canal%20system-2011-09-19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Summary"/>
      <sheetName val="Summary (2)"/>
      <sheetName val="Table 1."/>
      <sheetName val="Table 3. Predicted passive"/>
      <sheetName val="Sup. Table 2. Sponge sizes"/>
      <sheetName val="Active pumping"/>
      <sheetName val="Ostia"/>
      <sheetName val="Subdermal space"/>
      <sheetName val="incurrent canals"/>
      <sheetName val="prosopyle"/>
      <sheetName val="collars "/>
      <sheetName val="Flagellated chambers"/>
      <sheetName val="excurrent canals"/>
      <sheetName val="Table 1. for sigma plot"/>
      <sheetName val="Recalc of mesh DH"/>
      <sheetName val="Comparison table for paper"/>
    </sheetNames>
    <sheetDataSet>
      <sheetData sheetId="0"/>
      <sheetData sheetId="1"/>
      <sheetData sheetId="2"/>
      <sheetData sheetId="3"/>
      <sheetData sheetId="4">
        <row r="17">
          <cell r="E17">
            <v>4.4733679854839021</v>
          </cell>
          <cell r="F17">
            <v>0.30442857142857138</v>
          </cell>
        </row>
      </sheetData>
      <sheetData sheetId="5"/>
      <sheetData sheetId="6"/>
      <sheetData sheetId="7"/>
      <sheetData sheetId="8"/>
      <sheetData sheetId="9"/>
      <sheetData sheetId="10"/>
      <sheetData sheetId="11"/>
      <sheetData sheetId="12"/>
      <sheetData sheetId="13"/>
      <sheetData sheetId="14"/>
      <sheetData sheetId="1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vmlDrawing" Target="../drawings/vmlDrawing1.vml"/><Relationship Id="rId2"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 Id="rId2" Type="http://schemas.openxmlformats.org/officeDocument/2006/relationships/vmlDrawing" Target="../drawings/vmlDrawing2.vml"/><Relationship Id="rId3" Type="http://schemas.openxmlformats.org/officeDocument/2006/relationships/comments" Target="../comments2.xml"/></Relationships>
</file>

<file path=xl/worksheets/_rels/sheet3.xml.rels><?xml version="1.0" encoding="UTF-8" standalone="yes"?>
<Relationships xmlns="http://schemas.openxmlformats.org/package/2006/relationships"><Relationship Id="rId1" Type="http://schemas.openxmlformats.org/officeDocument/2006/relationships/vmlDrawing" Target="../drawings/vmlDrawing3.vml"/><Relationship Id="rId2" Type="http://schemas.openxmlformats.org/officeDocument/2006/relationships/comments" Target="../comments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 Id="rId2" Type="http://schemas.openxmlformats.org/officeDocument/2006/relationships/vmlDrawing" Target="../drawings/vmlDrawing4.vml"/><Relationship Id="rId3" Type="http://schemas.openxmlformats.org/officeDocument/2006/relationships/comments" Target="../comments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 Id="rId2" Type="http://schemas.openxmlformats.org/officeDocument/2006/relationships/vmlDrawing" Target="../drawings/vmlDrawing5.vml"/><Relationship Id="rId3" Type="http://schemas.openxmlformats.org/officeDocument/2006/relationships/comments" Target="../comments5.x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6.vml"/><Relationship Id="rId2" Type="http://schemas.openxmlformats.org/officeDocument/2006/relationships/comments" Target="../comments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vmlDrawing" Target="../drawings/vmlDrawing7.vml"/><Relationship Id="rId2" Type="http://schemas.openxmlformats.org/officeDocument/2006/relationships/comments" Target="../comments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vmlDrawing" Target="../drawings/vmlDrawing8.vml"/><Relationship Id="rId2" Type="http://schemas.openxmlformats.org/officeDocument/2006/relationships/comments" Target="../comments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C53"/>
  <sheetViews>
    <sheetView tabSelected="1" topLeftCell="A12" workbookViewId="0">
      <selection activeCell="F44" sqref="F44"/>
    </sheetView>
  </sheetViews>
  <sheetFormatPr baseColWidth="10" defaultColWidth="11" defaultRowHeight="15" x14ac:dyDescent="0"/>
  <cols>
    <col min="1" max="1" width="27.83203125" customWidth="1"/>
    <col min="2" max="2" width="21.1640625" customWidth="1"/>
    <col min="3" max="3" width="12.1640625" bestFit="1" customWidth="1"/>
    <col min="8" max="8" width="12.1640625" bestFit="1" customWidth="1"/>
    <col min="10" max="10" width="18.83203125" customWidth="1"/>
    <col min="11" max="11" width="17.5" customWidth="1"/>
    <col min="12" max="12" width="14.83203125" customWidth="1"/>
    <col min="13" max="13" width="12.5" customWidth="1"/>
    <col min="14" max="14" width="14.33203125" customWidth="1"/>
    <col min="16" max="16" width="13" customWidth="1"/>
    <col min="18" max="18" width="13.5" customWidth="1"/>
    <col min="19" max="19" width="14" customWidth="1"/>
    <col min="20" max="20" width="16.83203125" bestFit="1" customWidth="1"/>
    <col min="21" max="21" width="13.5" customWidth="1"/>
    <col min="22" max="22" width="12.1640625" bestFit="1" customWidth="1"/>
    <col min="23" max="23" width="15.33203125" customWidth="1"/>
    <col min="26" max="26" width="12.1640625" bestFit="1" customWidth="1"/>
    <col min="27" max="27" width="11.1640625" bestFit="1" customWidth="1"/>
  </cols>
  <sheetData>
    <row r="1" spans="1:15" ht="20">
      <c r="A1" s="203" t="s">
        <v>343</v>
      </c>
      <c r="B1" s="17"/>
      <c r="C1" s="17"/>
      <c r="D1" s="17"/>
      <c r="E1" s="17"/>
      <c r="F1" s="17"/>
    </row>
    <row r="2" spans="1:15">
      <c r="A2" s="30"/>
      <c r="B2" s="17"/>
      <c r="C2" s="17"/>
      <c r="D2" s="17"/>
      <c r="E2" s="17"/>
      <c r="F2" s="17"/>
    </row>
    <row r="3" spans="1:15">
      <c r="A3" s="30" t="s">
        <v>344</v>
      </c>
      <c r="B3" s="17"/>
      <c r="C3" s="11"/>
      <c r="D3" s="17"/>
      <c r="E3" s="17"/>
      <c r="F3" s="17"/>
    </row>
    <row r="4" spans="1:15">
      <c r="A4" s="204" t="s">
        <v>345</v>
      </c>
      <c r="C4" s="11"/>
    </row>
    <row r="5" spans="1:15">
      <c r="A5" s="204" t="s">
        <v>346</v>
      </c>
      <c r="C5" s="11"/>
    </row>
    <row r="6" spans="1:15">
      <c r="A6" s="204" t="s">
        <v>347</v>
      </c>
      <c r="C6" s="11"/>
    </row>
    <row r="7" spans="1:15">
      <c r="A7" s="204"/>
      <c r="C7" s="11"/>
    </row>
    <row r="8" spans="1:15">
      <c r="A8" s="204" t="s">
        <v>348</v>
      </c>
      <c r="B8" s="17"/>
      <c r="C8" s="17"/>
      <c r="D8" s="17"/>
      <c r="E8" s="17"/>
      <c r="F8" s="17"/>
    </row>
    <row r="9" spans="1:15">
      <c r="A9" s="30"/>
      <c r="B9" s="17"/>
      <c r="C9" s="11"/>
      <c r="D9" s="17"/>
      <c r="E9" s="17"/>
      <c r="F9" s="17"/>
    </row>
    <row r="10" spans="1:15">
      <c r="A10" s="204" t="s">
        <v>349</v>
      </c>
      <c r="C10" s="11"/>
    </row>
    <row r="11" spans="1:15">
      <c r="A11" s="30" t="s">
        <v>350</v>
      </c>
      <c r="C11" s="11"/>
    </row>
    <row r="12" spans="1:15">
      <c r="A12" s="30" t="s">
        <v>351</v>
      </c>
      <c r="C12" s="11"/>
    </row>
    <row r="13" spans="1:15">
      <c r="C13" s="11"/>
    </row>
    <row r="15" spans="1:15" ht="70">
      <c r="A15" s="86" t="s">
        <v>226</v>
      </c>
      <c r="B15" s="76" t="s">
        <v>176</v>
      </c>
      <c r="C15" s="76" t="s">
        <v>178</v>
      </c>
      <c r="D15" s="77" t="s">
        <v>157</v>
      </c>
      <c r="E15" s="78" t="s">
        <v>158</v>
      </c>
      <c r="F15" s="78" t="s">
        <v>225</v>
      </c>
      <c r="G15" s="79" t="s">
        <v>159</v>
      </c>
      <c r="H15" s="77" t="s">
        <v>160</v>
      </c>
      <c r="I15" s="77" t="s">
        <v>161</v>
      </c>
      <c r="J15" s="84" t="s">
        <v>183</v>
      </c>
      <c r="K15" s="80" t="s">
        <v>162</v>
      </c>
      <c r="L15" s="81" t="s">
        <v>163</v>
      </c>
      <c r="M15" s="83" t="s">
        <v>164</v>
      </c>
      <c r="N15" s="5"/>
      <c r="O15" s="17"/>
    </row>
    <row r="16" spans="1:15">
      <c r="A16" s="110">
        <f>'Sponge Volume'!C32</f>
        <v>240.4577861309092</v>
      </c>
      <c r="B16" s="111">
        <f>Osculum!M16</f>
        <v>0.1104072765</v>
      </c>
      <c r="C16" s="112">
        <f>Osculum!N16</f>
        <v>44.468848738657307</v>
      </c>
      <c r="D16" s="115">
        <f>20.25</f>
        <v>20.25</v>
      </c>
      <c r="E16" s="116">
        <v>1022</v>
      </c>
      <c r="F16" s="117">
        <v>9.8066499999999994</v>
      </c>
      <c r="G16" s="118">
        <f>E16*9.81</f>
        <v>10025.82</v>
      </c>
      <c r="H16" s="119">
        <v>1.207E-3</v>
      </c>
      <c r="I16" s="82"/>
      <c r="J16" s="120">
        <f>'Sponge Volume'!B32</f>
        <v>382.25053019317795</v>
      </c>
      <c r="K16" s="121">
        <f>C16*60/J16</f>
        <v>6.980058138757963</v>
      </c>
      <c r="L16" s="121">
        <f>K16/60</f>
        <v>0.11633430231263271</v>
      </c>
      <c r="M16" s="122">
        <f>(C16*3600*1000000)/(L18*L19*L20)</f>
        <v>7.1295898237352063E-3</v>
      </c>
      <c r="N16" s="89"/>
      <c r="O16" s="17"/>
    </row>
    <row r="17" spans="1:29">
      <c r="A17" s="73"/>
      <c r="B17" s="114"/>
      <c r="C17" s="113">
        <f>C16*60</f>
        <v>2668.1309243194382</v>
      </c>
      <c r="D17" s="73"/>
      <c r="E17" s="73"/>
      <c r="G17" s="74"/>
      <c r="H17" s="73"/>
      <c r="I17" s="73"/>
      <c r="J17" s="73"/>
      <c r="K17" s="101" t="s">
        <v>180</v>
      </c>
      <c r="L17" s="123">
        <f>Collars!K15</f>
        <v>35174.608656524295</v>
      </c>
      <c r="M17" s="73"/>
    </row>
    <row r="18" spans="1:29">
      <c r="A18" s="73"/>
      <c r="C18" s="88"/>
      <c r="D18" s="74"/>
      <c r="E18" s="73"/>
      <c r="G18" s="74"/>
      <c r="H18" s="73"/>
      <c r="I18" s="73"/>
      <c r="J18" s="73"/>
      <c r="K18" s="102" t="s">
        <v>184</v>
      </c>
      <c r="L18" s="124">
        <f>L17*(J16*1000)</f>
        <v>13445512808.293957</v>
      </c>
      <c r="M18" s="73"/>
      <c r="R18" s="17"/>
    </row>
    <row r="19" spans="1:29">
      <c r="A19" s="73"/>
      <c r="B19" s="73"/>
      <c r="C19" s="73"/>
      <c r="D19" s="74"/>
      <c r="E19" s="73"/>
      <c r="G19" s="74"/>
      <c r="H19" s="73"/>
      <c r="I19" s="73"/>
      <c r="J19" s="73"/>
      <c r="K19" s="102" t="s">
        <v>181</v>
      </c>
      <c r="L19" s="125">
        <f>Collars!I15</f>
        <v>50</v>
      </c>
      <c r="M19" s="75"/>
      <c r="R19" s="17"/>
    </row>
    <row r="20" spans="1:29">
      <c r="K20" s="103" t="s">
        <v>182</v>
      </c>
      <c r="L20" s="126">
        <f>Collars!B15</f>
        <v>33.4</v>
      </c>
      <c r="R20" s="17"/>
      <c r="S20" s="11"/>
      <c r="T20" s="11"/>
      <c r="U20" s="11"/>
      <c r="V20" s="11"/>
      <c r="W20" s="11"/>
      <c r="X20" s="11"/>
      <c r="Y20" s="11"/>
      <c r="Z20" s="11"/>
      <c r="AA20" s="11"/>
      <c r="AB20" s="11"/>
      <c r="AC20" s="11"/>
    </row>
    <row r="21" spans="1:29">
      <c r="R21" s="17"/>
      <c r="S21" s="11"/>
      <c r="T21" s="11"/>
      <c r="U21" s="11"/>
      <c r="V21" s="11"/>
      <c r="W21" s="11"/>
      <c r="X21" s="11"/>
      <c r="Y21" s="11"/>
      <c r="Z21" s="11"/>
      <c r="AA21" s="11"/>
      <c r="AB21" s="11"/>
      <c r="AC21" s="11"/>
    </row>
    <row r="22" spans="1:29" s="4" customFormat="1" ht="61">
      <c r="A22" s="87" t="s">
        <v>41</v>
      </c>
      <c r="B22" s="85" t="s">
        <v>42</v>
      </c>
      <c r="C22" s="85" t="s">
        <v>43</v>
      </c>
      <c r="D22" s="85" t="s">
        <v>44</v>
      </c>
      <c r="E22" s="85" t="s">
        <v>45</v>
      </c>
      <c r="F22" s="85" t="s">
        <v>46</v>
      </c>
      <c r="G22" s="85" t="s">
        <v>47</v>
      </c>
      <c r="H22" s="85" t="s">
        <v>48</v>
      </c>
      <c r="I22" s="85" t="s">
        <v>49</v>
      </c>
      <c r="J22" s="85" t="s">
        <v>50</v>
      </c>
      <c r="K22" s="85" t="s">
        <v>185</v>
      </c>
      <c r="L22" s="231" t="s">
        <v>167</v>
      </c>
      <c r="M22" s="232" t="s">
        <v>358</v>
      </c>
      <c r="N22" s="233" t="s">
        <v>359</v>
      </c>
      <c r="O22" s="219" t="s">
        <v>326</v>
      </c>
      <c r="P22" s="220" t="s">
        <v>327</v>
      </c>
      <c r="Q22" s="220" t="s">
        <v>167</v>
      </c>
      <c r="R22" s="220" t="s">
        <v>328</v>
      </c>
      <c r="S22" s="220" t="s">
        <v>329</v>
      </c>
      <c r="T22" s="221" t="s">
        <v>357</v>
      </c>
      <c r="U22" s="220"/>
      <c r="V22" s="222"/>
    </row>
    <row r="23" spans="1:29">
      <c r="A23" s="104" t="s">
        <v>12</v>
      </c>
      <c r="B23" s="51" t="s">
        <v>57</v>
      </c>
      <c r="C23" s="106">
        <f>(Ostia!B24)</f>
        <v>37.251791666666669</v>
      </c>
      <c r="D23" s="106">
        <v>0.5</v>
      </c>
      <c r="E23" s="106">
        <v>0</v>
      </c>
      <c r="F23" s="106">
        <f>E23/$E$36</f>
        <v>0</v>
      </c>
      <c r="G23" s="106">
        <f>F23*100</f>
        <v>0</v>
      </c>
      <c r="H23" s="106">
        <f>Ostia!J24</f>
        <v>0.13934571176914021</v>
      </c>
      <c r="I23" s="106">
        <f>H23*$D$16</f>
        <v>2.8217506633250893</v>
      </c>
      <c r="J23" s="106">
        <f>I23/$D$16*100</f>
        <v>13.934571176914021</v>
      </c>
      <c r="K23" s="106">
        <f>$K$36/(J23/$J$36)</f>
        <v>6.5658271785869853E-3</v>
      </c>
      <c r="L23" s="234">
        <f>K23*1000</f>
        <v>6.5658271785869848</v>
      </c>
      <c r="M23" s="230">
        <f>(8*Viscosity*L23*($D23/1000))/($F$16*(($C23/1000/2)^2))</f>
        <v>9.3175491765889479E-3</v>
      </c>
      <c r="N23" s="235">
        <f>M23*1000</f>
        <v>9.3175491765889475</v>
      </c>
      <c r="O23" s="223" t="s">
        <v>330</v>
      </c>
      <c r="P23" s="216">
        <v>15</v>
      </c>
      <c r="Q23" s="216">
        <f>K23*1000</f>
        <v>6.5658271785869848</v>
      </c>
      <c r="R23" s="216">
        <f>(6*PI()*Viscosity*Q23)/($F$16*(C23/1000))</f>
        <v>0.40891213543293986</v>
      </c>
      <c r="S23" s="217">
        <f>R23*1000</f>
        <v>408.91213543293986</v>
      </c>
      <c r="T23" s="224">
        <f>S23/$S$37*100</f>
        <v>1.0748553917227313</v>
      </c>
      <c r="U23" s="216"/>
      <c r="V23" s="225"/>
    </row>
    <row r="24" spans="1:29">
      <c r="A24" s="104" t="s">
        <v>51</v>
      </c>
      <c r="B24" s="51" t="s">
        <v>58</v>
      </c>
      <c r="C24" s="106">
        <f>Canals!C29</f>
        <v>294.14950000000005</v>
      </c>
      <c r="D24" s="106">
        <f>Canals!Q23</f>
        <v>1130.4580000000001</v>
      </c>
      <c r="E24" s="106">
        <f>D23+E23</f>
        <v>0.5</v>
      </c>
      <c r="F24" s="106">
        <f>E24/$E$36</f>
        <v>1.0587567876718441E-4</v>
      </c>
      <c r="G24" s="106">
        <f t="shared" ref="G24:G27" si="0">F24*100</f>
        <v>1.0587567876718442E-2</v>
      </c>
      <c r="H24" s="106">
        <f>Canals!K29</f>
        <v>3.3092437600061794E-2</v>
      </c>
      <c r="I24" s="106">
        <f>H24*100</f>
        <v>3.3092437600061793</v>
      </c>
      <c r="J24" s="106">
        <f t="shared" ref="J24:J35" si="1">I24/$D$16*100</f>
        <v>16.341944493857675</v>
      </c>
      <c r="K24" s="106">
        <f>$K$36/(J24/$J$36)</f>
        <v>5.5985985137647068E-3</v>
      </c>
      <c r="L24" s="234">
        <f t="shared" ref="L24:L37" si="2">K24*1000</f>
        <v>5.5985985137647072</v>
      </c>
      <c r="M24" s="230">
        <f>(8*Viscosity*L24*($D24/1000))/($F$16*(($C24/1000/2)^2))</f>
        <v>0.2880939246632892</v>
      </c>
      <c r="N24" s="235">
        <f t="shared" ref="N24:N36" si="3">M24*1000</f>
        <v>288.09392466328922</v>
      </c>
      <c r="O24" s="223" t="s">
        <v>331</v>
      </c>
      <c r="P24" s="216">
        <v>19</v>
      </c>
      <c r="Q24" s="216">
        <f>K24*1000</f>
        <v>5.5985985137647072</v>
      </c>
      <c r="R24" s="216">
        <f>(8*Viscosity*Q23*($D24/1000))/($F$16*(($C24/1000/2)^2))</f>
        <v>0.33786579192799626</v>
      </c>
      <c r="S24" s="217">
        <f t="shared" ref="S24:S36" si="4">R24*1000</f>
        <v>337.86579192799627</v>
      </c>
      <c r="T24" s="224">
        <f>S24/$S$37*100</f>
        <v>0.88810489262682613</v>
      </c>
      <c r="U24" s="216"/>
      <c r="V24" s="225"/>
    </row>
    <row r="25" spans="1:29">
      <c r="A25" s="104"/>
      <c r="B25" s="51" t="s">
        <v>59</v>
      </c>
      <c r="C25" s="106">
        <f>Canals!C30</f>
        <v>144.33046153846155</v>
      </c>
      <c r="D25" s="106">
        <f>Canals!R23</f>
        <v>969.00300000000004</v>
      </c>
      <c r="E25" s="106">
        <f>E24+D24</f>
        <v>1130.9580000000001</v>
      </c>
      <c r="F25" s="106">
        <f>E25/$E$36</f>
        <v>0.2394818918143547</v>
      </c>
      <c r="G25" s="106">
        <f t="shared" si="0"/>
        <v>23.94818918143547</v>
      </c>
      <c r="H25" s="106">
        <f>Canals!K30</f>
        <v>2.5676058220450593E-2</v>
      </c>
      <c r="I25" s="106">
        <f t="shared" ref="I25:I36" si="5">H25*100</f>
        <v>2.5676058220450595</v>
      </c>
      <c r="J25" s="106">
        <f t="shared" si="1"/>
        <v>12.679534923679306</v>
      </c>
      <c r="K25" s="106">
        <f>$K$36/(J25/$J$36)</f>
        <v>7.2157209792035552E-3</v>
      </c>
      <c r="L25" s="234">
        <f t="shared" si="2"/>
        <v>7.2157209792035548</v>
      </c>
      <c r="M25" s="230">
        <f>(8*Viscosity*L25*($D25/1000))/($F$16*(($C25/1000/2)^2))</f>
        <v>1.321981644249453</v>
      </c>
      <c r="N25" s="235">
        <f t="shared" si="3"/>
        <v>1321.981644249453</v>
      </c>
      <c r="O25" s="223" t="s">
        <v>331</v>
      </c>
      <c r="P25" s="216">
        <v>19</v>
      </c>
      <c r="Q25" s="216">
        <f>K25*1000</f>
        <v>7.2157209792035548</v>
      </c>
      <c r="R25" s="216">
        <f>(8*Viscosity*Q24*(D25/1000))/($F$16*((C25/1000/2)^2))</f>
        <v>1.0257110121151238</v>
      </c>
      <c r="S25" s="217">
        <f t="shared" si="4"/>
        <v>1025.7110121151238</v>
      </c>
      <c r="T25" s="224">
        <f>S25/$S$37*100</f>
        <v>2.6961562550694342</v>
      </c>
      <c r="U25" s="216"/>
      <c r="V25" s="225"/>
    </row>
    <row r="26" spans="1:29">
      <c r="A26" s="104"/>
      <c r="B26" s="51" t="s">
        <v>60</v>
      </c>
      <c r="C26" s="106">
        <f>Canals!C31</f>
        <v>60.145624999999995</v>
      </c>
      <c r="D26" s="106">
        <f>Canals!S23</f>
        <v>250.59699999999998</v>
      </c>
      <c r="E26" s="106">
        <f>E25+D25</f>
        <v>2099.9610000000002</v>
      </c>
      <c r="F26" s="106">
        <f>E26/$E$36</f>
        <v>0.44466959251923072</v>
      </c>
      <c r="G26" s="106">
        <f t="shared" si="0"/>
        <v>44.466959251923072</v>
      </c>
      <c r="H26" s="106">
        <f>Canals!K31</f>
        <v>1.709909383918649E-2</v>
      </c>
      <c r="I26" s="106">
        <f>Canals!M31</f>
        <v>1.709909383918649</v>
      </c>
      <c r="J26" s="106">
        <f t="shared" si="1"/>
        <v>8.443996957622959</v>
      </c>
      <c r="K26" s="106">
        <f>$K$36/(J26/$J$36)</f>
        <v>1.0835151482704053E-2</v>
      </c>
      <c r="L26" s="234">
        <f t="shared" si="2"/>
        <v>10.835151482704052</v>
      </c>
      <c r="M26" s="230">
        <f>(8*Viscosity*L26*($D26/1000))/($F$16*(($C26/1000/2)^2))</f>
        <v>2.9562376478250707</v>
      </c>
      <c r="N26" s="235">
        <f t="shared" si="3"/>
        <v>2956.2376478250708</v>
      </c>
      <c r="O26" s="223" t="s">
        <v>331</v>
      </c>
      <c r="P26" s="216">
        <v>19</v>
      </c>
      <c r="Q26" s="216">
        <f>K26*1000</f>
        <v>10.835151482704052</v>
      </c>
      <c r="R26" s="216">
        <f>(8*Viscosity*Q25*(D26/1000))/($F$16*((C26/1000/2)^2))</f>
        <v>1.9687206080112145</v>
      </c>
      <c r="S26" s="217">
        <f t="shared" si="4"/>
        <v>1968.7206080112146</v>
      </c>
      <c r="T26" s="224">
        <f>S26/$S$37*100</f>
        <v>5.1749258017888753</v>
      </c>
      <c r="U26" s="216" t="s">
        <v>342</v>
      </c>
      <c r="V26" s="225"/>
    </row>
    <row r="27" spans="1:29">
      <c r="A27" s="104" t="s">
        <v>52</v>
      </c>
      <c r="B27" s="51" t="s">
        <v>61</v>
      </c>
      <c r="C27" s="106">
        <f>(Prosopyles!B14+Prosopyles!C14)/2</f>
        <v>2.5878333333333332</v>
      </c>
      <c r="D27" s="106">
        <f>0.5</f>
        <v>0.5</v>
      </c>
      <c r="E27" s="106">
        <f t="shared" ref="E27" si="6">E26+D26</f>
        <v>2350.558</v>
      </c>
      <c r="F27" s="106">
        <f>E27/$E$36</f>
        <v>0.49773384746327087</v>
      </c>
      <c r="G27" s="106">
        <f t="shared" si="0"/>
        <v>49.773384746327089</v>
      </c>
      <c r="H27" s="107">
        <f>Prosopyles!E22</f>
        <v>0.17730164349874769</v>
      </c>
      <c r="I27" s="106">
        <f t="shared" si="5"/>
        <v>17.730164349874769</v>
      </c>
      <c r="J27" s="106">
        <f t="shared" si="1"/>
        <v>87.556367159875407</v>
      </c>
      <c r="K27" s="106">
        <f>$K$36/(J27/$J$36)</f>
        <v>1.0449495464821556E-3</v>
      </c>
      <c r="L27" s="234">
        <f t="shared" si="2"/>
        <v>1.0449495464821557</v>
      </c>
      <c r="M27" s="230">
        <f>(8*Viscosity*L27*($D27/1000))/($F$16*(($C27/1000/2)^2))</f>
        <v>0.30727646204484682</v>
      </c>
      <c r="N27" s="235">
        <f t="shared" si="3"/>
        <v>307.27646204484682</v>
      </c>
      <c r="O27" s="223" t="s">
        <v>330</v>
      </c>
      <c r="P27" s="216">
        <v>15</v>
      </c>
      <c r="Q27" s="216">
        <f>K27*1000</f>
        <v>1.0449495464821557</v>
      </c>
      <c r="R27" s="216">
        <f>(6*PI()*Viscosity*Q26)/($F$16*(C27/1000))</f>
        <v>9.7137383790541918</v>
      </c>
      <c r="S27" s="217">
        <f t="shared" si="4"/>
        <v>9713.7383790541917</v>
      </c>
      <c r="T27" s="224">
        <f>S27/$S$37*100</f>
        <v>25.533270269555707</v>
      </c>
      <c r="U27" s="218" t="s">
        <v>332</v>
      </c>
      <c r="V27" s="225">
        <f>Collars!C15/1000</f>
        <v>9.914285714285716E-5</v>
      </c>
    </row>
    <row r="28" spans="1:29">
      <c r="A28" s="135" t="s">
        <v>235</v>
      </c>
      <c r="B28" s="136" t="s">
        <v>90</v>
      </c>
      <c r="C28" s="127">
        <f>Collars!B21</f>
        <v>0.68558333333333332</v>
      </c>
      <c r="D28" s="128">
        <f>Collars!C21</f>
        <v>2.1879090909090908</v>
      </c>
      <c r="E28" s="128">
        <f t="shared" ref="E28:E36" si="7">E27+D27</f>
        <v>2351.058</v>
      </c>
      <c r="F28" s="128">
        <f t="shared" ref="F28:F36" si="8">E28/$E$36</f>
        <v>0.49783972314203806</v>
      </c>
      <c r="G28" s="128">
        <f t="shared" ref="G28:G36" si="9">F28*100</f>
        <v>49.783972314203808</v>
      </c>
      <c r="H28" s="129">
        <f>Collars!G21</f>
        <v>2.6380851101804397</v>
      </c>
      <c r="I28" s="128">
        <f t="shared" ref="I28:I30" si="10">H28*100</f>
        <v>263.80851101804399</v>
      </c>
      <c r="J28" s="128">
        <f>I28/$D$16*100</f>
        <v>1302.7580791014518</v>
      </c>
      <c r="K28" s="128">
        <f t="shared" ref="K28:K35" si="11">$K$36/(J28/$J$36)</f>
        <v>7.0229452131620224E-5</v>
      </c>
      <c r="L28" s="234">
        <f t="shared" si="2"/>
        <v>7.0229452131620226E-2</v>
      </c>
      <c r="M28" s="230">
        <f>(8*Viscosity*L28*($D28/1000))/($F$16*(($C28/1000/2)^2))</f>
        <v>1.2875515427896211</v>
      </c>
      <c r="N28" s="235">
        <f t="shared" si="3"/>
        <v>1287.5515427896212</v>
      </c>
      <c r="O28" s="223" t="s">
        <v>331</v>
      </c>
      <c r="P28" s="216">
        <v>19</v>
      </c>
      <c r="Q28" s="216">
        <f>K28*1000</f>
        <v>7.0229452131620226E-2</v>
      </c>
      <c r="R28" s="216">
        <f>(8*Viscosity*Q27*(D28/1000))/($F$16*((C28/1000/2)^2))</f>
        <v>19.157580756701467</v>
      </c>
      <c r="S28" s="217">
        <f t="shared" si="4"/>
        <v>19157.580756701467</v>
      </c>
      <c r="T28" s="224">
        <f>S28/$S$37*100</f>
        <v>50.357099201525571</v>
      </c>
      <c r="U28" s="218" t="s">
        <v>333</v>
      </c>
      <c r="V28" s="225">
        <f>Collars!D15/1000</f>
        <v>7.0444444444444455E-5</v>
      </c>
    </row>
    <row r="29" spans="1:29">
      <c r="A29" s="137"/>
      <c r="B29" s="138" t="s">
        <v>62</v>
      </c>
      <c r="C29" s="130">
        <f>Collars!F15</f>
        <v>0.11799999999999999</v>
      </c>
      <c r="D29" s="131">
        <f>Collars!C15</f>
        <v>9.9142857142857158E-2</v>
      </c>
      <c r="E29" s="131">
        <f>E28+D28</f>
        <v>2353.2459090909092</v>
      </c>
      <c r="F29" s="131">
        <f t="shared" si="8"/>
        <v>0.49830301586219988</v>
      </c>
      <c r="G29" s="131">
        <f t="shared" si="9"/>
        <v>49.830301586219989</v>
      </c>
      <c r="H29" s="131">
        <f>Collars!M15</f>
        <v>10.954715971923845</v>
      </c>
      <c r="I29" s="131">
        <f t="shared" si="10"/>
        <v>1095.4715971923845</v>
      </c>
      <c r="J29" s="131">
        <f t="shared" ref="J29:J30" si="12">I29/$D$16*100</f>
        <v>5409.7362824315287</v>
      </c>
      <c r="K29" s="131">
        <f>$K$36/(J29/$J$36)</f>
        <v>1.6912466963031654E-5</v>
      </c>
      <c r="L29" s="234">
        <f t="shared" si="2"/>
        <v>1.6912466963031655E-2</v>
      </c>
      <c r="M29" s="230">
        <f>(8*Viscosity*L29*($D29/1000))/($F$16*(($C29/1000/2)^2))</f>
        <v>0.4742867039655721</v>
      </c>
      <c r="N29" s="235">
        <f t="shared" si="3"/>
        <v>474.28670396557209</v>
      </c>
      <c r="O29" s="223" t="s">
        <v>335</v>
      </c>
      <c r="P29" s="216">
        <v>17</v>
      </c>
      <c r="Q29" s="216">
        <f>K29*1000</f>
        <v>1.6912466963031655E-2</v>
      </c>
      <c r="R29" s="216">
        <f>(V30*Viscosity*Q28)/(F16*V33)</f>
        <v>2.2996104126435797</v>
      </c>
      <c r="S29" s="217">
        <f t="shared" si="4"/>
        <v>2299.6104126435798</v>
      </c>
      <c r="T29" s="224">
        <f>S29/$S$37*100</f>
        <v>6.0446938026788999</v>
      </c>
      <c r="U29" s="218" t="s">
        <v>334</v>
      </c>
      <c r="V29" s="225">
        <f>Collars!F15/1000</f>
        <v>1.18E-4</v>
      </c>
    </row>
    <row r="30" spans="1:29">
      <c r="A30" s="139"/>
      <c r="B30" s="140" t="s">
        <v>93</v>
      </c>
      <c r="C30" s="132">
        <f>Collars!B22</f>
        <v>2.1879090909090908</v>
      </c>
      <c r="D30" s="133">
        <f>Collars!C22</f>
        <v>2.6473333333333331</v>
      </c>
      <c r="E30" s="133">
        <f t="shared" si="7"/>
        <v>2353.3450519480521</v>
      </c>
      <c r="F30" s="133">
        <f t="shared" si="8"/>
        <v>0.49832400949678973</v>
      </c>
      <c r="G30" s="133">
        <f t="shared" si="9"/>
        <v>49.83240094967897</v>
      </c>
      <c r="H30" s="134">
        <f>Collars!G22</f>
        <v>10.186785921990062</v>
      </c>
      <c r="I30" s="133">
        <f t="shared" si="10"/>
        <v>1018.6785921990062</v>
      </c>
      <c r="J30" s="133">
        <f t="shared" si="12"/>
        <v>5030.5115664148452</v>
      </c>
      <c r="K30" s="133">
        <f t="shared" si="11"/>
        <v>1.8187411945569105E-5</v>
      </c>
      <c r="L30" s="234">
        <f t="shared" si="2"/>
        <v>1.8187411945569106E-2</v>
      </c>
      <c r="M30" s="230">
        <f>(8*Viscosity*L30*($D30/1000))/($F$16*(($C30/1000/2)^2))</f>
        <v>3.9614808323077177E-2</v>
      </c>
      <c r="N30" s="235">
        <f t="shared" si="3"/>
        <v>39.614808323077177</v>
      </c>
      <c r="O30" s="223" t="s">
        <v>331</v>
      </c>
      <c r="P30" s="216">
        <v>19</v>
      </c>
      <c r="Q30" s="216">
        <f>K30*1000</f>
        <v>1.8187411945569106E-2</v>
      </c>
      <c r="R30" s="216">
        <f>(8*Viscosity*Q29*(D30/1000))/($F$16*((C30/1000/2)^2))</f>
        <v>3.6837794130137276E-2</v>
      </c>
      <c r="S30" s="217">
        <f t="shared" si="4"/>
        <v>36.837794130137276</v>
      </c>
      <c r="T30" s="224">
        <f>S30/$S$37*100</f>
        <v>9.683083041306198E-2</v>
      </c>
      <c r="U30" s="218" t="s">
        <v>336</v>
      </c>
      <c r="V30" s="225">
        <f>(8*PI())/(1-2*LN(V31)+((V31^2)/6))</f>
        <v>11.735289527278601</v>
      </c>
    </row>
    <row r="31" spans="1:29">
      <c r="A31" s="104" t="s">
        <v>53</v>
      </c>
      <c r="B31" s="51" t="s">
        <v>63</v>
      </c>
      <c r="C31" s="106">
        <f>'Choanocyte Chambers'!D13</f>
        <v>15.969515625000001</v>
      </c>
      <c r="D31" s="106">
        <f>C31</f>
        <v>15.969515625000001</v>
      </c>
      <c r="E31" s="106">
        <f t="shared" si="7"/>
        <v>2355.9923852813854</v>
      </c>
      <c r="F31" s="106">
        <f t="shared" si="8"/>
        <v>0.49888458592396906</v>
      </c>
      <c r="G31" s="106">
        <f t="shared" si="9"/>
        <v>49.888458592396908</v>
      </c>
      <c r="H31" s="106">
        <f>'Choanocyte Chambers'!J13</f>
        <v>6.7382600367918002</v>
      </c>
      <c r="I31" s="106">
        <f t="shared" si="5"/>
        <v>673.82600367918008</v>
      </c>
      <c r="J31" s="106">
        <f t="shared" si="1"/>
        <v>3327.5358206379265</v>
      </c>
      <c r="K31" s="106">
        <f t="shared" si="11"/>
        <v>2.7495417355957076E-5</v>
      </c>
      <c r="L31" s="234">
        <f t="shared" si="2"/>
        <v>2.7495417355957077E-2</v>
      </c>
      <c r="M31" s="230">
        <f>(8*Viscosity*L31*($D31/1000))/($F$16*(($C31/1000/2)^2))</f>
        <v>6.78117801686654E-3</v>
      </c>
      <c r="N31" s="235">
        <f t="shared" si="3"/>
        <v>6.7811780168665399</v>
      </c>
      <c r="O31" s="223" t="s">
        <v>331</v>
      </c>
      <c r="P31" s="216">
        <v>19</v>
      </c>
      <c r="Q31" s="216">
        <f>K31*1000</f>
        <v>2.7495417355957077E-2</v>
      </c>
      <c r="R31" s="216">
        <f>(8*Viscosity*Q30*(D31/1000))/($F$16*((C31/1000/2)^2))</f>
        <v>4.4855503181612331E-3</v>
      </c>
      <c r="S31" s="217">
        <f t="shared" si="4"/>
        <v>4.4855503181612333</v>
      </c>
      <c r="T31" s="224">
        <f>S31/$S$37*100</f>
        <v>1.1790596381334085E-2</v>
      </c>
      <c r="U31" s="218" t="s">
        <v>337</v>
      </c>
      <c r="V31" s="225">
        <f>(PI()*V27)/V32</f>
        <v>5.1494087452277517</v>
      </c>
    </row>
    <row r="32" spans="1:29">
      <c r="A32" s="104" t="s">
        <v>54</v>
      </c>
      <c r="B32" s="51" t="s">
        <v>64</v>
      </c>
      <c r="C32" s="107">
        <f>Apopyle!D14</f>
        <v>4.2334999999999994</v>
      </c>
      <c r="D32" s="106">
        <v>0.5</v>
      </c>
      <c r="E32" s="106">
        <f t="shared" si="7"/>
        <v>2371.9619009063854</v>
      </c>
      <c r="F32" s="106">
        <f t="shared" si="8"/>
        <v>0.50226615253672913</v>
      </c>
      <c r="G32" s="106">
        <f t="shared" si="9"/>
        <v>50.226615253672911</v>
      </c>
      <c r="H32" s="107">
        <f>Apopyle!G14</f>
        <v>0.52101576848277364</v>
      </c>
      <c r="I32" s="106">
        <f t="shared" si="5"/>
        <v>52.101576848277361</v>
      </c>
      <c r="J32" s="106">
        <f t="shared" si="1"/>
        <v>257.29173752235732</v>
      </c>
      <c r="K32" s="106">
        <f t="shared" si="11"/>
        <v>3.5559628550989412E-4</v>
      </c>
      <c r="L32" s="234">
        <f t="shared" si="2"/>
        <v>0.35559628550989414</v>
      </c>
      <c r="M32" s="230">
        <f>(8*Viscosity*L32*($D32/1000))/($F$16*(($C32/1000/2)^2))</f>
        <v>3.9071912054277083E-2</v>
      </c>
      <c r="N32" s="235">
        <f t="shared" si="3"/>
        <v>39.071912054277085</v>
      </c>
      <c r="O32" s="223" t="s">
        <v>330</v>
      </c>
      <c r="P32" s="216">
        <v>15</v>
      </c>
      <c r="Q32" s="216">
        <f>K32*1000</f>
        <v>0.35559628550989414</v>
      </c>
      <c r="R32" s="216">
        <f>(6*PI()*Viscosity*Q31)/($F$16*(C32/1000))</f>
        <v>1.5067752215828669E-2</v>
      </c>
      <c r="S32" s="217">
        <f t="shared" si="4"/>
        <v>15.067752215828669</v>
      </c>
      <c r="T32" s="224">
        <f>S32/$S$37*100</f>
        <v>3.9606686392856159E-2</v>
      </c>
      <c r="U32" s="218" t="s">
        <v>338</v>
      </c>
      <c r="V32" s="225">
        <f>(V28*V29)/(SQRT((V28^2)+(V29^2)))</f>
        <v>6.0485870721479633E-5</v>
      </c>
    </row>
    <row r="33" spans="1:29">
      <c r="A33" s="104" t="s">
        <v>55</v>
      </c>
      <c r="B33" s="51" t="s">
        <v>65</v>
      </c>
      <c r="C33" s="106">
        <f>C26</f>
        <v>60.145624999999995</v>
      </c>
      <c r="D33" s="106">
        <f>D26</f>
        <v>250.59699999999998</v>
      </c>
      <c r="E33" s="106">
        <f t="shared" si="7"/>
        <v>2372.4619009063854</v>
      </c>
      <c r="F33" s="106">
        <f t="shared" si="8"/>
        <v>0.50237202821549631</v>
      </c>
      <c r="G33" s="106">
        <f t="shared" si="9"/>
        <v>50.23720282154963</v>
      </c>
      <c r="H33" s="106">
        <f>H26</f>
        <v>1.709909383918649E-2</v>
      </c>
      <c r="I33" s="106">
        <f t="shared" si="5"/>
        <v>1.709909383918649</v>
      </c>
      <c r="J33" s="106">
        <f t="shared" si="1"/>
        <v>8.443996957622959</v>
      </c>
      <c r="K33" s="106">
        <f t="shared" si="11"/>
        <v>1.0835151482704053E-2</v>
      </c>
      <c r="L33" s="234">
        <f t="shared" si="2"/>
        <v>10.835151482704052</v>
      </c>
      <c r="M33" s="230">
        <f>(8*Viscosity*L33*($D33/1000))/($F$16*(($C33/1000/2)^2))</f>
        <v>2.9562376478250707</v>
      </c>
      <c r="N33" s="235">
        <f t="shared" si="3"/>
        <v>2956.2376478250708</v>
      </c>
      <c r="O33" s="223" t="s">
        <v>331</v>
      </c>
      <c r="P33" s="216">
        <v>19</v>
      </c>
      <c r="Q33" s="216">
        <f>K33*1000</f>
        <v>10.835151482704052</v>
      </c>
      <c r="R33" s="216">
        <f>(8*Viscosity*Q32*(D33/1000))/($F$16*((C33/1000/2)^2))</f>
        <v>9.7020067354771714E-2</v>
      </c>
      <c r="S33" s="217">
        <f t="shared" si="4"/>
        <v>97.020067354771712</v>
      </c>
      <c r="T33" s="224">
        <f>S33/$S$37*100</f>
        <v>0.25502432788200013</v>
      </c>
      <c r="U33" s="218" t="s">
        <v>339</v>
      </c>
      <c r="V33" s="225">
        <f>(V28*V29)/(V28+V29)</f>
        <v>4.4110849056603775E-5</v>
      </c>
    </row>
    <row r="34" spans="1:29">
      <c r="A34" s="105"/>
      <c r="B34" s="51" t="s">
        <v>156</v>
      </c>
      <c r="C34" s="106">
        <f>C25</f>
        <v>144.33046153846155</v>
      </c>
      <c r="D34" s="106">
        <f>D25</f>
        <v>969.00300000000004</v>
      </c>
      <c r="E34" s="106">
        <f t="shared" si="7"/>
        <v>2623.0589009063851</v>
      </c>
      <c r="F34" s="106">
        <f t="shared" si="8"/>
        <v>0.55543628315953641</v>
      </c>
      <c r="G34" s="106">
        <f t="shared" si="9"/>
        <v>55.54362831595364</v>
      </c>
      <c r="H34" s="106">
        <f>H25</f>
        <v>2.5676058220450593E-2</v>
      </c>
      <c r="I34" s="106">
        <f t="shared" si="5"/>
        <v>2.5676058220450595</v>
      </c>
      <c r="J34" s="106">
        <f t="shared" si="1"/>
        <v>12.679534923679306</v>
      </c>
      <c r="K34" s="106">
        <f t="shared" si="11"/>
        <v>7.2157209792035552E-3</v>
      </c>
      <c r="L34" s="234">
        <f t="shared" si="2"/>
        <v>7.2157209792035548</v>
      </c>
      <c r="M34" s="230">
        <f>(8*Viscosity*L34*($D34/1000))/($F$16*(($C34/1000/2)^2))</f>
        <v>1.321981644249453</v>
      </c>
      <c r="N34" s="235">
        <f t="shared" si="3"/>
        <v>1321.981644249453</v>
      </c>
      <c r="O34" s="223" t="s">
        <v>331</v>
      </c>
      <c r="P34" s="216">
        <v>19</v>
      </c>
      <c r="Q34" s="216">
        <f>K34*1000</f>
        <v>7.2157209792035548</v>
      </c>
      <c r="R34" s="216">
        <f>(8*Viscosity*Q33*(D34/1000))/($F$16*((C34/1000/2)^2))</f>
        <v>1.9850921916298958</v>
      </c>
      <c r="S34" s="217">
        <f t="shared" si="4"/>
        <v>1985.0921916298958</v>
      </c>
      <c r="T34" s="224">
        <f>S34/$S$37*100</f>
        <v>5.2179597041819843</v>
      </c>
      <c r="U34" s="216"/>
      <c r="V34" s="225"/>
    </row>
    <row r="35" spans="1:29">
      <c r="A35" s="105"/>
      <c r="B35" s="51" t="s">
        <v>66</v>
      </c>
      <c r="C35" s="106">
        <f>C24</f>
        <v>294.14950000000005</v>
      </c>
      <c r="D35" s="106">
        <f>D24</f>
        <v>1130.4580000000001</v>
      </c>
      <c r="E35" s="106">
        <f t="shared" si="7"/>
        <v>3592.0619009063853</v>
      </c>
      <c r="F35" s="106">
        <f t="shared" si="8"/>
        <v>0.76062398386441243</v>
      </c>
      <c r="G35" s="106">
        <f t="shared" si="9"/>
        <v>76.062398386441245</v>
      </c>
      <c r="H35" s="106">
        <f>H24</f>
        <v>3.3092437600061794E-2</v>
      </c>
      <c r="I35" s="106">
        <f t="shared" si="5"/>
        <v>3.3092437600061793</v>
      </c>
      <c r="J35" s="106">
        <f t="shared" si="1"/>
        <v>16.341944493857675</v>
      </c>
      <c r="K35" s="106">
        <f t="shared" si="11"/>
        <v>5.5985985137647068E-3</v>
      </c>
      <c r="L35" s="234">
        <f t="shared" si="2"/>
        <v>5.5985985137647072</v>
      </c>
      <c r="M35" s="230">
        <f>(8*Viscosity*L35*($D35/1000))/($F$16*(($C35/1000/2)^2))</f>
        <v>0.2880939246632892</v>
      </c>
      <c r="N35" s="235">
        <f t="shared" si="3"/>
        <v>288.09392466328922</v>
      </c>
      <c r="O35" s="223" t="s">
        <v>331</v>
      </c>
      <c r="P35" s="216">
        <v>19</v>
      </c>
      <c r="Q35" s="216">
        <f>K35*1000</f>
        <v>5.5985985137647072</v>
      </c>
      <c r="R35" s="216">
        <f>(8*Viscosity*Q34*(D35/1000))/($F$16*((C35/1000/2)^2))</f>
        <v>0.37130817133306415</v>
      </c>
      <c r="S35" s="217">
        <f t="shared" si="4"/>
        <v>371.30817133306414</v>
      </c>
      <c r="T35" s="224">
        <f>S35/$S$37*100</f>
        <v>0.97601062762663593</v>
      </c>
      <c r="U35" s="216"/>
      <c r="V35" s="225"/>
    </row>
    <row r="36" spans="1:29">
      <c r="A36" s="104" t="s">
        <v>56</v>
      </c>
      <c r="B36" s="51" t="s">
        <v>67</v>
      </c>
      <c r="C36" s="106">
        <f>Osculum!G16</f>
        <v>22666.25</v>
      </c>
      <c r="D36" s="106">
        <f>Osculum!B18</f>
        <v>9983</v>
      </c>
      <c r="E36" s="106">
        <f t="shared" si="7"/>
        <v>4722.5199009063854</v>
      </c>
      <c r="F36" s="106">
        <f t="shared" si="8"/>
        <v>1</v>
      </c>
      <c r="G36" s="106">
        <f t="shared" si="9"/>
        <v>100</v>
      </c>
      <c r="H36" s="106">
        <f>(PI()*(C36/2/1000)^2)/(A16*1000)</f>
        <v>1.6780712090525777E-3</v>
      </c>
      <c r="I36" s="106">
        <f t="shared" si="5"/>
        <v>0.16780712090525776</v>
      </c>
      <c r="J36" s="106">
        <f>I36/$D$16*100</f>
        <v>0.82867714027287787</v>
      </c>
      <c r="K36" s="106">
        <f>B16</f>
        <v>0.1104072765</v>
      </c>
      <c r="L36" s="234">
        <f t="shared" si="2"/>
        <v>110.40727649999999</v>
      </c>
      <c r="M36" s="230">
        <f>(8*Viscosity*L36*($D36/1000))/($F$16*(($C36/1000/2)^2))</f>
        <v>8.4495969188046454E-3</v>
      </c>
      <c r="N36" s="235">
        <f t="shared" si="3"/>
        <v>8.4495969188046463</v>
      </c>
      <c r="O36" s="223" t="s">
        <v>340</v>
      </c>
      <c r="P36" s="216">
        <v>22</v>
      </c>
      <c r="Q36" s="216">
        <f>K36*1000</f>
        <v>110.40727649999999</v>
      </c>
      <c r="R36" s="216">
        <f>((Q36^2)/(2*F16))/1000</f>
        <v>0.62150513703188404</v>
      </c>
      <c r="S36" s="217">
        <f t="shared" si="4"/>
        <v>621.50513703188403</v>
      </c>
      <c r="T36" s="224">
        <f>S36/$S$37*100</f>
        <v>1.6336716121540731</v>
      </c>
      <c r="U36" s="216"/>
      <c r="V36" s="225"/>
    </row>
    <row r="37" spans="1:29">
      <c r="C37" s="106"/>
      <c r="D37" s="106"/>
      <c r="E37" s="106"/>
      <c r="F37" s="106"/>
      <c r="G37" s="106"/>
      <c r="H37" s="106"/>
      <c r="I37" s="106"/>
      <c r="J37" s="106"/>
      <c r="K37" s="106"/>
      <c r="L37" s="236"/>
      <c r="M37" s="237"/>
      <c r="N37" s="238">
        <f>SUM(N23:N36)</f>
        <v>11304.976186765281</v>
      </c>
      <c r="O37" s="226"/>
      <c r="P37" s="227"/>
      <c r="Q37" s="227"/>
      <c r="R37" s="227"/>
      <c r="S37" s="228">
        <f>SUM(S23:S36)</f>
        <v>38043.455759900258</v>
      </c>
      <c r="T37" s="227"/>
      <c r="U37" s="227"/>
      <c r="V37" s="229"/>
    </row>
    <row r="38" spans="1:29">
      <c r="S38" s="11"/>
      <c r="T38" s="11"/>
      <c r="U38" s="11"/>
      <c r="V38" s="11"/>
      <c r="W38" s="11"/>
      <c r="X38" s="11"/>
      <c r="Y38" s="11"/>
      <c r="Z38" s="11"/>
      <c r="AA38" s="11"/>
      <c r="AB38" s="11"/>
      <c r="AC38" s="11"/>
    </row>
    <row r="39" spans="1:29">
      <c r="S39" s="11"/>
      <c r="T39" s="11"/>
      <c r="U39" s="11"/>
      <c r="V39" s="11"/>
      <c r="W39" s="11"/>
      <c r="X39" s="11"/>
      <c r="Y39" s="11"/>
      <c r="Z39" s="11"/>
      <c r="AA39" s="11"/>
      <c r="AB39" s="11"/>
      <c r="AC39" s="11"/>
    </row>
    <row r="40" spans="1:29">
      <c r="S40" s="11"/>
      <c r="T40" s="11"/>
      <c r="U40" s="11"/>
      <c r="V40" s="11"/>
      <c r="W40" s="11"/>
      <c r="X40" s="11"/>
      <c r="Y40" s="11"/>
      <c r="Z40" s="11"/>
      <c r="AA40" s="11"/>
      <c r="AB40" s="11"/>
      <c r="AC40" s="11"/>
    </row>
    <row r="41" spans="1:29">
      <c r="A41" t="s">
        <v>192</v>
      </c>
      <c r="H41" s="8"/>
      <c r="S41" s="11"/>
      <c r="T41" s="11"/>
      <c r="U41" s="11"/>
      <c r="V41" s="11"/>
      <c r="W41" s="11"/>
      <c r="X41" s="11"/>
      <c r="Y41" s="11"/>
      <c r="Z41" s="11"/>
      <c r="AA41" s="11"/>
      <c r="AB41" s="11"/>
      <c r="AC41" s="11"/>
    </row>
    <row r="42" spans="1:29">
      <c r="A42" t="s">
        <v>239</v>
      </c>
      <c r="C42" s="109">
        <f>Osculum!R16</f>
        <v>2.2023233660538528</v>
      </c>
      <c r="D42" t="s">
        <v>194</v>
      </c>
      <c r="G42" s="60"/>
      <c r="H42" s="198"/>
      <c r="X42" s="11"/>
      <c r="Y42" s="11"/>
      <c r="Z42" s="11"/>
      <c r="AA42" s="11"/>
      <c r="AB42" s="11"/>
      <c r="AC42" s="11"/>
    </row>
    <row r="43" spans="1:29">
      <c r="A43" t="s">
        <v>193</v>
      </c>
      <c r="C43" s="106">
        <f>(C42/44.661)*1000</f>
        <v>49.312003001586461</v>
      </c>
      <c r="D43" t="s">
        <v>195</v>
      </c>
      <c r="G43" s="60"/>
      <c r="H43" s="198"/>
    </row>
    <row r="44" spans="1:29">
      <c r="A44" t="s">
        <v>227</v>
      </c>
      <c r="C44" s="107">
        <f>C43*(C16/1000*60*60)</f>
        <v>7894.2528089199477</v>
      </c>
      <c r="D44" t="s">
        <v>196</v>
      </c>
      <c r="G44" s="60"/>
      <c r="H44" s="198"/>
    </row>
    <row r="45" spans="1:29">
      <c r="C45" s="106">
        <f>C44*5.3333</f>
        <v>42102.418505812762</v>
      </c>
      <c r="D45" t="s">
        <v>197</v>
      </c>
      <c r="G45" s="60"/>
      <c r="H45" s="198"/>
    </row>
    <row r="46" spans="1:29">
      <c r="G46" s="60"/>
      <c r="H46" s="198"/>
    </row>
    <row r="47" spans="1:29">
      <c r="C47" t="s">
        <v>341</v>
      </c>
      <c r="D47" s="198"/>
      <c r="E47" s="198"/>
      <c r="F47" t="s">
        <v>356</v>
      </c>
    </row>
    <row r="48" spans="1:29">
      <c r="C48" s="108">
        <f>$E$16*$F$16*($S$37/1000)*($C$17/1000/60)</f>
        <v>16955.375707782834</v>
      </c>
      <c r="D48" t="s">
        <v>198</v>
      </c>
      <c r="E48" s="198"/>
      <c r="F48" s="108">
        <f>$E$16*$F$16*($N$37/1000)*($C$17/1000/60)</f>
        <v>5038.4518121559322</v>
      </c>
    </row>
    <row r="49" spans="3:8">
      <c r="C49" s="106">
        <f>$C$48/$C$45*100</f>
        <v>40.2717380842194</v>
      </c>
      <c r="D49" t="s">
        <v>236</v>
      </c>
      <c r="E49" s="198"/>
      <c r="F49" s="106">
        <f>$F$48/$C$45*100</f>
        <v>11.96713155910583</v>
      </c>
    </row>
    <row r="50" spans="3:8">
      <c r="G50" s="60"/>
      <c r="H50" s="198"/>
    </row>
    <row r="51" spans="3:8">
      <c r="G51" s="60"/>
      <c r="H51" s="198"/>
    </row>
    <row r="52" spans="3:8">
      <c r="G52" s="60"/>
      <c r="H52" s="8"/>
    </row>
    <row r="53" spans="3:8">
      <c r="G53" s="60"/>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191"/>
  <sheetViews>
    <sheetView workbookViewId="0">
      <selection activeCell="X62" sqref="X62"/>
    </sheetView>
  </sheetViews>
  <sheetFormatPr baseColWidth="10" defaultColWidth="11" defaultRowHeight="15" x14ac:dyDescent="0"/>
  <cols>
    <col min="1" max="1" width="25.6640625" customWidth="1"/>
    <col min="4" max="5" width="12.5" customWidth="1"/>
    <col min="6" max="6" width="12.1640625" customWidth="1"/>
    <col min="7" max="7" width="13.83203125" customWidth="1"/>
    <col min="8" max="8" width="13.5" customWidth="1"/>
    <col min="9" max="9" width="14.1640625" customWidth="1"/>
    <col min="10" max="10" width="20.1640625" customWidth="1"/>
    <col min="11" max="11" width="18.83203125" customWidth="1"/>
  </cols>
  <sheetData>
    <row r="1" spans="1:13">
      <c r="A1" t="s">
        <v>293</v>
      </c>
      <c r="F1" s="109"/>
      <c r="G1" t="s">
        <v>237</v>
      </c>
    </row>
    <row r="2" spans="1:13">
      <c r="F2" s="106"/>
      <c r="G2" t="s">
        <v>238</v>
      </c>
    </row>
    <row r="3" spans="1:13">
      <c r="A3" t="s">
        <v>0</v>
      </c>
    </row>
    <row r="4" spans="1:13">
      <c r="A4" s="30" t="s">
        <v>187</v>
      </c>
    </row>
    <row r="5" spans="1:13">
      <c r="A5" t="s">
        <v>1</v>
      </c>
    </row>
    <row r="6" spans="1:13">
      <c r="A6" t="s">
        <v>240</v>
      </c>
    </row>
    <row r="7" spans="1:13">
      <c r="A7" t="s">
        <v>241</v>
      </c>
    </row>
    <row r="8" spans="1:13">
      <c r="A8" t="s">
        <v>242</v>
      </c>
    </row>
    <row r="9" spans="1:13">
      <c r="A9" t="s">
        <v>2</v>
      </c>
    </row>
    <row r="10" spans="1:13">
      <c r="A10" t="s">
        <v>243</v>
      </c>
    </row>
    <row r="13" spans="1:13">
      <c r="A13" s="17" t="s">
        <v>3</v>
      </c>
      <c r="B13" s="17"/>
      <c r="C13" s="17"/>
      <c r="D13" s="17"/>
      <c r="E13" s="17"/>
      <c r="F13" s="17"/>
      <c r="G13" s="17"/>
      <c r="H13" s="17"/>
      <c r="I13" s="17"/>
      <c r="J13" s="17"/>
      <c r="K13" s="17"/>
    </row>
    <row r="14" spans="1:13">
      <c r="A14" s="17"/>
      <c r="B14" s="17"/>
      <c r="C14" s="17"/>
      <c r="D14" s="17"/>
      <c r="E14" s="17"/>
      <c r="F14" s="17"/>
      <c r="G14" s="17"/>
      <c r="H14" s="17"/>
      <c r="I14" s="17"/>
      <c r="J14" s="17"/>
      <c r="K14" s="17"/>
    </row>
    <row r="15" spans="1:13" s="16" customFormat="1" ht="46" thickBot="1">
      <c r="A15" s="9" t="s">
        <v>4</v>
      </c>
      <c r="B15" s="9" t="s">
        <v>5</v>
      </c>
      <c r="C15" s="9" t="s">
        <v>100</v>
      </c>
      <c r="D15" s="9" t="s">
        <v>10</v>
      </c>
      <c r="E15" s="9" t="s">
        <v>101</v>
      </c>
      <c r="F15" s="9" t="s">
        <v>6</v>
      </c>
      <c r="G15" s="9" t="s">
        <v>7</v>
      </c>
      <c r="H15" s="9" t="s">
        <v>13</v>
      </c>
      <c r="I15" s="9" t="s">
        <v>14</v>
      </c>
      <c r="J15" s="9" t="s">
        <v>11</v>
      </c>
      <c r="K15" s="9" t="s">
        <v>9</v>
      </c>
      <c r="L15" s="9" t="s">
        <v>109</v>
      </c>
      <c r="M15" s="9" t="s">
        <v>110</v>
      </c>
    </row>
    <row r="16" spans="1:13" ht="16" thickTop="1">
      <c r="A16" s="109" t="str">
        <f>A30</f>
        <v>Cd-RR-ost-02</v>
      </c>
      <c r="B16" s="109">
        <f t="shared" ref="B16:M16" si="0">B38</f>
        <v>56.240375</v>
      </c>
      <c r="C16" s="109">
        <f t="shared" si="0"/>
        <v>34.971125000000001</v>
      </c>
      <c r="D16" s="109">
        <f t="shared" si="0"/>
        <v>28.1201875</v>
      </c>
      <c r="E16" s="109">
        <f t="shared" si="0"/>
        <v>17.4855625</v>
      </c>
      <c r="F16" s="109">
        <f t="shared" si="0"/>
        <v>1569.6846349645157</v>
      </c>
      <c r="G16" s="109">
        <f t="shared" si="0"/>
        <v>100</v>
      </c>
      <c r="H16" s="109">
        <f t="shared" si="0"/>
        <v>156968.46349645156</v>
      </c>
      <c r="I16" s="109">
        <f t="shared" si="0"/>
        <v>1131485.727</v>
      </c>
      <c r="J16" s="109">
        <f t="shared" si="0"/>
        <v>0.13872774507959088</v>
      </c>
      <c r="K16" s="109">
        <f t="shared" si="0"/>
        <v>13.872774507959088</v>
      </c>
      <c r="L16" s="109">
        <f t="shared" si="0"/>
        <v>4.6237957435027637</v>
      </c>
      <c r="M16" s="109">
        <f t="shared" si="0"/>
        <v>13.872774507959088</v>
      </c>
    </row>
    <row r="17" spans="1:13">
      <c r="A17" s="109" t="str">
        <f>A43</f>
        <v>Cd-RR-ost-08</v>
      </c>
      <c r="B17" s="109">
        <f>B52</f>
        <v>32.63933333333334</v>
      </c>
      <c r="C17" s="109">
        <f t="shared" ref="C17:M17" si="1">C52</f>
        <v>25.156333333333333</v>
      </c>
      <c r="D17" s="109">
        <f t="shared" si="1"/>
        <v>16.31966666666667</v>
      </c>
      <c r="E17" s="109">
        <f t="shared" si="1"/>
        <v>12.578166666666666</v>
      </c>
      <c r="F17" s="109">
        <f t="shared" si="1"/>
        <v>674.55422831231863</v>
      </c>
      <c r="G17" s="109">
        <f t="shared" si="1"/>
        <v>97</v>
      </c>
      <c r="H17" s="109">
        <f t="shared" si="1"/>
        <v>65431.76014629491</v>
      </c>
      <c r="I17" s="109">
        <f t="shared" si="1"/>
        <v>467491.00099999999</v>
      </c>
      <c r="J17" s="109">
        <f t="shared" si="1"/>
        <v>0.13996367845868954</v>
      </c>
      <c r="K17" s="109">
        <f t="shared" si="1"/>
        <v>13.996367845868955</v>
      </c>
      <c r="L17" s="109">
        <f t="shared" si="1"/>
        <v>4.6649894030281223</v>
      </c>
      <c r="M17" s="109">
        <f t="shared" si="1"/>
        <v>13.996367845868955</v>
      </c>
    </row>
    <row r="18" spans="1:13">
      <c r="A18" s="109"/>
      <c r="B18" s="109"/>
      <c r="C18" s="109"/>
      <c r="D18" s="109"/>
      <c r="E18" s="109"/>
      <c r="F18" s="109"/>
      <c r="G18" s="109"/>
      <c r="H18" s="109"/>
      <c r="I18" s="109"/>
      <c r="J18" s="109"/>
      <c r="K18" s="109"/>
      <c r="L18" s="109"/>
      <c r="M18" s="109"/>
    </row>
    <row r="19" spans="1:13">
      <c r="A19" s="109"/>
      <c r="B19" s="109"/>
      <c r="C19" s="109"/>
      <c r="D19" s="109"/>
      <c r="E19" s="109"/>
      <c r="F19" s="109"/>
      <c r="G19" s="109"/>
      <c r="H19" s="109"/>
      <c r="I19" s="109"/>
      <c r="J19" s="109"/>
      <c r="K19" s="109"/>
      <c r="L19" s="109"/>
      <c r="M19" s="109"/>
    </row>
    <row r="20" spans="1:13">
      <c r="A20" s="109"/>
      <c r="B20" s="109"/>
      <c r="C20" s="109"/>
      <c r="D20" s="109"/>
      <c r="E20" s="109"/>
      <c r="F20" s="109"/>
      <c r="G20" s="109"/>
      <c r="H20" s="109"/>
      <c r="I20" s="109"/>
      <c r="J20" s="109"/>
      <c r="K20" s="109"/>
      <c r="L20" s="109"/>
      <c r="M20" s="109"/>
    </row>
    <row r="21" spans="1:13">
      <c r="A21" s="109"/>
      <c r="B21" s="109"/>
      <c r="C21" s="109"/>
      <c r="D21" s="109"/>
      <c r="E21" s="109"/>
      <c r="F21" s="109"/>
      <c r="G21" s="109"/>
      <c r="H21" s="109"/>
      <c r="I21" s="109"/>
      <c r="J21" s="109"/>
      <c r="K21" s="109"/>
      <c r="L21" s="109"/>
      <c r="M21" s="109"/>
    </row>
    <row r="22" spans="1:13">
      <c r="A22" s="109"/>
      <c r="B22" s="109"/>
      <c r="C22" s="109"/>
      <c r="D22" s="109"/>
      <c r="E22" s="109"/>
      <c r="F22" s="109"/>
      <c r="G22" s="109"/>
      <c r="H22" s="109"/>
      <c r="I22" s="109"/>
      <c r="J22" s="109"/>
      <c r="K22" s="109"/>
      <c r="L22" s="109"/>
      <c r="M22" s="109"/>
    </row>
    <row r="23" spans="1:13">
      <c r="A23" s="109"/>
      <c r="B23" s="109"/>
      <c r="C23" s="109"/>
      <c r="D23" s="109"/>
      <c r="E23" s="109"/>
      <c r="F23" s="109"/>
      <c r="G23" s="109"/>
      <c r="H23" s="109"/>
      <c r="I23" s="109"/>
      <c r="J23" s="109"/>
      <c r="K23" s="109"/>
      <c r="L23" s="109"/>
      <c r="M23" s="109"/>
    </row>
    <row r="24" spans="1:13" ht="16" thickBot="1">
      <c r="A24" s="6"/>
      <c r="B24" s="141">
        <f>AVERAGE(B16:C23)</f>
        <v>37.251791666666669</v>
      </c>
      <c r="C24" s="141"/>
      <c r="D24" s="141">
        <f>AVERAGE(D16:E23)</f>
        <v>18.625895833333335</v>
      </c>
      <c r="E24" s="141"/>
      <c r="F24" s="141">
        <f>AVERAGE(F16:F23)</f>
        <v>1122.1194316384172</v>
      </c>
      <c r="G24" s="141">
        <f t="shared" ref="G24:M24" si="2">AVERAGE(G16:G23)</f>
        <v>98.5</v>
      </c>
      <c r="H24" s="141">
        <f t="shared" si="2"/>
        <v>111200.11182137323</v>
      </c>
      <c r="I24" s="141">
        <f t="shared" si="2"/>
        <v>799488.36399999994</v>
      </c>
      <c r="J24" s="141">
        <f t="shared" si="2"/>
        <v>0.13934571176914021</v>
      </c>
      <c r="K24" s="141">
        <f t="shared" si="2"/>
        <v>13.934571176914021</v>
      </c>
      <c r="L24" s="141">
        <f t="shared" si="2"/>
        <v>4.644392573265443</v>
      </c>
      <c r="M24" s="141">
        <f t="shared" si="2"/>
        <v>13.934571176914021</v>
      </c>
    </row>
    <row r="25" spans="1:13">
      <c r="A25" t="s">
        <v>103</v>
      </c>
      <c r="B25" t="s">
        <v>104</v>
      </c>
    </row>
    <row r="26" spans="1:13">
      <c r="A26" s="11"/>
      <c r="B26" s="11"/>
      <c r="C26" s="11"/>
      <c r="D26" s="11"/>
      <c r="E26" s="11"/>
      <c r="F26" s="11"/>
      <c r="G26" s="11"/>
      <c r="H26" s="11"/>
      <c r="I26" s="11"/>
    </row>
    <row r="27" spans="1:13">
      <c r="A27" s="11"/>
      <c r="B27" s="11"/>
      <c r="C27" s="11"/>
      <c r="D27" s="11"/>
      <c r="E27" s="11"/>
      <c r="F27" s="11"/>
      <c r="G27" s="11"/>
      <c r="H27" s="11"/>
      <c r="I27" s="11"/>
    </row>
    <row r="28" spans="1:13">
      <c r="A28" s="11"/>
      <c r="B28" s="11"/>
      <c r="C28" s="11"/>
      <c r="D28" s="11"/>
      <c r="E28" s="11"/>
      <c r="F28" s="11"/>
      <c r="G28" s="11"/>
      <c r="H28" s="11"/>
      <c r="I28" s="11"/>
    </row>
    <row r="29" spans="1:13" ht="46" thickBot="1">
      <c r="A29" s="44" t="s">
        <v>4</v>
      </c>
      <c r="B29" s="44" t="s">
        <v>5</v>
      </c>
      <c r="C29" s="44" t="s">
        <v>100</v>
      </c>
      <c r="D29" s="44" t="s">
        <v>10</v>
      </c>
      <c r="E29" s="44" t="s">
        <v>101</v>
      </c>
      <c r="F29" s="44" t="s">
        <v>6</v>
      </c>
      <c r="G29" s="44" t="s">
        <v>7</v>
      </c>
      <c r="H29" s="44" t="s">
        <v>13</v>
      </c>
      <c r="I29" s="44" t="s">
        <v>14</v>
      </c>
      <c r="J29" s="44" t="s">
        <v>11</v>
      </c>
      <c r="K29" s="44" t="s">
        <v>9</v>
      </c>
      <c r="L29" s="44" t="s">
        <v>109</v>
      </c>
      <c r="M29" s="44" t="s">
        <v>110</v>
      </c>
    </row>
    <row r="30" spans="1:13" ht="16" thickTop="1">
      <c r="A30" s="11" t="s">
        <v>294</v>
      </c>
      <c r="B30" s="11">
        <v>73.763999999999996</v>
      </c>
      <c r="C30" s="11">
        <v>43.872</v>
      </c>
      <c r="D30" s="131">
        <f>B30/2</f>
        <v>36.881999999999998</v>
      </c>
      <c r="E30" s="131">
        <f>C30/2</f>
        <v>21.936</v>
      </c>
      <c r="F30" s="131">
        <f>PI()*D30*E30</f>
        <v>2541.6852793973917</v>
      </c>
      <c r="G30" s="11"/>
      <c r="H30" s="11"/>
      <c r="I30" s="11"/>
    </row>
    <row r="31" spans="1:13">
      <c r="A31" s="11"/>
      <c r="B31" s="11">
        <v>74.710999999999999</v>
      </c>
      <c r="C31" s="11">
        <v>34.11</v>
      </c>
      <c r="D31" s="131">
        <f>B31/2</f>
        <v>37.355499999999999</v>
      </c>
      <c r="E31" s="131">
        <f>C31/2</f>
        <v>17.055</v>
      </c>
      <c r="F31" s="131">
        <f t="shared" ref="F31:F37" si="3">PI()*D31*E31</f>
        <v>2001.5025613503644</v>
      </c>
      <c r="G31" s="11"/>
      <c r="H31" s="11"/>
      <c r="I31" s="11"/>
    </row>
    <row r="32" spans="1:13">
      <c r="A32" s="11"/>
      <c r="B32" s="11">
        <v>53.286999999999999</v>
      </c>
      <c r="C32" s="11">
        <v>29.777000000000001</v>
      </c>
      <c r="D32" s="131">
        <f t="shared" ref="D32:D37" si="4">B32/2</f>
        <v>26.6435</v>
      </c>
      <c r="E32" s="131">
        <f t="shared" ref="E32:E37" si="5">C32/2</f>
        <v>14.888500000000001</v>
      </c>
      <c r="F32" s="131">
        <f t="shared" si="3"/>
        <v>1246.2124708277447</v>
      </c>
      <c r="G32" s="11"/>
      <c r="H32" s="11"/>
      <c r="I32" s="11"/>
    </row>
    <row r="33" spans="1:13">
      <c r="A33" s="11"/>
      <c r="B33" s="11">
        <v>58.823999999999998</v>
      </c>
      <c r="C33" s="11">
        <v>40.139000000000003</v>
      </c>
      <c r="D33" s="131">
        <f t="shared" si="4"/>
        <v>29.411999999999999</v>
      </c>
      <c r="E33" s="131">
        <f t="shared" si="5"/>
        <v>20.069500000000001</v>
      </c>
      <c r="F33" s="131">
        <f t="shared" si="3"/>
        <v>1854.4322989050131</v>
      </c>
      <c r="G33" s="11"/>
      <c r="H33" s="11"/>
      <c r="I33" s="11"/>
    </row>
    <row r="34" spans="1:13">
      <c r="A34" s="11"/>
      <c r="B34" s="11">
        <v>44.725999999999999</v>
      </c>
      <c r="C34" s="11">
        <v>38.234999999999999</v>
      </c>
      <c r="D34" s="131">
        <f t="shared" si="4"/>
        <v>22.363</v>
      </c>
      <c r="E34" s="131">
        <f t="shared" si="5"/>
        <v>19.1175</v>
      </c>
      <c r="F34" s="131">
        <f t="shared" si="3"/>
        <v>1343.1083075225292</v>
      </c>
      <c r="G34" s="11"/>
      <c r="H34" s="11"/>
      <c r="I34" s="11"/>
    </row>
    <row r="35" spans="1:13">
      <c r="A35" s="11"/>
      <c r="B35" s="11">
        <v>57.822000000000003</v>
      </c>
      <c r="C35" s="11">
        <v>33.823999999999998</v>
      </c>
      <c r="D35" s="131">
        <f t="shared" si="4"/>
        <v>28.911000000000001</v>
      </c>
      <c r="E35" s="131">
        <f t="shared" si="5"/>
        <v>16.911999999999999</v>
      </c>
      <c r="F35" s="131">
        <f t="shared" si="3"/>
        <v>1536.0592090365883</v>
      </c>
      <c r="G35" s="11"/>
      <c r="H35" s="11"/>
      <c r="I35" s="11"/>
    </row>
    <row r="36" spans="1:13">
      <c r="A36" s="11"/>
      <c r="B36" s="11">
        <v>44.142000000000003</v>
      </c>
      <c r="C36" s="11">
        <v>26.471</v>
      </c>
      <c r="D36" s="131">
        <f t="shared" si="4"/>
        <v>22.071000000000002</v>
      </c>
      <c r="E36" s="131">
        <f t="shared" si="5"/>
        <v>13.2355</v>
      </c>
      <c r="F36" s="131">
        <f t="shared" si="3"/>
        <v>917.7243094841574</v>
      </c>
      <c r="G36" s="11"/>
      <c r="H36" s="11"/>
      <c r="I36" s="11"/>
    </row>
    <row r="37" spans="1:13">
      <c r="A37" s="11"/>
      <c r="B37" s="29">
        <v>42.646999999999998</v>
      </c>
      <c r="C37" s="11">
        <v>33.341000000000001</v>
      </c>
      <c r="D37" s="131">
        <f t="shared" si="4"/>
        <v>21.323499999999999</v>
      </c>
      <c r="E37" s="131">
        <f t="shared" si="5"/>
        <v>16.670500000000001</v>
      </c>
      <c r="F37" s="131">
        <f t="shared" si="3"/>
        <v>1116.7526431923363</v>
      </c>
      <c r="G37" s="11"/>
      <c r="H37" s="11"/>
      <c r="I37" s="11"/>
    </row>
    <row r="38" spans="1:13">
      <c r="A38" s="11"/>
      <c r="B38" s="131">
        <f>AVERAGE(B30:B37)</f>
        <v>56.240375</v>
      </c>
      <c r="C38" s="131">
        <f>AVERAGE(C30:C37)</f>
        <v>34.971125000000001</v>
      </c>
      <c r="D38" s="131">
        <f>AVERAGE(D30:D37)</f>
        <v>28.1201875</v>
      </c>
      <c r="E38" s="131">
        <f>AVERAGE(E30:E37)</f>
        <v>17.4855625</v>
      </c>
      <c r="F38" s="131">
        <f>AVERAGE(F30:F37)</f>
        <v>1569.6846349645157</v>
      </c>
      <c r="G38" s="142">
        <v>100</v>
      </c>
      <c r="H38" s="131">
        <f>G38*F38</f>
        <v>156968.46349645156</v>
      </c>
      <c r="I38" s="11">
        <v>1131485.727</v>
      </c>
      <c r="J38" s="106">
        <f>H38/I38</f>
        <v>0.13872774507959088</v>
      </c>
      <c r="K38" s="106">
        <f>J38*100</f>
        <v>13.872774507959088</v>
      </c>
      <c r="L38" s="106">
        <f>J38*33.33</f>
        <v>4.6237957435027637</v>
      </c>
      <c r="M38" s="106">
        <f>K38</f>
        <v>13.872774507959088</v>
      </c>
    </row>
    <row r="39" spans="1:13">
      <c r="A39" s="11"/>
      <c r="B39" s="11"/>
      <c r="C39" s="11"/>
      <c r="D39" s="11"/>
      <c r="E39" s="11"/>
      <c r="F39" s="11"/>
      <c r="G39" s="11"/>
      <c r="H39" s="11"/>
      <c r="I39" s="11"/>
    </row>
    <row r="40" spans="1:13">
      <c r="A40" s="11"/>
      <c r="B40" s="11"/>
      <c r="C40" s="11"/>
      <c r="D40" s="11"/>
      <c r="E40" s="11"/>
      <c r="F40" s="11"/>
      <c r="G40" s="11"/>
      <c r="H40" s="11"/>
      <c r="I40" s="11"/>
      <c r="J40" s="11"/>
      <c r="K40" s="11"/>
      <c r="L40" s="11"/>
      <c r="M40" s="11"/>
    </row>
    <row r="41" spans="1:13">
      <c r="A41" s="29"/>
      <c r="B41" s="29"/>
      <c r="C41" s="29"/>
      <c r="D41" s="29"/>
      <c r="E41" s="29"/>
      <c r="F41" s="29"/>
      <c r="G41" s="29"/>
      <c r="H41" s="29"/>
      <c r="I41" s="29"/>
      <c r="J41" s="29"/>
      <c r="K41" s="29"/>
      <c r="L41" s="29"/>
      <c r="M41" s="29"/>
    </row>
    <row r="42" spans="1:13" ht="46" thickBot="1">
      <c r="A42" s="44" t="s">
        <v>4</v>
      </c>
      <c r="B42" s="44" t="s">
        <v>5</v>
      </c>
      <c r="C42" s="44" t="s">
        <v>100</v>
      </c>
      <c r="D42" s="44" t="s">
        <v>10</v>
      </c>
      <c r="E42" s="44" t="s">
        <v>101</v>
      </c>
      <c r="F42" s="44" t="s">
        <v>6</v>
      </c>
      <c r="G42" s="44" t="s">
        <v>7</v>
      </c>
      <c r="H42" s="44" t="s">
        <v>13</v>
      </c>
      <c r="I42" s="44" t="s">
        <v>14</v>
      </c>
      <c r="J42" s="44" t="s">
        <v>11</v>
      </c>
      <c r="K42" s="44" t="s">
        <v>9</v>
      </c>
      <c r="L42" s="44" t="s">
        <v>109</v>
      </c>
      <c r="M42" s="44" t="s">
        <v>110</v>
      </c>
    </row>
    <row r="43" spans="1:13" ht="16" thickTop="1">
      <c r="A43" s="11" t="s">
        <v>295</v>
      </c>
      <c r="B43" s="33">
        <v>47.902000000000001</v>
      </c>
      <c r="C43" s="11">
        <v>35.854999999999997</v>
      </c>
      <c r="D43" s="131">
        <f>B43/2</f>
        <v>23.951000000000001</v>
      </c>
      <c r="E43" s="131">
        <f>C43/2</f>
        <v>17.927499999999998</v>
      </c>
      <c r="F43" s="131">
        <f>PI()*D43*E43</f>
        <v>1348.94193092098</v>
      </c>
      <c r="G43" s="11"/>
      <c r="H43" s="11"/>
      <c r="I43" s="11"/>
    </row>
    <row r="44" spans="1:13">
      <c r="A44" s="11"/>
      <c r="B44" s="33">
        <v>37.366999999999997</v>
      </c>
      <c r="C44" s="11">
        <v>37.929000000000002</v>
      </c>
      <c r="D44" s="131">
        <f>B44/2</f>
        <v>18.683499999999999</v>
      </c>
      <c r="E44" s="131">
        <f>C44/2</f>
        <v>18.964500000000001</v>
      </c>
      <c r="F44" s="131">
        <f t="shared" ref="F44:F51" si="6">PI()*D44*E44</f>
        <v>1113.1392744283644</v>
      </c>
      <c r="G44" s="11"/>
      <c r="H44" s="11"/>
      <c r="I44" s="11"/>
    </row>
    <row r="45" spans="1:13">
      <c r="A45" s="11"/>
      <c r="B45" s="11">
        <v>21.713999999999999</v>
      </c>
      <c r="C45" s="11">
        <v>20.126000000000001</v>
      </c>
      <c r="D45" s="131">
        <f t="shared" ref="D45:D51" si="7">B45/2</f>
        <v>10.856999999999999</v>
      </c>
      <c r="E45" s="131">
        <f t="shared" ref="E45:E51" si="8">C45/2</f>
        <v>10.063000000000001</v>
      </c>
      <c r="F45" s="131">
        <f t="shared" si="6"/>
        <v>343.23153550096538</v>
      </c>
      <c r="G45" s="11"/>
      <c r="H45" s="11"/>
      <c r="I45" s="11"/>
    </row>
    <row r="46" spans="1:13">
      <c r="A46" s="11"/>
      <c r="B46" s="11">
        <v>34.218000000000004</v>
      </c>
      <c r="C46" s="11">
        <v>26.271999999999998</v>
      </c>
      <c r="D46" s="131">
        <f t="shared" si="7"/>
        <v>17.109000000000002</v>
      </c>
      <c r="E46" s="131">
        <f t="shared" si="8"/>
        <v>13.135999999999999</v>
      </c>
      <c r="F46" s="131">
        <f t="shared" si="6"/>
        <v>706.05354641807742</v>
      </c>
      <c r="G46" s="11"/>
      <c r="H46" s="11"/>
      <c r="I46" s="11"/>
    </row>
    <row r="47" spans="1:13">
      <c r="A47" s="11"/>
      <c r="B47" s="11">
        <v>35.421999999999997</v>
      </c>
      <c r="C47" s="11">
        <v>25.484999999999999</v>
      </c>
      <c r="D47" s="131">
        <f t="shared" si="7"/>
        <v>17.710999999999999</v>
      </c>
      <c r="E47" s="131">
        <f t="shared" si="8"/>
        <v>12.7425</v>
      </c>
      <c r="F47" s="131">
        <f t="shared" si="6"/>
        <v>709.00222486238454</v>
      </c>
      <c r="G47" s="11"/>
      <c r="H47" s="11"/>
      <c r="I47" s="11"/>
    </row>
    <row r="48" spans="1:13">
      <c r="A48" s="11"/>
      <c r="B48" s="11">
        <v>27.652000000000001</v>
      </c>
      <c r="C48" s="11">
        <v>18.497</v>
      </c>
      <c r="D48" s="131">
        <f t="shared" si="7"/>
        <v>13.826000000000001</v>
      </c>
      <c r="E48" s="131">
        <f t="shared" si="8"/>
        <v>9.2484999999999999</v>
      </c>
      <c r="F48" s="131">
        <f t="shared" si="6"/>
        <v>401.71470177388267</v>
      </c>
      <c r="G48" s="11"/>
      <c r="H48" s="11"/>
      <c r="I48" s="11"/>
    </row>
    <row r="49" spans="1:13">
      <c r="A49" s="11"/>
      <c r="B49" s="11">
        <v>31.452999999999999</v>
      </c>
      <c r="C49" s="11">
        <v>21.832000000000001</v>
      </c>
      <c r="D49" s="131">
        <f t="shared" si="7"/>
        <v>15.7265</v>
      </c>
      <c r="E49" s="131">
        <f t="shared" si="8"/>
        <v>10.916</v>
      </c>
      <c r="F49" s="131">
        <f t="shared" si="6"/>
        <v>539.31869995667762</v>
      </c>
      <c r="G49" s="11"/>
      <c r="H49" s="11"/>
      <c r="I49" s="11"/>
    </row>
    <row r="50" spans="1:13">
      <c r="A50" s="11"/>
      <c r="B50" s="11">
        <v>31.783999999999999</v>
      </c>
      <c r="C50" s="11">
        <v>17.620999999999999</v>
      </c>
      <c r="D50" s="131">
        <f t="shared" si="7"/>
        <v>15.891999999999999</v>
      </c>
      <c r="E50" s="131">
        <f t="shared" si="8"/>
        <v>8.8104999999999993</v>
      </c>
      <c r="F50" s="131">
        <f t="shared" si="6"/>
        <v>439.874700967205</v>
      </c>
      <c r="G50" s="11"/>
      <c r="H50" s="11"/>
      <c r="I50" s="11"/>
    </row>
    <row r="51" spans="1:13">
      <c r="A51" s="11"/>
      <c r="B51" s="11">
        <v>26.242000000000001</v>
      </c>
      <c r="C51" s="11">
        <v>22.79</v>
      </c>
      <c r="D51" s="131">
        <f t="shared" si="7"/>
        <v>13.121</v>
      </c>
      <c r="E51" s="131">
        <f t="shared" si="8"/>
        <v>11.395</v>
      </c>
      <c r="F51" s="131">
        <f t="shared" si="6"/>
        <v>469.71143998233038</v>
      </c>
      <c r="G51" s="11"/>
      <c r="H51" s="11"/>
      <c r="I51" s="11"/>
    </row>
    <row r="52" spans="1:13">
      <c r="A52" s="11"/>
      <c r="B52" s="131">
        <f>AVERAGE(B43:B51)</f>
        <v>32.63933333333334</v>
      </c>
      <c r="C52" s="131">
        <f>AVERAGE(C43:C51)</f>
        <v>25.156333333333333</v>
      </c>
      <c r="D52" s="131">
        <f>AVERAGE(D43:D51)</f>
        <v>16.31966666666667</v>
      </c>
      <c r="E52" s="131">
        <f>AVERAGE(E43:E51)</f>
        <v>12.578166666666666</v>
      </c>
      <c r="F52" s="131">
        <f>AVERAGE(F43:F51)</f>
        <v>674.55422831231863</v>
      </c>
      <c r="G52" s="142">
        <v>97</v>
      </c>
      <c r="H52" s="131">
        <f>G52*F52</f>
        <v>65431.76014629491</v>
      </c>
      <c r="I52" s="11">
        <v>467491.00099999999</v>
      </c>
      <c r="J52" s="106">
        <f>H52/I52</f>
        <v>0.13996367845868954</v>
      </c>
      <c r="K52" s="106">
        <f>J52*100</f>
        <v>13.996367845868955</v>
      </c>
      <c r="L52" s="106">
        <f>J52*33.33</f>
        <v>4.6649894030281223</v>
      </c>
      <c r="M52" s="106">
        <f>K52</f>
        <v>13.996367845868955</v>
      </c>
    </row>
    <row r="53" spans="1:13">
      <c r="A53" s="11"/>
      <c r="B53" s="11"/>
      <c r="C53" s="11"/>
      <c r="D53" s="11"/>
      <c r="E53" s="11"/>
      <c r="F53" s="11"/>
      <c r="G53" s="11"/>
      <c r="H53" s="11"/>
      <c r="I53" s="11"/>
      <c r="J53" s="11"/>
      <c r="K53" s="11"/>
      <c r="L53" s="11"/>
      <c r="M53" s="11"/>
    </row>
    <row r="54" spans="1:13">
      <c r="A54" s="29"/>
      <c r="B54" s="29"/>
      <c r="C54" s="29"/>
      <c r="D54" s="29"/>
      <c r="E54" s="29"/>
      <c r="F54" s="29"/>
      <c r="G54" s="29"/>
      <c r="H54" s="29"/>
      <c r="I54" s="29"/>
      <c r="J54" s="29"/>
      <c r="K54" s="29"/>
      <c r="L54" s="29"/>
      <c r="M54" s="29"/>
    </row>
    <row r="55" spans="1:13" ht="46" thickBot="1">
      <c r="A55" s="44" t="s">
        <v>4</v>
      </c>
      <c r="B55" s="44" t="s">
        <v>5</v>
      </c>
      <c r="C55" s="44" t="s">
        <v>100</v>
      </c>
      <c r="D55" s="44" t="s">
        <v>10</v>
      </c>
      <c r="E55" s="44" t="s">
        <v>101</v>
      </c>
      <c r="F55" s="44" t="s">
        <v>6</v>
      </c>
      <c r="G55" s="44" t="s">
        <v>7</v>
      </c>
      <c r="H55" s="44" t="s">
        <v>13</v>
      </c>
      <c r="I55" s="44" t="s">
        <v>14</v>
      </c>
      <c r="J55" s="44" t="s">
        <v>11</v>
      </c>
      <c r="K55" s="44" t="s">
        <v>9</v>
      </c>
      <c r="L55" s="44" t="s">
        <v>109</v>
      </c>
      <c r="M55" s="44" t="s">
        <v>110</v>
      </c>
    </row>
    <row r="56" spans="1:13" ht="16" thickTop="1">
      <c r="A56" s="11" t="s">
        <v>296</v>
      </c>
      <c r="B56">
        <v>56.912999999999997</v>
      </c>
      <c r="C56">
        <v>34.259</v>
      </c>
      <c r="D56" s="131">
        <f>B56/2</f>
        <v>28.456499999999998</v>
      </c>
      <c r="E56" s="131">
        <f>C56/2</f>
        <v>17.1295</v>
      </c>
      <c r="F56" s="131">
        <f>PI()*D56*E56</f>
        <v>1531.3555686063457</v>
      </c>
      <c r="G56" s="11"/>
      <c r="H56" s="11"/>
      <c r="I56" s="11"/>
    </row>
    <row r="57" spans="1:13">
      <c r="A57" s="11"/>
      <c r="B57">
        <v>40.823</v>
      </c>
      <c r="C57">
        <v>24.876000000000001</v>
      </c>
      <c r="D57" s="131">
        <f>B57/2</f>
        <v>20.4115</v>
      </c>
      <c r="E57" s="131">
        <f>C57/2</f>
        <v>12.438000000000001</v>
      </c>
      <c r="F57" s="131">
        <f t="shared" ref="F57:F63" si="9">PI()*D57*E57</f>
        <v>797.58200426552844</v>
      </c>
      <c r="G57" s="11"/>
      <c r="H57" s="11"/>
      <c r="I57" s="11"/>
    </row>
    <row r="58" spans="1:13">
      <c r="A58" s="11"/>
      <c r="B58">
        <v>49.609000000000002</v>
      </c>
      <c r="C58">
        <v>21.698</v>
      </c>
      <c r="D58" s="131">
        <f t="shared" ref="D58:D63" si="10">B58/2</f>
        <v>24.804500000000001</v>
      </c>
      <c r="E58" s="131">
        <f t="shared" ref="E58:E63" si="11">C58/2</f>
        <v>10.849</v>
      </c>
      <c r="F58" s="131">
        <f t="shared" si="9"/>
        <v>845.41521385427711</v>
      </c>
      <c r="G58" s="11"/>
      <c r="H58" s="11"/>
      <c r="I58" s="11"/>
    </row>
    <row r="59" spans="1:13">
      <c r="A59" s="11"/>
      <c r="B59">
        <v>55.418999999999997</v>
      </c>
      <c r="C59">
        <v>28.187000000000001</v>
      </c>
      <c r="D59" s="131">
        <f t="shared" si="10"/>
        <v>27.709499999999998</v>
      </c>
      <c r="E59" s="131">
        <f t="shared" si="11"/>
        <v>14.093500000000001</v>
      </c>
      <c r="F59" s="131">
        <f t="shared" si="9"/>
        <v>1226.8668212978885</v>
      </c>
      <c r="G59" s="11"/>
      <c r="H59" s="11"/>
      <c r="I59" s="11"/>
    </row>
    <row r="60" spans="1:13">
      <c r="A60" s="11"/>
      <c r="B60">
        <v>42.680999999999997</v>
      </c>
      <c r="C60">
        <v>29.478999999999999</v>
      </c>
      <c r="D60" s="131">
        <f t="shared" si="10"/>
        <v>21.340499999999999</v>
      </c>
      <c r="E60" s="131">
        <f t="shared" si="11"/>
        <v>14.7395</v>
      </c>
      <c r="F60" s="131">
        <f t="shared" si="9"/>
        <v>988.18262769376008</v>
      </c>
      <c r="G60" s="11"/>
      <c r="H60" s="11"/>
      <c r="I60" s="11"/>
    </row>
    <row r="61" spans="1:13">
      <c r="A61" s="11"/>
      <c r="B61">
        <v>46.207000000000001</v>
      </c>
      <c r="C61">
        <v>34.652999999999999</v>
      </c>
      <c r="D61" s="131">
        <f t="shared" si="10"/>
        <v>23.1035</v>
      </c>
      <c r="E61" s="131">
        <f t="shared" si="11"/>
        <v>17.326499999999999</v>
      </c>
      <c r="F61" s="131">
        <f t="shared" si="9"/>
        <v>1257.5883129148774</v>
      </c>
      <c r="G61" s="11"/>
      <c r="H61" s="11"/>
      <c r="I61" s="11"/>
    </row>
    <row r="62" spans="1:13">
      <c r="A62" s="11"/>
      <c r="B62">
        <v>57.753</v>
      </c>
      <c r="C62">
        <v>31.31</v>
      </c>
      <c r="D62" s="131">
        <f t="shared" si="10"/>
        <v>28.8765</v>
      </c>
      <c r="E62" s="131">
        <f t="shared" si="11"/>
        <v>15.654999999999999</v>
      </c>
      <c r="F62" s="131">
        <f t="shared" si="9"/>
        <v>1420.1934250919924</v>
      </c>
      <c r="G62" s="11"/>
      <c r="H62" s="11"/>
      <c r="I62" s="11"/>
    </row>
    <row r="63" spans="1:13">
      <c r="A63" s="11"/>
      <c r="B63">
        <v>43.398000000000003</v>
      </c>
      <c r="C63">
        <v>33.503</v>
      </c>
      <c r="D63" s="131">
        <f t="shared" si="10"/>
        <v>21.699000000000002</v>
      </c>
      <c r="E63" s="131">
        <f t="shared" si="11"/>
        <v>16.7515</v>
      </c>
      <c r="F63" s="131">
        <f t="shared" si="9"/>
        <v>1141.9400222150878</v>
      </c>
      <c r="G63" s="11"/>
      <c r="H63" s="11"/>
      <c r="I63" s="11"/>
    </row>
    <row r="64" spans="1:13">
      <c r="A64" s="11"/>
      <c r="B64" s="131">
        <f>AVERAGE(B56:B63)</f>
        <v>49.100375</v>
      </c>
      <c r="C64" s="131">
        <f>AVERAGE(C56:C63)</f>
        <v>29.745624999999997</v>
      </c>
      <c r="D64" s="131">
        <f>AVERAGE(D56:D63)</f>
        <v>24.5501875</v>
      </c>
      <c r="E64" s="131">
        <f>AVERAGE(E56:E63)</f>
        <v>14.872812499999998</v>
      </c>
      <c r="F64" s="131">
        <f>AVERAGE(F56:F63)</f>
        <v>1151.1404994924696</v>
      </c>
      <c r="G64" s="142">
        <v>78</v>
      </c>
      <c r="H64" s="131">
        <f>G64*F64</f>
        <v>89788.958960412638</v>
      </c>
      <c r="I64" s="11">
        <v>301929.223</v>
      </c>
      <c r="J64" s="106">
        <f>H64/I64</f>
        <v>0.29738412886391141</v>
      </c>
      <c r="K64" s="106">
        <f>J64*100</f>
        <v>29.738412886391142</v>
      </c>
      <c r="L64" s="106">
        <f>J64*33.33</f>
        <v>9.9118130150341663</v>
      </c>
      <c r="M64" s="106">
        <f>K64</f>
        <v>29.738412886391142</v>
      </c>
    </row>
    <row r="65" spans="1:13">
      <c r="A65" s="11"/>
      <c r="B65" s="11"/>
      <c r="C65" s="11"/>
      <c r="D65" s="11"/>
      <c r="E65" s="11"/>
      <c r="F65" s="11"/>
      <c r="G65" s="11"/>
      <c r="H65" s="11"/>
      <c r="I65" s="11"/>
      <c r="J65" s="11"/>
      <c r="K65" s="11"/>
      <c r="L65" s="11"/>
      <c r="M65" s="11"/>
    </row>
    <row r="66" spans="1:13">
      <c r="A66" s="11"/>
      <c r="B66" s="11"/>
      <c r="C66" s="11"/>
      <c r="D66" s="11"/>
      <c r="E66" s="11"/>
      <c r="F66" s="11"/>
      <c r="G66" s="11"/>
      <c r="H66" s="11"/>
      <c r="I66" s="11"/>
      <c r="J66" s="11"/>
      <c r="K66" s="11"/>
      <c r="L66" s="11"/>
      <c r="M66" s="11"/>
    </row>
    <row r="67" spans="1:13">
      <c r="A67" s="11"/>
      <c r="B67" s="11"/>
      <c r="C67" s="11"/>
      <c r="D67" s="11"/>
      <c r="E67" s="11"/>
      <c r="F67" s="11"/>
      <c r="G67" s="11"/>
      <c r="H67" s="11"/>
      <c r="I67" s="11"/>
      <c r="J67" s="11"/>
      <c r="K67" s="11"/>
      <c r="L67" s="11"/>
      <c r="M67" s="11"/>
    </row>
    <row r="68" spans="1:13">
      <c r="A68" s="11"/>
      <c r="B68" s="11"/>
      <c r="C68" s="11"/>
      <c r="D68" s="11"/>
      <c r="E68" s="11"/>
      <c r="F68" s="11"/>
      <c r="G68" s="11"/>
      <c r="H68" s="11"/>
      <c r="I68" s="11"/>
      <c r="J68" s="11"/>
      <c r="K68" s="11"/>
      <c r="L68" s="11"/>
      <c r="M68" s="11"/>
    </row>
    <row r="69" spans="1:13">
      <c r="A69" s="11"/>
      <c r="B69" s="11"/>
      <c r="C69" s="11"/>
      <c r="D69" s="11"/>
      <c r="E69" s="11"/>
      <c r="F69" s="11"/>
      <c r="G69" s="11"/>
      <c r="H69" s="11"/>
      <c r="I69" s="11"/>
      <c r="J69" s="11"/>
      <c r="K69" s="11"/>
      <c r="L69" s="11"/>
      <c r="M69" s="11"/>
    </row>
    <row r="70" spans="1:13">
      <c r="A70" s="11"/>
      <c r="B70" s="11"/>
      <c r="C70" s="11"/>
      <c r="D70" s="11"/>
      <c r="E70" s="11"/>
      <c r="F70" s="11"/>
      <c r="G70" s="11"/>
      <c r="H70" s="11"/>
      <c r="I70" s="11"/>
      <c r="J70" s="11"/>
      <c r="K70" s="11"/>
      <c r="L70" s="11"/>
      <c r="M70" s="11"/>
    </row>
    <row r="71" spans="1:13">
      <c r="A71" s="11"/>
      <c r="B71" s="11"/>
      <c r="C71" s="11"/>
      <c r="D71" s="11"/>
      <c r="E71" s="11"/>
      <c r="F71" s="11"/>
      <c r="G71" s="11"/>
      <c r="H71" s="11"/>
      <c r="I71" s="11"/>
      <c r="J71" s="11"/>
      <c r="K71" s="11"/>
      <c r="L71" s="11"/>
      <c r="M71" s="11"/>
    </row>
    <row r="72" spans="1:13">
      <c r="A72" s="11"/>
      <c r="B72" s="11"/>
      <c r="C72" s="11"/>
      <c r="D72" s="11"/>
      <c r="E72" s="11"/>
      <c r="F72" s="11"/>
      <c r="G72" s="11"/>
      <c r="H72" s="11"/>
      <c r="I72" s="11"/>
      <c r="J72" s="11"/>
      <c r="K72" s="11"/>
      <c r="L72" s="11"/>
      <c r="M72" s="11"/>
    </row>
    <row r="73" spans="1:13">
      <c r="A73" s="11"/>
      <c r="B73" s="11"/>
      <c r="C73" s="11"/>
      <c r="D73" s="11"/>
      <c r="E73" s="11"/>
      <c r="F73" s="11"/>
      <c r="G73" s="11"/>
      <c r="H73" s="11"/>
      <c r="I73" s="11"/>
      <c r="J73" s="11"/>
      <c r="K73" s="11"/>
      <c r="L73" s="11"/>
      <c r="M73" s="11"/>
    </row>
    <row r="74" spans="1:13">
      <c r="A74" s="11"/>
      <c r="B74" s="11"/>
      <c r="C74" s="11"/>
      <c r="D74" s="11"/>
      <c r="E74" s="11"/>
      <c r="F74" s="11"/>
      <c r="G74" s="11"/>
      <c r="H74" s="11"/>
      <c r="I74" s="11"/>
    </row>
    <row r="75" spans="1:13">
      <c r="A75" s="11"/>
      <c r="B75" s="11"/>
      <c r="C75" s="11"/>
      <c r="D75" s="11"/>
      <c r="E75" s="11"/>
      <c r="F75" s="11"/>
      <c r="G75" s="11"/>
      <c r="H75" s="11"/>
      <c r="I75" s="11"/>
    </row>
    <row r="76" spans="1:13">
      <c r="A76" s="11"/>
      <c r="B76" s="11"/>
      <c r="C76" s="11"/>
      <c r="D76" s="11"/>
      <c r="E76" s="11"/>
      <c r="F76" s="33"/>
      <c r="G76" s="33"/>
      <c r="H76" s="33"/>
      <c r="I76" s="33"/>
    </row>
    <row r="77" spans="1:13">
      <c r="A77" s="11"/>
      <c r="B77" s="11"/>
      <c r="C77" s="11"/>
      <c r="D77" s="11"/>
      <c r="E77" s="11"/>
      <c r="F77" s="11"/>
      <c r="G77" s="11"/>
      <c r="H77" s="11"/>
      <c r="I77" s="11"/>
    </row>
    <row r="78" spans="1:13">
      <c r="A78" s="11"/>
      <c r="B78" s="11"/>
      <c r="C78" s="11"/>
      <c r="D78" s="11"/>
      <c r="E78" s="11"/>
      <c r="F78" s="11"/>
      <c r="G78" s="11"/>
      <c r="H78" s="11"/>
      <c r="I78" s="11"/>
    </row>
    <row r="79" spans="1:13">
      <c r="A79" s="11"/>
      <c r="B79" s="11"/>
      <c r="C79" s="11"/>
      <c r="D79" s="11"/>
      <c r="E79" s="11"/>
      <c r="F79" s="11"/>
      <c r="G79" s="11"/>
      <c r="H79" s="11"/>
      <c r="I79" s="11"/>
    </row>
    <row r="80" spans="1:13">
      <c r="A80" s="11"/>
      <c r="B80" s="11"/>
      <c r="C80" s="11"/>
      <c r="D80" s="11"/>
      <c r="E80" s="11"/>
      <c r="F80" s="11"/>
      <c r="G80" s="11"/>
      <c r="H80" s="11"/>
      <c r="I80" s="11"/>
    </row>
    <row r="81" spans="1:9">
      <c r="A81" s="11"/>
      <c r="B81" s="11"/>
      <c r="C81" s="11"/>
      <c r="D81" s="11"/>
      <c r="E81" s="11"/>
      <c r="F81" s="11"/>
      <c r="G81" s="11"/>
      <c r="H81" s="11"/>
      <c r="I81" s="11"/>
    </row>
    <row r="82" spans="1:9">
      <c r="A82" s="11"/>
      <c r="B82" s="11"/>
      <c r="C82" s="11"/>
      <c r="D82" s="11"/>
      <c r="E82" s="11"/>
      <c r="F82" s="11"/>
      <c r="G82" s="11"/>
      <c r="H82" s="11"/>
      <c r="I82" s="11"/>
    </row>
    <row r="83" spans="1:9">
      <c r="A83" s="11"/>
      <c r="B83" s="11"/>
      <c r="C83" s="11"/>
      <c r="D83" s="11"/>
      <c r="E83" s="11"/>
      <c r="F83" s="11"/>
      <c r="G83" s="11"/>
      <c r="H83" s="11"/>
      <c r="I83" s="11"/>
    </row>
    <row r="84" spans="1:9">
      <c r="A84" s="11"/>
      <c r="B84" s="11"/>
      <c r="C84" s="11"/>
      <c r="D84" s="11"/>
      <c r="E84" s="11"/>
      <c r="F84" s="11"/>
      <c r="G84" s="11"/>
      <c r="H84" s="11"/>
      <c r="I84" s="11"/>
    </row>
    <row r="85" spans="1:9">
      <c r="A85" s="11"/>
      <c r="B85" s="11"/>
      <c r="C85" s="11"/>
      <c r="D85" s="11"/>
      <c r="E85" s="11"/>
      <c r="F85" s="11"/>
      <c r="G85" s="11"/>
      <c r="H85" s="11"/>
      <c r="I85" s="11"/>
    </row>
    <row r="86" spans="1:9">
      <c r="A86" s="11"/>
      <c r="B86" s="11"/>
      <c r="C86" s="11"/>
      <c r="D86" s="11"/>
      <c r="E86" s="11"/>
      <c r="F86" s="11"/>
      <c r="G86" s="11"/>
      <c r="H86" s="11"/>
      <c r="I86" s="11"/>
    </row>
    <row r="87" spans="1:9">
      <c r="A87" s="11"/>
      <c r="B87" s="11"/>
      <c r="C87" s="11"/>
      <c r="D87" s="11"/>
      <c r="E87" s="11"/>
      <c r="F87" s="11"/>
      <c r="G87" s="11"/>
      <c r="H87" s="11"/>
      <c r="I87" s="11"/>
    </row>
    <row r="88" spans="1:9">
      <c r="A88" s="11"/>
      <c r="B88" s="11"/>
      <c r="C88" s="11"/>
      <c r="D88" s="11"/>
      <c r="E88" s="11"/>
      <c r="F88" s="11"/>
      <c r="G88" s="11"/>
      <c r="H88" s="11"/>
      <c r="I88" s="11"/>
    </row>
    <row r="89" spans="1:9">
      <c r="A89" s="11"/>
      <c r="B89" s="11"/>
      <c r="C89" s="11"/>
      <c r="D89" s="11"/>
      <c r="E89" s="11"/>
      <c r="F89" s="33"/>
      <c r="G89" s="33"/>
      <c r="H89" s="33"/>
      <c r="I89" s="33"/>
    </row>
    <row r="90" spans="1:9">
      <c r="A90" s="11"/>
      <c r="B90" s="11"/>
      <c r="C90" s="11"/>
      <c r="D90" s="11"/>
      <c r="E90" s="11"/>
      <c r="F90" s="11"/>
      <c r="G90" s="11"/>
      <c r="H90" s="11"/>
      <c r="I90" s="11"/>
    </row>
    <row r="91" spans="1:9">
      <c r="A91" s="11"/>
      <c r="B91" s="11"/>
      <c r="C91" s="11"/>
      <c r="D91" s="11"/>
      <c r="E91" s="11"/>
      <c r="F91" s="11"/>
      <c r="G91" s="11"/>
      <c r="H91" s="11"/>
      <c r="I91" s="11"/>
    </row>
    <row r="92" spans="1:9">
      <c r="A92" s="11"/>
      <c r="B92" s="11"/>
      <c r="C92" s="11"/>
      <c r="D92" s="11"/>
      <c r="E92" s="11"/>
      <c r="F92" s="11"/>
      <c r="G92" s="11"/>
      <c r="H92" s="11"/>
      <c r="I92" s="11"/>
    </row>
    <row r="93" spans="1:9">
      <c r="A93" s="11"/>
      <c r="B93" s="11"/>
      <c r="C93" s="11"/>
      <c r="D93" s="11"/>
      <c r="E93" s="11"/>
      <c r="F93" s="11"/>
      <c r="G93" s="11"/>
      <c r="H93" s="11"/>
      <c r="I93" s="11"/>
    </row>
    <row r="94" spans="1:9">
      <c r="A94" s="11"/>
      <c r="B94" s="11"/>
      <c r="C94" s="11"/>
      <c r="D94" s="11"/>
      <c r="E94" s="11"/>
      <c r="F94" s="11"/>
      <c r="G94" s="11"/>
      <c r="H94" s="11"/>
      <c r="I94" s="11"/>
    </row>
    <row r="95" spans="1:9">
      <c r="A95" s="11"/>
      <c r="B95" s="11"/>
      <c r="C95" s="11"/>
      <c r="D95" s="11"/>
      <c r="E95" s="11"/>
      <c r="F95" s="11"/>
      <c r="G95" s="11"/>
      <c r="H95" s="11"/>
      <c r="I95" s="11"/>
    </row>
    <row r="96" spans="1:9">
      <c r="A96" s="11"/>
      <c r="B96" s="11"/>
      <c r="C96" s="11"/>
      <c r="D96" s="11"/>
      <c r="E96" s="11"/>
      <c r="F96" s="11"/>
      <c r="G96" s="11"/>
      <c r="H96" s="11"/>
      <c r="I96" s="11"/>
    </row>
    <row r="97" spans="1:9">
      <c r="A97" s="11"/>
      <c r="B97" s="11"/>
      <c r="C97" s="11"/>
      <c r="D97" s="11"/>
      <c r="E97" s="11"/>
      <c r="F97" s="11"/>
      <c r="G97" s="11"/>
      <c r="H97" s="11"/>
      <c r="I97" s="11"/>
    </row>
    <row r="98" spans="1:9">
      <c r="A98" s="11"/>
      <c r="B98" s="11"/>
      <c r="C98" s="11"/>
      <c r="D98" s="11"/>
      <c r="E98" s="11"/>
      <c r="F98" s="11"/>
      <c r="G98" s="11"/>
      <c r="H98" s="11"/>
      <c r="I98" s="11"/>
    </row>
    <row r="99" spans="1:9">
      <c r="A99" s="11"/>
      <c r="B99" s="11"/>
      <c r="C99" s="11"/>
      <c r="D99" s="11"/>
      <c r="E99" s="11"/>
      <c r="F99" s="11"/>
      <c r="G99" s="11"/>
      <c r="H99" s="11"/>
      <c r="I99" s="11"/>
    </row>
    <row r="100" spans="1:9">
      <c r="A100" s="11"/>
      <c r="B100" s="11"/>
      <c r="C100" s="11"/>
      <c r="D100" s="11"/>
      <c r="E100" s="11"/>
      <c r="F100" s="11"/>
      <c r="G100" s="11"/>
      <c r="H100" s="11"/>
      <c r="I100" s="11"/>
    </row>
    <row r="101" spans="1:9">
      <c r="A101" s="11"/>
      <c r="B101" s="11"/>
      <c r="C101" s="11"/>
      <c r="D101" s="11"/>
      <c r="E101" s="11"/>
      <c r="F101" s="11"/>
      <c r="G101" s="11"/>
      <c r="H101" s="11"/>
      <c r="I101" s="11"/>
    </row>
    <row r="102" spans="1:9">
      <c r="A102" s="11"/>
      <c r="B102" s="11"/>
      <c r="C102" s="11"/>
      <c r="D102" s="11"/>
      <c r="E102" s="11"/>
      <c r="F102" s="33"/>
      <c r="G102" s="33"/>
      <c r="H102" s="33"/>
      <c r="I102" s="33"/>
    </row>
    <row r="103" spans="1:9">
      <c r="A103" s="11"/>
      <c r="B103" s="11"/>
      <c r="C103" s="11"/>
      <c r="D103" s="11"/>
      <c r="E103" s="11"/>
      <c r="F103" s="11"/>
      <c r="G103" s="11"/>
      <c r="H103" s="11"/>
      <c r="I103" s="11"/>
    </row>
    <row r="104" spans="1:9">
      <c r="A104" s="33"/>
      <c r="B104" s="33"/>
      <c r="C104" s="33"/>
      <c r="D104" s="33"/>
      <c r="E104" s="33"/>
      <c r="F104" s="33"/>
      <c r="G104" s="33"/>
      <c r="H104" s="33"/>
      <c r="I104" s="33"/>
    </row>
    <row r="105" spans="1:9">
      <c r="A105" s="11"/>
      <c r="B105" s="11"/>
      <c r="C105" s="11"/>
      <c r="D105" s="11"/>
      <c r="E105" s="11"/>
      <c r="F105" s="11"/>
      <c r="G105" s="11"/>
      <c r="H105" s="11"/>
      <c r="I105" s="11"/>
    </row>
    <row r="106" spans="1:9">
      <c r="A106" s="11"/>
      <c r="B106" s="11"/>
      <c r="C106" s="11"/>
      <c r="D106" s="11"/>
      <c r="E106" s="11"/>
      <c r="F106" s="11"/>
      <c r="G106" s="11"/>
      <c r="H106" s="11"/>
      <c r="I106" s="11"/>
    </row>
    <row r="107" spans="1:9">
      <c r="A107" s="11"/>
      <c r="B107" s="11"/>
      <c r="C107" s="11"/>
      <c r="D107" s="11"/>
      <c r="E107" s="11"/>
      <c r="F107" s="11"/>
      <c r="G107" s="11"/>
      <c r="H107" s="11"/>
      <c r="I107" s="11"/>
    </row>
    <row r="108" spans="1:9">
      <c r="A108" s="11"/>
      <c r="B108" s="11"/>
      <c r="C108" s="11"/>
      <c r="D108" s="11"/>
      <c r="E108" s="11"/>
      <c r="F108" s="11"/>
      <c r="G108" s="11"/>
      <c r="H108" s="11"/>
      <c r="I108" s="11"/>
    </row>
    <row r="109" spans="1:9">
      <c r="A109" s="11"/>
      <c r="B109" s="11"/>
      <c r="C109" s="11"/>
      <c r="D109" s="11"/>
      <c r="E109" s="11"/>
      <c r="F109" s="11"/>
      <c r="G109" s="11"/>
      <c r="H109" s="11"/>
      <c r="I109" s="11"/>
    </row>
    <row r="110" spans="1:9">
      <c r="A110" s="11"/>
      <c r="B110" s="11"/>
      <c r="C110" s="11"/>
      <c r="D110" s="11"/>
      <c r="E110" s="11"/>
      <c r="F110" s="11"/>
      <c r="G110" s="11"/>
      <c r="H110" s="11"/>
      <c r="I110" s="11"/>
    </row>
    <row r="111" spans="1:9">
      <c r="A111" s="11"/>
      <c r="B111" s="11"/>
      <c r="C111" s="11"/>
      <c r="D111" s="11"/>
      <c r="E111" s="11"/>
      <c r="F111" s="11"/>
      <c r="G111" s="11"/>
      <c r="H111" s="11"/>
      <c r="I111" s="11"/>
    </row>
    <row r="112" spans="1:9">
      <c r="A112" s="11"/>
      <c r="B112" s="11"/>
      <c r="C112" s="11"/>
      <c r="D112" s="11"/>
      <c r="E112" s="11"/>
      <c r="F112" s="11"/>
      <c r="G112" s="11"/>
      <c r="H112" s="11"/>
      <c r="I112" s="11"/>
    </row>
    <row r="113" spans="1:9">
      <c r="A113" s="11"/>
      <c r="B113" s="11"/>
      <c r="C113" s="11"/>
      <c r="D113" s="11"/>
      <c r="E113" s="11"/>
      <c r="F113" s="11"/>
      <c r="G113" s="11"/>
      <c r="H113" s="11"/>
      <c r="I113" s="11"/>
    </row>
    <row r="114" spans="1:9">
      <c r="A114" s="11"/>
      <c r="B114" s="11"/>
      <c r="C114" s="11"/>
      <c r="D114" s="11"/>
      <c r="E114" s="11"/>
      <c r="F114" s="11"/>
      <c r="G114" s="11"/>
      <c r="H114" s="11"/>
      <c r="I114" s="11"/>
    </row>
    <row r="115" spans="1:9">
      <c r="A115" s="11"/>
      <c r="B115" s="11"/>
      <c r="C115" s="11"/>
      <c r="D115" s="11"/>
      <c r="E115" s="11"/>
      <c r="F115" s="11"/>
      <c r="G115" s="11"/>
      <c r="H115" s="11"/>
      <c r="I115" s="11"/>
    </row>
    <row r="116" spans="1:9">
      <c r="A116" s="11"/>
      <c r="B116" s="11"/>
      <c r="C116" s="11"/>
      <c r="D116" s="11"/>
      <c r="E116" s="11"/>
      <c r="F116" s="33"/>
      <c r="G116" s="11"/>
      <c r="H116" s="11"/>
      <c r="I116" s="11"/>
    </row>
    <row r="117" spans="1:9">
      <c r="A117" s="11"/>
      <c r="B117" s="11"/>
      <c r="C117" s="11"/>
      <c r="D117" s="11"/>
      <c r="E117" s="11"/>
      <c r="F117" s="11"/>
      <c r="G117" s="11"/>
      <c r="H117" s="11"/>
      <c r="I117" s="11"/>
    </row>
    <row r="118" spans="1:9">
      <c r="A118" s="11"/>
      <c r="B118" s="11"/>
      <c r="C118" s="11"/>
      <c r="D118" s="11"/>
      <c r="E118" s="11"/>
      <c r="F118" s="11"/>
      <c r="G118" s="11"/>
      <c r="H118" s="11"/>
      <c r="I118" s="11"/>
    </row>
    <row r="119" spans="1:9">
      <c r="A119" s="11"/>
      <c r="B119" s="11"/>
      <c r="C119" s="11"/>
      <c r="D119" s="11"/>
      <c r="E119" s="11"/>
      <c r="F119" s="11"/>
      <c r="G119" s="11"/>
      <c r="H119" s="11"/>
      <c r="I119" s="11"/>
    </row>
    <row r="120" spans="1:9">
      <c r="A120" s="11"/>
      <c r="B120" s="11"/>
      <c r="C120" s="11"/>
      <c r="D120" s="11"/>
      <c r="E120" s="11"/>
      <c r="F120" s="11"/>
      <c r="G120" s="11"/>
      <c r="H120" s="11"/>
      <c r="I120" s="11"/>
    </row>
    <row r="121" spans="1:9">
      <c r="A121" s="11"/>
      <c r="B121" s="11"/>
      <c r="C121" s="11"/>
      <c r="D121" s="11"/>
      <c r="E121" s="11"/>
      <c r="F121" s="11"/>
      <c r="G121" s="11"/>
      <c r="H121" s="11"/>
      <c r="I121" s="11"/>
    </row>
    <row r="122" spans="1:9">
      <c r="A122" s="11"/>
      <c r="B122" s="11"/>
      <c r="C122" s="11"/>
      <c r="D122" s="11"/>
      <c r="E122" s="11"/>
      <c r="F122" s="11"/>
      <c r="G122" s="11"/>
      <c r="H122" s="11"/>
      <c r="I122" s="11"/>
    </row>
    <row r="123" spans="1:9">
      <c r="A123" s="11"/>
      <c r="B123" s="11"/>
      <c r="C123" s="11"/>
      <c r="D123" s="11"/>
      <c r="E123" s="11"/>
      <c r="F123" s="11"/>
      <c r="G123" s="11"/>
      <c r="H123" s="11"/>
      <c r="I123" s="11"/>
    </row>
    <row r="124" spans="1:9">
      <c r="A124" s="11"/>
      <c r="B124" s="11"/>
      <c r="C124" s="11"/>
      <c r="D124" s="11"/>
      <c r="E124" s="11"/>
      <c r="F124" s="11"/>
      <c r="G124" s="11"/>
      <c r="H124" s="11"/>
      <c r="I124" s="11"/>
    </row>
    <row r="125" spans="1:9">
      <c r="A125" s="11"/>
      <c r="B125" s="11"/>
      <c r="C125" s="11"/>
      <c r="D125" s="11"/>
      <c r="E125" s="11"/>
      <c r="F125" s="11"/>
      <c r="G125" s="11"/>
      <c r="H125" s="11"/>
      <c r="I125" s="11"/>
    </row>
    <row r="126" spans="1:9">
      <c r="A126" s="11"/>
      <c r="B126" s="11"/>
      <c r="C126" s="11"/>
      <c r="D126" s="11"/>
      <c r="E126" s="11"/>
      <c r="F126" s="11"/>
      <c r="G126" s="11"/>
      <c r="H126" s="11"/>
      <c r="I126" s="11"/>
    </row>
    <row r="127" spans="1:9">
      <c r="A127" s="11"/>
      <c r="B127" s="11"/>
      <c r="C127" s="11"/>
      <c r="D127" s="11"/>
      <c r="E127" s="11"/>
      <c r="F127" s="11"/>
      <c r="G127" s="11"/>
      <c r="H127" s="11"/>
      <c r="I127" s="11"/>
    </row>
    <row r="128" spans="1:9">
      <c r="A128" s="11"/>
      <c r="B128" s="11"/>
      <c r="C128" s="11"/>
      <c r="D128" s="11"/>
      <c r="E128" s="11"/>
      <c r="F128" s="11"/>
      <c r="G128" s="11"/>
      <c r="H128" s="11"/>
      <c r="I128" s="11"/>
    </row>
    <row r="129" spans="1:9">
      <c r="A129" s="11"/>
      <c r="B129" s="11"/>
      <c r="C129" s="11"/>
      <c r="D129" s="11"/>
      <c r="E129" s="11"/>
      <c r="F129" s="11"/>
      <c r="G129" s="11"/>
      <c r="H129" s="11"/>
      <c r="I129" s="11"/>
    </row>
    <row r="130" spans="1:9">
      <c r="A130" s="11"/>
      <c r="B130" s="11"/>
      <c r="C130" s="11"/>
      <c r="D130" s="11"/>
      <c r="E130" s="11"/>
      <c r="F130" s="11"/>
      <c r="G130" s="11"/>
      <c r="H130" s="11"/>
      <c r="I130" s="11"/>
    </row>
    <row r="131" spans="1:9">
      <c r="A131" s="11"/>
      <c r="B131" s="11"/>
      <c r="C131" s="11"/>
      <c r="D131" s="11"/>
      <c r="E131" s="11"/>
      <c r="F131" s="11"/>
      <c r="G131" s="11"/>
      <c r="H131" s="11"/>
      <c r="I131" s="11"/>
    </row>
    <row r="132" spans="1:9">
      <c r="A132" s="11"/>
      <c r="B132" s="11"/>
      <c r="C132" s="11"/>
      <c r="D132" s="11"/>
      <c r="E132" s="11"/>
      <c r="F132" s="11"/>
      <c r="G132" s="11"/>
      <c r="H132" s="11"/>
      <c r="I132" s="11"/>
    </row>
    <row r="133" spans="1:9">
      <c r="A133" s="11"/>
      <c r="B133" s="11"/>
      <c r="C133" s="11"/>
      <c r="D133" s="11"/>
      <c r="E133" s="11"/>
      <c r="F133" s="11"/>
      <c r="G133" s="11"/>
      <c r="H133" s="11"/>
      <c r="I133" s="11"/>
    </row>
    <row r="134" spans="1:9">
      <c r="A134" s="11"/>
      <c r="B134" s="11"/>
      <c r="C134" s="11"/>
      <c r="D134" s="11"/>
      <c r="E134" s="11"/>
      <c r="F134" s="11"/>
      <c r="G134" s="11"/>
      <c r="H134" s="11"/>
      <c r="I134" s="11"/>
    </row>
    <row r="135" spans="1:9">
      <c r="A135" s="11"/>
      <c r="B135" s="11"/>
      <c r="C135" s="11"/>
      <c r="D135" s="11"/>
      <c r="E135" s="11"/>
      <c r="F135" s="11"/>
      <c r="G135" s="11"/>
      <c r="H135" s="11"/>
      <c r="I135" s="11"/>
    </row>
    <row r="136" spans="1:9">
      <c r="A136" s="11"/>
      <c r="B136" s="11"/>
      <c r="C136" s="11"/>
      <c r="D136" s="11"/>
      <c r="E136" s="11"/>
      <c r="F136" s="11"/>
      <c r="G136" s="11"/>
      <c r="H136" s="11"/>
      <c r="I136" s="11"/>
    </row>
    <row r="137" spans="1:9">
      <c r="A137" s="11"/>
      <c r="B137" s="11"/>
      <c r="C137" s="11"/>
      <c r="D137" s="11"/>
      <c r="E137" s="11"/>
      <c r="F137" s="33"/>
      <c r="G137" s="11"/>
      <c r="H137" s="11"/>
      <c r="I137" s="11"/>
    </row>
    <row r="138" spans="1:9">
      <c r="A138" s="11"/>
      <c r="B138" s="11"/>
      <c r="C138" s="11"/>
      <c r="D138" s="11"/>
      <c r="E138" s="11"/>
      <c r="F138" s="11"/>
      <c r="G138" s="11"/>
      <c r="H138" s="11"/>
      <c r="I138" s="11"/>
    </row>
    <row r="139" spans="1:9">
      <c r="A139" s="11"/>
      <c r="B139" s="11"/>
      <c r="C139" s="11"/>
      <c r="D139" s="11"/>
      <c r="E139" s="11"/>
      <c r="F139" s="11"/>
      <c r="G139" s="11"/>
      <c r="H139" s="11"/>
      <c r="I139" s="11"/>
    </row>
    <row r="140" spans="1:9">
      <c r="A140" s="91"/>
      <c r="B140" s="11"/>
      <c r="C140" s="11"/>
      <c r="D140" s="11"/>
      <c r="E140" s="11"/>
      <c r="F140" s="11"/>
      <c r="G140" s="11"/>
      <c r="H140" s="11"/>
      <c r="I140" s="11"/>
    </row>
    <row r="141" spans="1:9">
      <c r="A141" s="91"/>
      <c r="B141" s="11"/>
      <c r="C141" s="11"/>
      <c r="D141" s="11"/>
      <c r="E141" s="11"/>
      <c r="F141" s="11"/>
      <c r="G141" s="11"/>
      <c r="H141" s="11"/>
      <c r="I141" s="11"/>
    </row>
    <row r="142" spans="1:9">
      <c r="A142" s="91"/>
      <c r="B142" s="11"/>
      <c r="C142" s="11"/>
      <c r="D142" s="11"/>
      <c r="E142" s="11"/>
      <c r="F142" s="11"/>
      <c r="G142" s="11"/>
      <c r="H142" s="11"/>
      <c r="I142" s="11"/>
    </row>
    <row r="143" spans="1:9">
      <c r="A143" s="91"/>
      <c r="B143" s="11"/>
      <c r="C143" s="11"/>
      <c r="D143" s="11"/>
      <c r="E143" s="11"/>
      <c r="F143" s="11"/>
      <c r="G143" s="11"/>
      <c r="H143" s="11"/>
      <c r="I143" s="11"/>
    </row>
    <row r="144" spans="1:9">
      <c r="A144" s="91"/>
      <c r="B144" s="11"/>
      <c r="C144" s="11"/>
      <c r="D144" s="11"/>
      <c r="E144" s="11"/>
      <c r="F144" s="11"/>
      <c r="G144" s="11"/>
      <c r="H144" s="11"/>
      <c r="I144" s="11"/>
    </row>
    <row r="145" spans="1:9">
      <c r="A145" s="91"/>
      <c r="B145" s="11"/>
      <c r="C145" s="11"/>
      <c r="D145" s="11"/>
      <c r="E145" s="11"/>
      <c r="F145" s="11"/>
      <c r="G145" s="11"/>
      <c r="H145" s="11"/>
      <c r="I145" s="11"/>
    </row>
    <row r="146" spans="1:9">
      <c r="A146" s="91"/>
      <c r="B146" s="11"/>
      <c r="C146" s="11"/>
      <c r="D146" s="11"/>
      <c r="E146" s="11"/>
      <c r="F146" s="11"/>
      <c r="G146" s="11"/>
      <c r="H146" s="11"/>
      <c r="I146" s="11"/>
    </row>
    <row r="147" spans="1:9">
      <c r="A147" s="91"/>
      <c r="B147" s="11"/>
      <c r="C147" s="11"/>
      <c r="D147" s="11"/>
      <c r="E147" s="11"/>
      <c r="F147" s="11"/>
      <c r="G147" s="11"/>
      <c r="H147" s="11"/>
      <c r="I147" s="11"/>
    </row>
    <row r="148" spans="1:9">
      <c r="A148" s="91"/>
      <c r="B148" s="11"/>
      <c r="C148" s="11"/>
      <c r="D148" s="11"/>
      <c r="E148" s="11"/>
      <c r="F148" s="11"/>
      <c r="G148" s="11"/>
      <c r="H148" s="11"/>
      <c r="I148" s="11"/>
    </row>
    <row r="149" spans="1:9">
      <c r="A149" s="91"/>
      <c r="B149" s="11"/>
      <c r="C149" s="11"/>
      <c r="D149" s="11"/>
      <c r="E149" s="11"/>
      <c r="F149" s="11"/>
      <c r="G149" s="11"/>
      <c r="H149" s="11"/>
      <c r="I149" s="11"/>
    </row>
    <row r="150" spans="1:9">
      <c r="A150" s="91"/>
      <c r="B150" s="11"/>
      <c r="C150" s="11"/>
      <c r="D150" s="11"/>
      <c r="E150" s="11"/>
      <c r="F150" s="11"/>
      <c r="G150" s="11"/>
      <c r="H150" s="11"/>
      <c r="I150" s="11"/>
    </row>
    <row r="151" spans="1:9">
      <c r="A151" s="91"/>
      <c r="B151" s="11"/>
      <c r="C151" s="11"/>
      <c r="D151" s="11"/>
      <c r="E151" s="11"/>
      <c r="F151" s="11"/>
      <c r="G151" s="11"/>
      <c r="H151" s="11"/>
      <c r="I151" s="11"/>
    </row>
    <row r="152" spans="1:9">
      <c r="A152" s="91"/>
      <c r="B152" s="11"/>
      <c r="C152" s="11"/>
      <c r="D152" s="11"/>
      <c r="E152" s="11"/>
      <c r="F152" s="11"/>
      <c r="G152" s="11"/>
      <c r="H152" s="11"/>
      <c r="I152" s="11"/>
    </row>
    <row r="153" spans="1:9">
      <c r="A153" s="91"/>
      <c r="B153" s="11"/>
      <c r="C153" s="11"/>
      <c r="D153" s="11"/>
      <c r="E153" s="11"/>
      <c r="F153" s="11"/>
      <c r="G153" s="11"/>
      <c r="H153" s="11"/>
      <c r="I153" s="11"/>
    </row>
    <row r="154" spans="1:9">
      <c r="A154" s="91"/>
      <c r="B154" s="11"/>
      <c r="C154" s="11"/>
      <c r="D154" s="11"/>
      <c r="E154" s="11"/>
      <c r="F154" s="11"/>
      <c r="G154" s="11"/>
      <c r="H154" s="11"/>
      <c r="I154" s="11"/>
    </row>
    <row r="155" spans="1:9">
      <c r="A155" s="91"/>
      <c r="B155" s="11"/>
      <c r="C155" s="11"/>
      <c r="D155" s="11"/>
      <c r="E155" s="11"/>
      <c r="F155" s="11"/>
      <c r="G155" s="11"/>
      <c r="H155" s="11"/>
      <c r="I155" s="11"/>
    </row>
    <row r="156" spans="1:9">
      <c r="A156" s="91"/>
      <c r="B156" s="11"/>
      <c r="C156" s="11"/>
      <c r="D156" s="11"/>
      <c r="E156" s="11"/>
      <c r="F156" s="11"/>
      <c r="G156" s="11"/>
      <c r="H156" s="11"/>
      <c r="I156" s="11"/>
    </row>
    <row r="157" spans="1:9">
      <c r="A157" s="91"/>
      <c r="B157" s="11"/>
      <c r="C157" s="11"/>
      <c r="D157" s="11"/>
      <c r="E157" s="11"/>
      <c r="F157" s="11"/>
      <c r="G157" s="11"/>
      <c r="H157" s="11"/>
      <c r="I157" s="11"/>
    </row>
    <row r="158" spans="1:9">
      <c r="A158" s="91"/>
      <c r="B158" s="11"/>
      <c r="C158" s="11"/>
      <c r="D158" s="11"/>
      <c r="E158" s="11"/>
      <c r="F158" s="11"/>
      <c r="G158" s="11"/>
      <c r="H158" s="11"/>
      <c r="I158" s="11"/>
    </row>
    <row r="159" spans="1:9">
      <c r="A159" s="91"/>
      <c r="B159" s="11"/>
      <c r="C159" s="11"/>
      <c r="D159" s="11"/>
      <c r="E159" s="11"/>
      <c r="F159" s="11"/>
      <c r="G159" s="11"/>
      <c r="H159" s="11"/>
      <c r="I159" s="11"/>
    </row>
    <row r="160" spans="1:9">
      <c r="A160" s="91"/>
      <c r="B160" s="11"/>
      <c r="C160" s="11"/>
      <c r="D160" s="11"/>
      <c r="E160" s="11"/>
      <c r="F160" s="11"/>
      <c r="G160" s="11"/>
      <c r="H160" s="11"/>
      <c r="I160" s="11"/>
    </row>
    <row r="161" spans="1:9">
      <c r="A161" s="91"/>
      <c r="B161" s="11"/>
      <c r="C161" s="11"/>
      <c r="D161" s="11"/>
      <c r="E161" s="11"/>
      <c r="F161" s="11"/>
      <c r="G161" s="11"/>
      <c r="H161" s="11"/>
      <c r="I161" s="11"/>
    </row>
    <row r="162" spans="1:9">
      <c r="A162" s="91"/>
      <c r="B162" s="11"/>
      <c r="C162" s="11"/>
      <c r="D162" s="11"/>
      <c r="E162" s="11"/>
      <c r="F162" s="11"/>
      <c r="G162" s="11"/>
      <c r="H162" s="11"/>
      <c r="I162" s="11"/>
    </row>
    <row r="163" spans="1:9">
      <c r="A163" s="91"/>
      <c r="B163" s="11"/>
      <c r="C163" s="11"/>
      <c r="D163" s="11"/>
      <c r="E163" s="11"/>
      <c r="F163" s="11"/>
      <c r="G163" s="11"/>
      <c r="H163" s="11"/>
      <c r="I163" s="11"/>
    </row>
    <row r="164" spans="1:9">
      <c r="A164" s="91"/>
      <c r="B164" s="11"/>
      <c r="C164" s="11"/>
      <c r="D164" s="11"/>
      <c r="E164" s="11"/>
      <c r="F164" s="11"/>
      <c r="G164" s="11"/>
      <c r="H164" s="11"/>
      <c r="I164" s="11"/>
    </row>
    <row r="165" spans="1:9">
      <c r="A165" s="91"/>
      <c r="B165" s="11"/>
      <c r="C165" s="11"/>
      <c r="D165" s="11"/>
      <c r="E165" s="11"/>
      <c r="F165" s="11"/>
      <c r="G165" s="11"/>
      <c r="H165" s="11"/>
      <c r="I165" s="11"/>
    </row>
    <row r="166" spans="1:9">
      <c r="A166" s="91"/>
      <c r="B166" s="11"/>
      <c r="C166" s="11"/>
      <c r="D166" s="11"/>
      <c r="E166" s="11"/>
      <c r="F166" s="11"/>
      <c r="G166" s="11"/>
      <c r="H166" s="11"/>
      <c r="I166" s="11"/>
    </row>
    <row r="167" spans="1:9">
      <c r="A167" s="91"/>
      <c r="B167" s="11"/>
      <c r="C167" s="11"/>
      <c r="D167" s="11"/>
      <c r="E167" s="11"/>
      <c r="F167" s="11"/>
      <c r="G167" s="11"/>
      <c r="H167" s="11"/>
      <c r="I167" s="11"/>
    </row>
    <row r="168" spans="1:9">
      <c r="A168" s="91"/>
      <c r="B168" s="11"/>
      <c r="C168" s="11"/>
      <c r="D168" s="11"/>
      <c r="E168" s="11"/>
      <c r="F168" s="11"/>
      <c r="G168" s="11"/>
      <c r="H168" s="11"/>
      <c r="I168" s="11"/>
    </row>
    <row r="169" spans="1:9">
      <c r="A169" s="91"/>
      <c r="B169" s="11"/>
      <c r="C169" s="11"/>
      <c r="D169" s="11"/>
      <c r="E169" s="11"/>
      <c r="F169" s="11"/>
      <c r="G169" s="11"/>
      <c r="H169" s="11"/>
      <c r="I169" s="11"/>
    </row>
    <row r="170" spans="1:9">
      <c r="A170" s="91"/>
      <c r="B170" s="11"/>
      <c r="C170" s="11"/>
      <c r="D170" s="11"/>
      <c r="E170" s="11"/>
      <c r="F170" s="11"/>
      <c r="G170" s="11"/>
      <c r="H170" s="11"/>
      <c r="I170" s="11"/>
    </row>
    <row r="171" spans="1:9">
      <c r="A171" s="91"/>
      <c r="B171" s="11"/>
      <c r="C171" s="11"/>
      <c r="D171" s="11"/>
      <c r="E171" s="11"/>
      <c r="F171" s="11"/>
      <c r="G171" s="11"/>
      <c r="H171" s="11"/>
      <c r="I171" s="11"/>
    </row>
    <row r="172" spans="1:9">
      <c r="A172" s="91"/>
      <c r="B172" s="11"/>
      <c r="C172" s="11"/>
      <c r="D172" s="11"/>
      <c r="E172" s="11"/>
      <c r="F172" s="11"/>
      <c r="G172" s="11"/>
      <c r="H172" s="11"/>
      <c r="I172" s="11"/>
    </row>
    <row r="173" spans="1:9">
      <c r="A173" s="91"/>
      <c r="B173" s="11"/>
      <c r="C173" s="11"/>
      <c r="D173" s="11"/>
      <c r="E173" s="11"/>
      <c r="F173" s="11"/>
      <c r="G173" s="11"/>
      <c r="H173" s="11"/>
      <c r="I173" s="11"/>
    </row>
    <row r="174" spans="1:9">
      <c r="A174" s="91"/>
      <c r="B174" s="11"/>
      <c r="C174" s="11"/>
      <c r="D174" s="11"/>
      <c r="E174" s="11"/>
      <c r="F174" s="11"/>
      <c r="G174" s="11"/>
      <c r="H174" s="11"/>
      <c r="I174" s="11"/>
    </row>
    <row r="175" spans="1:9">
      <c r="A175" s="91"/>
      <c r="B175" s="11"/>
      <c r="C175" s="11"/>
      <c r="D175" s="11"/>
      <c r="E175" s="11"/>
      <c r="F175" s="11"/>
      <c r="G175" s="11"/>
      <c r="H175" s="11"/>
      <c r="I175" s="11"/>
    </row>
    <row r="176" spans="1:9">
      <c r="A176" s="91"/>
      <c r="B176" s="11"/>
      <c r="C176" s="11"/>
      <c r="D176" s="11"/>
      <c r="E176" s="11"/>
      <c r="F176" s="11"/>
      <c r="G176" s="11"/>
      <c r="H176" s="11"/>
      <c r="I176" s="11"/>
    </row>
    <row r="177" spans="1:9">
      <c r="A177" s="91"/>
      <c r="B177" s="11"/>
      <c r="C177" s="11"/>
      <c r="D177" s="11"/>
      <c r="E177" s="11"/>
      <c r="F177" s="11"/>
      <c r="G177" s="11"/>
      <c r="H177" s="11"/>
      <c r="I177" s="11"/>
    </row>
    <row r="178" spans="1:9">
      <c r="A178" s="91"/>
      <c r="B178" s="11"/>
      <c r="C178" s="11"/>
      <c r="D178" s="11"/>
      <c r="E178" s="11"/>
      <c r="F178" s="11"/>
      <c r="G178" s="11"/>
      <c r="H178" s="11"/>
      <c r="I178" s="11"/>
    </row>
    <row r="179" spans="1:9">
      <c r="A179" s="91"/>
      <c r="B179" s="11"/>
      <c r="C179" s="11"/>
      <c r="D179" s="11"/>
      <c r="E179" s="11"/>
      <c r="F179" s="11"/>
      <c r="G179" s="11"/>
      <c r="H179" s="11"/>
      <c r="I179" s="11"/>
    </row>
    <row r="180" spans="1:9">
      <c r="A180" s="11"/>
      <c r="B180" s="11"/>
      <c r="C180" s="11"/>
      <c r="D180" s="11"/>
      <c r="E180" s="11"/>
      <c r="F180" s="33"/>
      <c r="G180" s="11"/>
      <c r="H180" s="11"/>
      <c r="I180" s="11"/>
    </row>
    <row r="181" spans="1:9">
      <c r="A181" s="11"/>
      <c r="B181" s="11"/>
      <c r="C181" s="11"/>
      <c r="D181" s="11"/>
      <c r="E181" s="11"/>
      <c r="F181" s="11"/>
      <c r="G181" s="11"/>
      <c r="H181" s="11"/>
      <c r="I181" s="11"/>
    </row>
    <row r="182" spans="1:9">
      <c r="A182" s="33"/>
      <c r="B182" s="33"/>
      <c r="C182" s="33"/>
      <c r="D182" s="33"/>
      <c r="E182" s="33"/>
      <c r="F182" s="33"/>
      <c r="G182" s="33"/>
      <c r="H182" s="33"/>
      <c r="I182" s="33"/>
    </row>
    <row r="183" spans="1:9">
      <c r="A183" s="11"/>
      <c r="B183" s="11"/>
      <c r="C183" s="11"/>
      <c r="D183" s="11"/>
      <c r="E183" s="11"/>
      <c r="F183" s="11"/>
      <c r="G183" s="11"/>
      <c r="H183" s="11"/>
      <c r="I183" s="11"/>
    </row>
    <row r="184" spans="1:9">
      <c r="A184" s="11"/>
      <c r="B184" s="11"/>
      <c r="C184" s="11"/>
      <c r="D184" s="11"/>
      <c r="E184" s="11"/>
      <c r="F184" s="11"/>
      <c r="G184" s="11"/>
      <c r="H184" s="11"/>
      <c r="I184" s="11"/>
    </row>
    <row r="185" spans="1:9">
      <c r="A185" s="11"/>
      <c r="B185" s="11"/>
      <c r="C185" s="11"/>
      <c r="D185" s="11"/>
      <c r="E185" s="11"/>
      <c r="F185" s="11"/>
      <c r="G185" s="11"/>
      <c r="H185" s="11"/>
      <c r="I185" s="11"/>
    </row>
    <row r="186" spans="1:9">
      <c r="A186" s="11"/>
      <c r="B186" s="11"/>
      <c r="C186" s="11"/>
      <c r="D186" s="11"/>
      <c r="E186" s="11"/>
      <c r="F186" s="11"/>
      <c r="G186" s="11"/>
      <c r="H186" s="11"/>
      <c r="I186" s="11"/>
    </row>
    <row r="187" spans="1:9">
      <c r="A187" s="11"/>
      <c r="B187" s="11"/>
      <c r="C187" s="11"/>
      <c r="D187" s="11"/>
      <c r="E187" s="11"/>
      <c r="F187" s="11"/>
      <c r="G187" s="11"/>
      <c r="H187" s="11"/>
      <c r="I187" s="11"/>
    </row>
    <row r="188" spans="1:9">
      <c r="A188" s="11"/>
      <c r="B188" s="11"/>
      <c r="C188" s="11"/>
      <c r="D188" s="11"/>
      <c r="E188" s="11"/>
      <c r="F188" s="11"/>
      <c r="G188" s="11"/>
      <c r="H188" s="11"/>
      <c r="I188" s="11"/>
    </row>
    <row r="189" spans="1:9">
      <c r="A189" s="11"/>
      <c r="B189" s="11"/>
      <c r="C189" s="11"/>
      <c r="D189" s="11"/>
      <c r="E189" s="11"/>
      <c r="F189" s="11"/>
      <c r="G189" s="11"/>
      <c r="H189" s="11"/>
      <c r="I189" s="11"/>
    </row>
    <row r="190" spans="1:9">
      <c r="A190" s="11"/>
      <c r="B190" s="11"/>
      <c r="C190" s="11"/>
      <c r="D190" s="11"/>
      <c r="E190" s="11"/>
      <c r="F190" s="11"/>
      <c r="G190" s="11"/>
      <c r="H190" s="11"/>
      <c r="I190" s="11"/>
    </row>
    <row r="191" spans="1:9">
      <c r="A191" s="11"/>
      <c r="B191" s="11"/>
      <c r="C191" s="11"/>
      <c r="D191" s="11"/>
      <c r="E191" s="11"/>
      <c r="F191" s="11"/>
      <c r="G191" s="11"/>
      <c r="H191" s="11"/>
      <c r="I191" s="11"/>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81"/>
  <sheetViews>
    <sheetView workbookViewId="0">
      <selection activeCell="D6" sqref="D6"/>
    </sheetView>
  </sheetViews>
  <sheetFormatPr baseColWidth="10" defaultRowHeight="15" x14ac:dyDescent="0"/>
  <cols>
    <col min="1" max="1" width="17.83203125" customWidth="1"/>
    <col min="4" max="4" width="12.6640625" customWidth="1"/>
    <col min="9" max="9" width="11" bestFit="1" customWidth="1"/>
  </cols>
  <sheetData>
    <row r="1" spans="1:20">
      <c r="A1" s="34" t="s">
        <v>111</v>
      </c>
      <c r="E1" s="109"/>
      <c r="F1" t="s">
        <v>237</v>
      </c>
    </row>
    <row r="2" spans="1:20">
      <c r="E2" s="106"/>
      <c r="F2" t="s">
        <v>238</v>
      </c>
    </row>
    <row r="3" spans="1:20">
      <c r="A3" t="s">
        <v>124</v>
      </c>
    </row>
    <row r="4" spans="1:20">
      <c r="A4" t="s">
        <v>355</v>
      </c>
    </row>
    <row r="6" spans="1:20" ht="49" customHeight="1">
      <c r="I6" s="206"/>
      <c r="J6" s="206"/>
      <c r="K6" s="206"/>
      <c r="L6" s="206"/>
      <c r="M6" s="206"/>
      <c r="N6" s="206"/>
      <c r="O6" s="206"/>
      <c r="P6" s="206"/>
    </row>
    <row r="8" spans="1:20" ht="45">
      <c r="A8" s="6" t="s">
        <v>112</v>
      </c>
      <c r="B8" s="15" t="s">
        <v>113</v>
      </c>
      <c r="C8" s="6" t="s">
        <v>5</v>
      </c>
      <c r="D8" s="15" t="s">
        <v>125</v>
      </c>
      <c r="E8" s="15" t="s">
        <v>126</v>
      </c>
      <c r="F8" s="15" t="s">
        <v>122</v>
      </c>
      <c r="G8" s="15" t="s">
        <v>127</v>
      </c>
    </row>
    <row r="9" spans="1:20">
      <c r="A9" s="10" t="s">
        <v>114</v>
      </c>
      <c r="B9" s="147" t="e">
        <f>AVERAGE(B20:B21,B24:B25,B28:B37,B41:B45)</f>
        <v>#DIV/0!</v>
      </c>
      <c r="C9" s="147" t="e">
        <f>AVERAGE(C20:C21,C24:C25,C28:C37,C41:C45)</f>
        <v>#DIV/0!</v>
      </c>
      <c r="D9" s="148" t="e">
        <f>H21</f>
        <v>#DIV/0!</v>
      </c>
      <c r="E9" s="148" t="e">
        <f t="shared" ref="E9:G9" si="0">I21</f>
        <v>#DIV/0!</v>
      </c>
      <c r="F9" s="148" t="e">
        <f t="shared" si="0"/>
        <v>#DIV/0!</v>
      </c>
      <c r="G9" s="148" t="e">
        <f t="shared" si="0"/>
        <v>#DIV/0!</v>
      </c>
    </row>
    <row r="12" spans="1:20" ht="90">
      <c r="A12" s="93" t="s">
        <v>115</v>
      </c>
      <c r="B12" s="94" t="s">
        <v>116</v>
      </c>
      <c r="C12" s="94" t="s">
        <v>117</v>
      </c>
      <c r="D12" s="94" t="s">
        <v>118</v>
      </c>
      <c r="E12" s="94" t="s">
        <v>200</v>
      </c>
      <c r="F12" s="94" t="s">
        <v>199</v>
      </c>
      <c r="G12" s="94" t="s">
        <v>119</v>
      </c>
      <c r="H12" s="94" t="s">
        <v>120</v>
      </c>
      <c r="I12" s="94" t="s">
        <v>121</v>
      </c>
      <c r="J12" s="95" t="s">
        <v>122</v>
      </c>
      <c r="K12" s="95" t="s">
        <v>123</v>
      </c>
      <c r="L12" s="17"/>
    </row>
    <row r="13" spans="1:20">
      <c r="A13" s="30" t="s">
        <v>204</v>
      </c>
      <c r="B13" s="143"/>
      <c r="C13" s="144"/>
      <c r="D13">
        <f>PI()*B13*C13</f>
        <v>0</v>
      </c>
      <c r="E13" s="35"/>
      <c r="S13" t="s">
        <v>201</v>
      </c>
      <c r="T13" t="s">
        <v>87</v>
      </c>
    </row>
    <row r="14" spans="1:20" ht="16" customHeight="1">
      <c r="A14" s="11"/>
      <c r="B14" s="144"/>
      <c r="C14" s="144"/>
      <c r="D14">
        <f t="shared" ref="D14:D20" si="1">PI()*B14*C14</f>
        <v>0</v>
      </c>
      <c r="E14" s="29"/>
      <c r="F14" s="29"/>
      <c r="G14" s="29"/>
      <c r="H14" s="29"/>
      <c r="I14" s="29"/>
      <c r="J14" s="29"/>
      <c r="K14" s="29"/>
      <c r="S14" t="s">
        <v>202</v>
      </c>
      <c r="T14" t="s">
        <v>134</v>
      </c>
    </row>
    <row r="15" spans="1:20">
      <c r="A15" s="11"/>
      <c r="B15" s="145"/>
      <c r="C15" s="144"/>
      <c r="D15">
        <f t="shared" si="1"/>
        <v>0</v>
      </c>
      <c r="E15" s="11"/>
      <c r="F15" s="11"/>
      <c r="G15" s="38"/>
      <c r="H15" s="8"/>
      <c r="I15" s="35"/>
      <c r="J15" s="11"/>
      <c r="K15" s="35"/>
      <c r="S15" t="s">
        <v>203</v>
      </c>
      <c r="T15" t="s">
        <v>152</v>
      </c>
    </row>
    <row r="16" spans="1:20">
      <c r="A16" s="11"/>
      <c r="B16" s="144"/>
      <c r="C16" s="144"/>
      <c r="D16">
        <f t="shared" si="1"/>
        <v>0</v>
      </c>
      <c r="E16" s="36"/>
      <c r="F16" s="11"/>
      <c r="G16" s="37"/>
      <c r="H16" s="37"/>
      <c r="I16" s="11"/>
      <c r="J16" s="11"/>
      <c r="K16" s="11"/>
    </row>
    <row r="17" spans="1:12">
      <c r="A17" s="11"/>
      <c r="B17" s="144"/>
      <c r="C17" s="144"/>
      <c r="D17">
        <f t="shared" si="1"/>
        <v>0</v>
      </c>
      <c r="E17" s="36"/>
      <c r="F17" s="11"/>
      <c r="G17" s="37"/>
      <c r="H17" s="37"/>
      <c r="I17" s="11"/>
      <c r="J17" s="11"/>
      <c r="K17" s="11"/>
    </row>
    <row r="18" spans="1:12">
      <c r="A18" s="32"/>
      <c r="B18" s="142"/>
      <c r="C18" s="144"/>
      <c r="D18">
        <f t="shared" si="1"/>
        <v>0</v>
      </c>
      <c r="E18" s="36"/>
      <c r="F18" s="11"/>
      <c r="G18" s="37"/>
      <c r="H18" s="37"/>
      <c r="I18" s="11"/>
      <c r="J18" s="11"/>
      <c r="K18" s="11"/>
    </row>
    <row r="19" spans="1:12" ht="15" customHeight="1">
      <c r="A19" s="11"/>
      <c r="B19" s="142"/>
      <c r="C19" s="142"/>
      <c r="D19">
        <f t="shared" si="1"/>
        <v>0</v>
      </c>
      <c r="E19" s="29"/>
      <c r="F19" s="29"/>
      <c r="G19" s="29"/>
      <c r="H19" s="29"/>
      <c r="I19" s="29"/>
      <c r="J19" s="29"/>
      <c r="K19" s="29"/>
    </row>
    <row r="20" spans="1:12">
      <c r="A20" s="11"/>
      <c r="B20" s="146"/>
      <c r="C20" s="146"/>
      <c r="D20" s="47">
        <f t="shared" si="1"/>
        <v>0</v>
      </c>
    </row>
    <row r="21" spans="1:12">
      <c r="A21" s="11"/>
      <c r="B21" s="149" t="e">
        <f>AVERAGE(B13:B20)</f>
        <v>#DIV/0!</v>
      </c>
      <c r="C21" s="149" t="e">
        <f t="shared" ref="C21:D21" si="2">AVERAGE(C13:C20)</f>
        <v>#DIV/0!</v>
      </c>
      <c r="D21" s="149">
        <f t="shared" si="2"/>
        <v>0</v>
      </c>
      <c r="E21" s="142"/>
      <c r="F21" s="142"/>
      <c r="G21" s="150">
        <f>F21*D21</f>
        <v>0</v>
      </c>
      <c r="H21" s="150" t="e">
        <f>G21/E21</f>
        <v>#DIV/0!</v>
      </c>
      <c r="I21" s="131" t="e">
        <f>H21*100</f>
        <v>#DIV/0!</v>
      </c>
      <c r="J21" s="131" t="e">
        <f>H21*33.33</f>
        <v>#DIV/0!</v>
      </c>
      <c r="K21" s="131" t="e">
        <f>I21</f>
        <v>#DIV/0!</v>
      </c>
    </row>
    <row r="22" spans="1:12">
      <c r="A22" s="11"/>
      <c r="B22" s="11"/>
      <c r="C22" s="11"/>
      <c r="D22" s="11"/>
      <c r="E22" s="11"/>
      <c r="F22" s="11"/>
      <c r="G22" s="11"/>
      <c r="H22" s="37"/>
      <c r="I22" s="92"/>
      <c r="J22" s="11"/>
      <c r="K22" s="11"/>
      <c r="L22" s="11"/>
    </row>
    <row r="23" spans="1:12">
      <c r="A23" s="11"/>
      <c r="B23" s="11"/>
      <c r="C23" s="11"/>
      <c r="D23" s="11"/>
      <c r="E23" s="36"/>
      <c r="F23" s="11"/>
      <c r="G23" s="11"/>
      <c r="H23" s="37"/>
      <c r="I23" s="37"/>
      <c r="J23" s="11"/>
      <c r="K23" s="11"/>
      <c r="L23" s="11"/>
    </row>
    <row r="24" spans="1:12">
      <c r="A24" s="11"/>
      <c r="B24" s="11"/>
      <c r="C24" s="8"/>
      <c r="D24" s="11"/>
      <c r="E24" s="36"/>
      <c r="F24" s="11"/>
      <c r="G24" s="11"/>
      <c r="H24" s="37"/>
      <c r="I24" s="37"/>
      <c r="J24" s="11"/>
      <c r="K24" s="11"/>
      <c r="L24" s="11"/>
    </row>
    <row r="25" spans="1:12">
      <c r="A25" s="11"/>
      <c r="B25" s="8"/>
      <c r="C25" s="8"/>
      <c r="D25" s="11"/>
      <c r="E25" s="36"/>
      <c r="F25" s="11"/>
      <c r="G25" s="11"/>
      <c r="H25" s="11"/>
      <c r="I25" s="11"/>
      <c r="J25" s="11"/>
      <c r="K25" s="11"/>
      <c r="L25" s="11"/>
    </row>
    <row r="26" spans="1:12">
      <c r="A26" s="11"/>
      <c r="B26" s="11"/>
      <c r="C26" s="11"/>
      <c r="D26" s="11"/>
      <c r="E26" s="36"/>
      <c r="F26" s="11"/>
      <c r="G26" s="11"/>
      <c r="H26" s="37"/>
      <c r="I26" s="92"/>
      <c r="J26" s="11"/>
      <c r="K26" s="11"/>
      <c r="L26" s="11"/>
    </row>
    <row r="27" spans="1:12">
      <c r="A27" s="11"/>
      <c r="B27" s="35"/>
      <c r="C27" s="35"/>
      <c r="D27" s="35"/>
      <c r="E27" s="35"/>
      <c r="F27" s="11"/>
      <c r="G27" s="11"/>
      <c r="H27" s="11"/>
      <c r="I27" s="11"/>
      <c r="J27" s="11"/>
      <c r="K27" s="11"/>
      <c r="L27" s="11"/>
    </row>
    <row r="28" spans="1:12">
      <c r="A28" s="11"/>
      <c r="B28" s="8"/>
      <c r="C28" s="8"/>
      <c r="D28" s="8"/>
      <c r="E28" s="11"/>
      <c r="F28" s="11"/>
      <c r="G28" s="11"/>
      <c r="H28" s="11"/>
      <c r="I28" s="11"/>
      <c r="J28" s="8"/>
      <c r="K28" s="11"/>
      <c r="L28" s="11"/>
    </row>
    <row r="29" spans="1:12">
      <c r="A29" s="11"/>
      <c r="B29" s="8"/>
      <c r="C29" s="8"/>
      <c r="D29" s="8"/>
      <c r="E29" s="11"/>
      <c r="F29" s="8"/>
      <c r="G29" s="8"/>
      <c r="H29" s="8"/>
      <c r="I29" s="8"/>
      <c r="J29" s="8"/>
      <c r="K29" s="8"/>
      <c r="L29" s="8"/>
    </row>
    <row r="30" spans="1:12">
      <c r="A30" s="8"/>
      <c r="B30" s="8"/>
      <c r="C30" s="8"/>
      <c r="D30" s="8"/>
      <c r="E30" s="11"/>
      <c r="F30" s="8"/>
      <c r="G30" s="8"/>
      <c r="H30" s="8"/>
      <c r="I30" s="8"/>
      <c r="J30" s="8"/>
      <c r="K30" s="8"/>
      <c r="L30" s="8"/>
    </row>
    <row r="31" spans="1:12">
      <c r="A31" s="8"/>
      <c r="B31" s="8"/>
      <c r="C31" s="8"/>
      <c r="D31" s="8"/>
      <c r="E31" s="11"/>
      <c r="F31" s="8"/>
      <c r="G31" s="8"/>
      <c r="H31" s="8"/>
      <c r="I31" s="8"/>
      <c r="J31" s="8"/>
      <c r="K31" s="8"/>
      <c r="L31" s="8"/>
    </row>
    <row r="32" spans="1:12">
      <c r="A32" s="8"/>
      <c r="B32" s="8"/>
      <c r="C32" s="8"/>
      <c r="D32" s="8"/>
      <c r="E32" s="11"/>
      <c r="F32" s="8"/>
      <c r="G32" s="8"/>
      <c r="H32" s="8"/>
      <c r="I32" s="8"/>
      <c r="J32" s="8"/>
      <c r="K32" s="8"/>
      <c r="L32" s="8"/>
    </row>
    <row r="33" spans="1:12">
      <c r="A33" s="8"/>
      <c r="B33" s="8"/>
      <c r="C33" s="8"/>
      <c r="D33" s="8"/>
      <c r="E33" s="11"/>
      <c r="F33" s="8"/>
      <c r="G33" s="8"/>
      <c r="H33" s="8"/>
      <c r="I33" s="8"/>
      <c r="J33" s="8"/>
      <c r="K33" s="8"/>
      <c r="L33" s="8"/>
    </row>
    <row r="34" spans="1:12">
      <c r="A34" s="8"/>
      <c r="B34" s="8"/>
      <c r="C34" s="8"/>
      <c r="D34" s="8"/>
      <c r="E34" s="11"/>
      <c r="F34" s="8"/>
      <c r="G34" s="8"/>
      <c r="H34" s="8"/>
      <c r="I34" s="8"/>
      <c r="J34" s="8"/>
      <c r="K34" s="8"/>
      <c r="L34" s="8"/>
    </row>
    <row r="35" spans="1:12">
      <c r="A35" s="8"/>
      <c r="B35" s="8"/>
      <c r="C35" s="8"/>
      <c r="D35" s="8"/>
      <c r="E35" s="11"/>
      <c r="F35" s="8"/>
      <c r="G35" s="8"/>
      <c r="H35" s="8"/>
      <c r="I35" s="8"/>
      <c r="J35" s="8"/>
      <c r="K35" s="8"/>
      <c r="L35" s="8"/>
    </row>
    <row r="36" spans="1:12">
      <c r="A36" s="8"/>
      <c r="B36" s="8"/>
      <c r="C36" s="8"/>
      <c r="D36" s="8"/>
      <c r="E36" s="11"/>
      <c r="F36" s="8"/>
      <c r="G36" s="8"/>
      <c r="H36" s="8"/>
      <c r="I36" s="8"/>
      <c r="J36" s="8"/>
      <c r="K36" s="8"/>
      <c r="L36" s="8"/>
    </row>
    <row r="37" spans="1:12">
      <c r="A37" s="8"/>
      <c r="B37" s="8"/>
      <c r="C37" s="8"/>
      <c r="D37" s="8"/>
      <c r="E37" s="11"/>
      <c r="F37" s="8"/>
      <c r="G37" s="8"/>
      <c r="H37" s="8"/>
      <c r="I37" s="8"/>
      <c r="J37" s="8"/>
      <c r="K37" s="8"/>
      <c r="L37" s="8"/>
    </row>
    <row r="38" spans="1:12">
      <c r="A38" s="8"/>
      <c r="B38" s="8"/>
      <c r="C38" s="8"/>
      <c r="D38" s="8"/>
      <c r="E38" s="11"/>
      <c r="F38" s="8"/>
      <c r="G38" s="8"/>
      <c r="H38" s="8"/>
      <c r="I38" s="8"/>
      <c r="J38" s="8"/>
      <c r="K38" s="8"/>
      <c r="L38" s="8"/>
    </row>
    <row r="39" spans="1:12">
      <c r="A39" s="8"/>
      <c r="B39" s="8"/>
      <c r="C39" s="8"/>
      <c r="D39" s="8"/>
      <c r="E39" s="8"/>
      <c r="F39" s="8"/>
      <c r="G39" s="8"/>
      <c r="H39" s="8"/>
      <c r="I39" s="8"/>
      <c r="J39" s="8"/>
      <c r="K39" s="8"/>
      <c r="L39" s="8"/>
    </row>
    <row r="40" spans="1:12" ht="16" customHeight="1">
      <c r="A40" s="11"/>
      <c r="B40" s="29"/>
      <c r="C40" s="29"/>
      <c r="D40" s="29"/>
      <c r="E40" s="29"/>
      <c r="F40" s="29"/>
      <c r="G40" s="29"/>
      <c r="H40" s="29"/>
      <c r="I40" s="29"/>
      <c r="J40" s="29"/>
      <c r="K40" s="29"/>
      <c r="L40" s="29"/>
    </row>
    <row r="41" spans="1:12">
      <c r="A41" s="8"/>
      <c r="B41" s="8"/>
      <c r="C41" s="8"/>
      <c r="D41" s="8"/>
      <c r="E41" s="8"/>
      <c r="F41" s="8"/>
      <c r="G41" s="8"/>
      <c r="H41" s="8"/>
      <c r="I41" s="8"/>
      <c r="J41" s="8"/>
      <c r="K41" s="8"/>
      <c r="L41" s="8"/>
    </row>
    <row r="42" spans="1:12">
      <c r="A42" s="8"/>
      <c r="B42" s="8"/>
      <c r="C42" s="8"/>
      <c r="D42" s="8"/>
      <c r="E42" s="8"/>
      <c r="F42" s="8"/>
      <c r="G42" s="8"/>
      <c r="H42" s="8"/>
      <c r="I42" s="8"/>
      <c r="J42" s="8"/>
      <c r="K42" s="8"/>
      <c r="L42" s="8"/>
    </row>
    <row r="43" spans="1:12">
      <c r="A43" s="8"/>
      <c r="B43" s="8"/>
      <c r="C43" s="8"/>
      <c r="D43" s="8"/>
      <c r="E43" s="8"/>
      <c r="F43" s="8"/>
      <c r="G43" s="8"/>
      <c r="H43" s="8"/>
      <c r="I43" s="8"/>
      <c r="J43" s="8"/>
      <c r="K43" s="8"/>
      <c r="L43" s="8"/>
    </row>
    <row r="44" spans="1:12">
      <c r="A44" s="8"/>
      <c r="B44" s="8"/>
      <c r="C44" s="8"/>
      <c r="D44" s="8"/>
      <c r="E44" s="8"/>
      <c r="F44" s="8"/>
      <c r="G44" s="8"/>
      <c r="H44" s="8"/>
      <c r="I44" s="8"/>
      <c r="J44" s="8"/>
      <c r="K44" s="8"/>
      <c r="L44" s="8"/>
    </row>
    <row r="45" spans="1:12">
      <c r="A45" s="8"/>
      <c r="B45" s="8"/>
      <c r="C45" s="8"/>
      <c r="D45" s="8"/>
      <c r="E45" s="8"/>
      <c r="F45" s="8"/>
      <c r="G45" s="8"/>
      <c r="H45" s="8"/>
      <c r="I45" s="8"/>
      <c r="J45" s="8"/>
      <c r="K45" s="8"/>
      <c r="L45" s="8"/>
    </row>
    <row r="46" spans="1:12">
      <c r="A46" s="8"/>
      <c r="B46" s="8"/>
      <c r="C46" s="8"/>
      <c r="D46" s="8"/>
      <c r="E46" s="8"/>
      <c r="F46" s="8"/>
      <c r="G46" s="8"/>
      <c r="H46" s="8"/>
      <c r="I46" s="8"/>
      <c r="J46" s="8"/>
      <c r="K46" s="8"/>
      <c r="L46" s="8"/>
    </row>
    <row r="47" spans="1:12">
      <c r="A47" s="8"/>
      <c r="B47" s="8"/>
      <c r="C47" s="8"/>
      <c r="D47" s="8"/>
      <c r="E47" s="8"/>
      <c r="F47" s="8"/>
      <c r="G47" s="8"/>
      <c r="H47" s="8"/>
      <c r="I47" s="8"/>
      <c r="J47" s="8"/>
      <c r="K47" s="8"/>
      <c r="L47" s="8"/>
    </row>
    <row r="48" spans="1:12">
      <c r="A48" s="8"/>
      <c r="B48" s="8"/>
      <c r="C48" s="8"/>
      <c r="D48" s="8"/>
      <c r="E48" s="8"/>
      <c r="F48" s="8"/>
      <c r="G48" s="8"/>
      <c r="H48" s="8"/>
      <c r="I48" s="8"/>
      <c r="J48" s="8"/>
      <c r="K48" s="8"/>
      <c r="L48" s="8"/>
    </row>
    <row r="49" spans="1:12">
      <c r="A49" s="8"/>
      <c r="B49" s="8"/>
      <c r="C49" s="8"/>
      <c r="D49" s="8"/>
      <c r="E49" s="8"/>
      <c r="F49" s="8"/>
      <c r="G49" s="8"/>
      <c r="H49" s="8"/>
      <c r="I49" s="8"/>
      <c r="J49" s="8"/>
      <c r="K49" s="8"/>
      <c r="L49" s="8"/>
    </row>
    <row r="50" spans="1:12">
      <c r="A50" s="8"/>
      <c r="B50" s="8"/>
      <c r="C50" s="8"/>
      <c r="D50" s="8"/>
      <c r="E50" s="8"/>
      <c r="F50" s="8"/>
      <c r="G50" s="8"/>
      <c r="H50" s="8"/>
      <c r="I50" s="8"/>
      <c r="J50" s="8"/>
      <c r="K50" s="8"/>
      <c r="L50" s="8"/>
    </row>
    <row r="51" spans="1:12">
      <c r="A51" s="8"/>
      <c r="B51" s="8"/>
      <c r="C51" s="8"/>
      <c r="D51" s="8"/>
      <c r="E51" s="8"/>
      <c r="F51" s="8"/>
      <c r="G51" s="8"/>
      <c r="H51" s="8"/>
      <c r="I51" s="8"/>
      <c r="J51" s="8"/>
      <c r="K51" s="8"/>
      <c r="L51" s="8"/>
    </row>
    <row r="52" spans="1:12">
      <c r="A52" s="8"/>
      <c r="B52" s="8"/>
      <c r="C52" s="8"/>
      <c r="D52" s="8"/>
      <c r="E52" s="8"/>
      <c r="F52" s="8"/>
      <c r="G52" s="8"/>
      <c r="H52" s="8"/>
      <c r="I52" s="8"/>
      <c r="J52" s="8"/>
      <c r="K52" s="8"/>
      <c r="L52" s="8"/>
    </row>
    <row r="53" spans="1:12">
      <c r="A53" s="8"/>
      <c r="B53" s="8"/>
      <c r="C53" s="8"/>
      <c r="D53" s="8"/>
      <c r="E53" s="8"/>
      <c r="F53" s="8"/>
      <c r="G53" s="8"/>
      <c r="H53" s="8"/>
      <c r="I53" s="8"/>
      <c r="J53" s="8"/>
      <c r="K53" s="8"/>
      <c r="L53" s="8"/>
    </row>
    <row r="54" spans="1:12">
      <c r="A54" s="8"/>
      <c r="B54" s="8"/>
      <c r="C54" s="8"/>
      <c r="D54" s="8"/>
      <c r="E54" s="8"/>
      <c r="F54" s="8"/>
      <c r="G54" s="8"/>
      <c r="H54" s="8"/>
      <c r="I54" s="8"/>
      <c r="J54" s="8"/>
      <c r="K54" s="8"/>
      <c r="L54" s="8"/>
    </row>
    <row r="55" spans="1:12">
      <c r="A55" s="8"/>
      <c r="B55" s="8"/>
      <c r="C55" s="8"/>
      <c r="D55" s="8"/>
      <c r="E55" s="8"/>
      <c r="F55" s="8"/>
      <c r="G55" s="8"/>
      <c r="H55" s="8"/>
      <c r="I55" s="8"/>
      <c r="J55" s="8"/>
      <c r="K55" s="8"/>
      <c r="L55" s="8"/>
    </row>
    <row r="56" spans="1:12">
      <c r="A56" s="8"/>
      <c r="B56" s="8"/>
      <c r="C56" s="8"/>
      <c r="D56" s="8"/>
      <c r="E56" s="8"/>
      <c r="F56" s="8"/>
      <c r="G56" s="8"/>
      <c r="H56" s="8"/>
      <c r="I56" s="8"/>
      <c r="J56" s="8"/>
      <c r="K56" s="8"/>
      <c r="L56" s="8"/>
    </row>
    <row r="57" spans="1:12">
      <c r="A57" s="8"/>
      <c r="B57" s="8"/>
      <c r="C57" s="8"/>
      <c r="D57" s="8"/>
      <c r="E57" s="8"/>
      <c r="F57" s="8"/>
      <c r="G57" s="8"/>
      <c r="H57" s="8"/>
      <c r="I57" s="8"/>
      <c r="J57" s="8"/>
      <c r="K57" s="8"/>
      <c r="L57" s="8"/>
    </row>
    <row r="58" spans="1:12">
      <c r="A58" s="8"/>
      <c r="B58" s="8"/>
      <c r="C58" s="8"/>
      <c r="D58" s="8"/>
      <c r="E58" s="8"/>
      <c r="F58" s="8"/>
      <c r="G58" s="8"/>
      <c r="H58" s="8"/>
      <c r="I58" s="8"/>
      <c r="J58" s="8"/>
      <c r="K58" s="8"/>
      <c r="L58" s="8"/>
    </row>
    <row r="59" spans="1:12">
      <c r="A59" s="8"/>
      <c r="B59" s="8"/>
      <c r="C59" s="8"/>
      <c r="D59" s="8"/>
      <c r="E59" s="8"/>
      <c r="F59" s="8"/>
      <c r="G59" s="8"/>
      <c r="H59" s="8"/>
      <c r="I59" s="8"/>
      <c r="J59" s="8"/>
      <c r="K59" s="8"/>
      <c r="L59" s="8"/>
    </row>
    <row r="60" spans="1:12">
      <c r="A60" s="8"/>
      <c r="B60" s="8"/>
      <c r="C60" s="8"/>
      <c r="D60" s="8"/>
      <c r="E60" s="8"/>
      <c r="F60" s="8"/>
      <c r="G60" s="8"/>
      <c r="H60" s="8"/>
      <c r="I60" s="8"/>
      <c r="J60" s="8"/>
      <c r="K60" s="8"/>
      <c r="L60" s="8"/>
    </row>
    <row r="61" spans="1:12">
      <c r="A61" s="8"/>
      <c r="B61" s="8"/>
      <c r="C61" s="8"/>
      <c r="D61" s="8"/>
      <c r="E61" s="8"/>
      <c r="F61" s="8"/>
      <c r="G61" s="8"/>
      <c r="H61" s="8"/>
      <c r="I61" s="8"/>
      <c r="J61" s="8"/>
      <c r="K61" s="8"/>
      <c r="L61" s="8"/>
    </row>
    <row r="62" spans="1:12">
      <c r="A62" s="8"/>
      <c r="B62" s="8"/>
      <c r="C62" s="8"/>
      <c r="D62" s="8"/>
      <c r="E62" s="8"/>
      <c r="F62" s="8"/>
      <c r="G62" s="8"/>
      <c r="H62" s="8"/>
      <c r="I62" s="8"/>
      <c r="J62" s="8"/>
      <c r="K62" s="8"/>
      <c r="L62" s="8"/>
    </row>
    <row r="63" spans="1:12">
      <c r="A63" s="8"/>
      <c r="B63" s="8"/>
      <c r="C63" s="8"/>
      <c r="D63" s="8"/>
      <c r="E63" s="8"/>
      <c r="F63" s="8"/>
      <c r="G63" s="8"/>
      <c r="H63" s="8"/>
      <c r="I63" s="8"/>
      <c r="J63" s="8"/>
      <c r="K63" s="8"/>
      <c r="L63" s="8"/>
    </row>
    <row r="64" spans="1:12">
      <c r="A64" s="8"/>
      <c r="B64" s="8"/>
      <c r="C64" s="8"/>
      <c r="D64" s="8"/>
      <c r="E64" s="8"/>
      <c r="F64" s="8"/>
      <c r="G64" s="8"/>
      <c r="H64" s="8"/>
      <c r="I64" s="8"/>
      <c r="J64" s="8"/>
      <c r="K64" s="8"/>
      <c r="L64" s="8"/>
    </row>
    <row r="65" spans="1:12">
      <c r="A65" s="8"/>
      <c r="B65" s="8"/>
      <c r="C65" s="8"/>
      <c r="D65" s="8"/>
      <c r="E65" s="8"/>
      <c r="F65" s="8"/>
      <c r="G65" s="8"/>
      <c r="H65" s="8"/>
      <c r="I65" s="8"/>
      <c r="J65" s="8"/>
      <c r="K65" s="8"/>
      <c r="L65" s="8"/>
    </row>
    <row r="66" spans="1:12">
      <c r="A66" s="8"/>
      <c r="B66" s="8"/>
      <c r="C66" s="8"/>
      <c r="D66" s="8"/>
      <c r="E66" s="8"/>
      <c r="F66" s="8"/>
      <c r="G66" s="8"/>
      <c r="H66" s="8"/>
      <c r="I66" s="8"/>
      <c r="J66" s="8"/>
      <c r="K66" s="8"/>
      <c r="L66" s="8"/>
    </row>
    <row r="67" spans="1:12">
      <c r="A67" s="8"/>
      <c r="B67" s="8"/>
      <c r="C67" s="8"/>
      <c r="D67" s="8"/>
      <c r="E67" s="8"/>
      <c r="F67" s="8"/>
      <c r="G67" s="8"/>
      <c r="H67" s="8"/>
      <c r="I67" s="8"/>
      <c r="J67" s="8"/>
      <c r="K67" s="8"/>
      <c r="L67" s="8"/>
    </row>
    <row r="68" spans="1:12">
      <c r="A68" s="8"/>
      <c r="B68" s="8"/>
      <c r="C68" s="8"/>
      <c r="D68" s="8"/>
      <c r="E68" s="8"/>
      <c r="F68" s="8"/>
      <c r="G68" s="8"/>
      <c r="H68" s="8"/>
      <c r="I68" s="8"/>
      <c r="J68" s="8"/>
      <c r="K68" s="8"/>
      <c r="L68" s="8"/>
    </row>
    <row r="69" spans="1:12">
      <c r="A69" s="8"/>
      <c r="B69" s="8"/>
      <c r="C69" s="8"/>
      <c r="D69" s="8"/>
      <c r="E69" s="8"/>
      <c r="F69" s="8"/>
      <c r="G69" s="8"/>
      <c r="H69" s="8"/>
      <c r="I69" s="8"/>
      <c r="J69" s="8"/>
      <c r="K69" s="8"/>
      <c r="L69" s="8"/>
    </row>
    <row r="70" spans="1:12">
      <c r="A70" s="8"/>
      <c r="B70" s="8"/>
      <c r="C70" s="8"/>
      <c r="D70" s="8"/>
      <c r="E70" s="8"/>
      <c r="F70" s="8"/>
      <c r="G70" s="8"/>
      <c r="H70" s="8"/>
      <c r="I70" s="8"/>
      <c r="J70" s="8"/>
      <c r="K70" s="8"/>
      <c r="L70" s="8"/>
    </row>
    <row r="71" spans="1:12">
      <c r="A71" s="8"/>
      <c r="B71" s="8"/>
      <c r="C71" s="8"/>
      <c r="D71" s="8"/>
      <c r="E71" s="8"/>
      <c r="F71" s="8"/>
      <c r="G71" s="8"/>
      <c r="H71" s="8"/>
      <c r="I71" s="8"/>
      <c r="J71" s="8"/>
      <c r="K71" s="8"/>
      <c r="L71" s="8"/>
    </row>
    <row r="72" spans="1:12">
      <c r="A72" s="8"/>
      <c r="B72" s="8"/>
      <c r="C72" s="8"/>
      <c r="D72" s="8"/>
      <c r="E72" s="8"/>
      <c r="F72" s="8"/>
      <c r="G72" s="8"/>
      <c r="H72" s="8"/>
      <c r="I72" s="8"/>
      <c r="J72" s="8"/>
      <c r="K72" s="8"/>
      <c r="L72" s="8"/>
    </row>
    <row r="73" spans="1:12">
      <c r="A73" s="8"/>
      <c r="B73" s="8"/>
      <c r="C73" s="8"/>
      <c r="D73" s="8"/>
      <c r="E73" s="8"/>
      <c r="F73" s="8"/>
      <c r="G73" s="8"/>
      <c r="H73" s="8"/>
      <c r="I73" s="8"/>
      <c r="J73" s="8"/>
      <c r="K73" s="8"/>
      <c r="L73" s="8"/>
    </row>
    <row r="74" spans="1:12">
      <c r="A74" s="8"/>
      <c r="B74" s="8"/>
      <c r="C74" s="8"/>
      <c r="D74" s="8"/>
      <c r="E74" s="8"/>
      <c r="F74" s="8"/>
      <c r="G74" s="8"/>
      <c r="H74" s="8"/>
      <c r="I74" s="8"/>
      <c r="J74" s="8"/>
      <c r="K74" s="8"/>
      <c r="L74" s="8"/>
    </row>
    <row r="75" spans="1:12">
      <c r="A75" s="8"/>
      <c r="B75" s="8"/>
      <c r="C75" s="8"/>
      <c r="D75" s="8"/>
      <c r="E75" s="8"/>
      <c r="F75" s="8"/>
      <c r="G75" s="8"/>
      <c r="H75" s="8"/>
      <c r="I75" s="8"/>
      <c r="J75" s="8"/>
      <c r="K75" s="8"/>
      <c r="L75" s="8"/>
    </row>
    <row r="76" spans="1:12">
      <c r="A76" s="8"/>
      <c r="B76" s="8"/>
      <c r="C76" s="8"/>
      <c r="D76" s="8"/>
      <c r="E76" s="8"/>
      <c r="F76" s="8"/>
      <c r="G76" s="8"/>
      <c r="H76" s="8"/>
      <c r="I76" s="8"/>
      <c r="J76" s="8"/>
      <c r="K76" s="8"/>
      <c r="L76" s="8"/>
    </row>
    <row r="77" spans="1:12">
      <c r="A77" s="8"/>
      <c r="B77" s="8"/>
      <c r="C77" s="8"/>
      <c r="D77" s="8"/>
      <c r="E77" s="8"/>
      <c r="F77" s="8"/>
      <c r="G77" s="8"/>
      <c r="H77" s="8"/>
      <c r="I77" s="8"/>
      <c r="J77" s="8"/>
      <c r="K77" s="8"/>
      <c r="L77" s="8"/>
    </row>
    <row r="78" spans="1:12">
      <c r="A78" s="8"/>
      <c r="B78" s="8"/>
      <c r="C78" s="8"/>
      <c r="D78" s="8"/>
      <c r="E78" s="8"/>
      <c r="F78" s="8"/>
      <c r="G78" s="8"/>
      <c r="H78" s="8"/>
      <c r="I78" s="8"/>
      <c r="J78" s="8"/>
      <c r="K78" s="8"/>
      <c r="L78" s="8"/>
    </row>
    <row r="79" spans="1:12">
      <c r="A79" s="8"/>
      <c r="B79" s="8"/>
      <c r="C79" s="8"/>
      <c r="D79" s="8"/>
      <c r="E79" s="8"/>
      <c r="F79" s="8"/>
      <c r="G79" s="8"/>
      <c r="H79" s="8"/>
      <c r="I79" s="8"/>
      <c r="J79" s="8"/>
      <c r="K79" s="8"/>
      <c r="L79" s="8"/>
    </row>
    <row r="80" spans="1:12">
      <c r="A80" s="8"/>
      <c r="B80" s="8"/>
      <c r="C80" s="8"/>
      <c r="D80" s="8"/>
      <c r="E80" s="8"/>
      <c r="F80" s="8"/>
      <c r="G80" s="8"/>
      <c r="H80" s="8"/>
      <c r="I80" s="8"/>
      <c r="J80" s="8"/>
      <c r="K80" s="8"/>
      <c r="L80" s="8"/>
    </row>
    <row r="81" spans="1:12">
      <c r="A81" s="8"/>
      <c r="B81" s="8"/>
      <c r="C81" s="8"/>
      <c r="D81" s="8"/>
      <c r="E81" s="8"/>
      <c r="F81" s="8"/>
      <c r="G81" s="8"/>
      <c r="H81" s="8"/>
      <c r="I81" s="8"/>
      <c r="J81" s="8"/>
      <c r="K81" s="8"/>
      <c r="L81" s="8"/>
    </row>
  </sheetData>
  <mergeCells count="1">
    <mergeCell ref="I6:P6"/>
  </mergeCells>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C163"/>
  <sheetViews>
    <sheetView workbookViewId="0">
      <selection activeCell="I74" sqref="I74:J74"/>
    </sheetView>
  </sheetViews>
  <sheetFormatPr baseColWidth="10" defaultColWidth="11" defaultRowHeight="15" x14ac:dyDescent="0"/>
  <cols>
    <col min="1" max="1" width="25" customWidth="1"/>
    <col min="2" max="2" width="14.6640625" customWidth="1"/>
    <col min="3" max="4" width="15" customWidth="1"/>
    <col min="8" max="8" width="13" customWidth="1"/>
    <col min="9" max="9" width="14.5" customWidth="1"/>
    <col min="10" max="10" width="12.1640625" customWidth="1"/>
    <col min="11" max="11" width="13.1640625" customWidth="1"/>
    <col min="12" max="12" width="14.5" customWidth="1"/>
  </cols>
  <sheetData>
    <row r="1" spans="1:19">
      <c r="A1" t="s">
        <v>320</v>
      </c>
      <c r="C1" s="109"/>
      <c r="D1" t="s">
        <v>237</v>
      </c>
    </row>
    <row r="2" spans="1:19">
      <c r="C2" s="106"/>
      <c r="D2" t="s">
        <v>238</v>
      </c>
    </row>
    <row r="3" spans="1:19">
      <c r="A3" t="s">
        <v>15</v>
      </c>
    </row>
    <row r="4" spans="1:19">
      <c r="A4" t="s">
        <v>321</v>
      </c>
    </row>
    <row r="5" spans="1:19">
      <c r="A5" t="s">
        <v>322</v>
      </c>
    </row>
    <row r="6" spans="1:19">
      <c r="A6" t="s">
        <v>323</v>
      </c>
    </row>
    <row r="8" spans="1:19">
      <c r="A8" t="s">
        <v>244</v>
      </c>
    </row>
    <row r="9" spans="1:19">
      <c r="A9" t="s">
        <v>136</v>
      </c>
      <c r="B9">
        <v>250</v>
      </c>
    </row>
    <row r="10" spans="1:19">
      <c r="A10" t="s">
        <v>24</v>
      </c>
      <c r="B10">
        <v>100</v>
      </c>
    </row>
    <row r="11" spans="1:19">
      <c r="A11" t="s">
        <v>25</v>
      </c>
      <c r="B11">
        <v>0</v>
      </c>
    </row>
    <row r="13" spans="1:19">
      <c r="A13" s="6" t="s">
        <v>16</v>
      </c>
      <c r="B13" s="17"/>
      <c r="C13" s="17"/>
      <c r="D13" s="17"/>
      <c r="E13" s="17"/>
      <c r="F13" s="17"/>
      <c r="G13" s="17"/>
      <c r="H13" s="17"/>
      <c r="I13" s="17"/>
      <c r="J13" s="17"/>
      <c r="K13" s="17"/>
      <c r="L13" s="17"/>
    </row>
    <row r="14" spans="1:19" ht="31" customHeight="1" thickBot="1">
      <c r="A14" s="49" t="s">
        <v>17</v>
      </c>
      <c r="B14" s="49"/>
      <c r="C14" s="49" t="s">
        <v>18</v>
      </c>
      <c r="D14" s="49"/>
      <c r="E14" s="49" t="s">
        <v>19</v>
      </c>
      <c r="F14" s="49"/>
      <c r="G14" s="49" t="s">
        <v>6</v>
      </c>
      <c r="H14" s="49" t="s">
        <v>20</v>
      </c>
      <c r="I14" s="49" t="s">
        <v>21</v>
      </c>
      <c r="J14" s="49" t="s">
        <v>8</v>
      </c>
      <c r="K14" s="50" t="s">
        <v>22</v>
      </c>
      <c r="L14" s="50" t="s">
        <v>23</v>
      </c>
      <c r="M14" s="50" t="s">
        <v>129</v>
      </c>
      <c r="O14" s="53" t="s">
        <v>105</v>
      </c>
      <c r="P14" s="54" t="s">
        <v>4</v>
      </c>
      <c r="Q14" s="53" t="s">
        <v>106</v>
      </c>
      <c r="R14" s="53" t="s">
        <v>24</v>
      </c>
      <c r="S14" s="53" t="s">
        <v>25</v>
      </c>
    </row>
    <row r="15" spans="1:19">
      <c r="A15" s="109" t="str">
        <f>A37</f>
        <v>Cd-1-12um-Masson's-5x-01</v>
      </c>
      <c r="B15" s="142" t="s">
        <v>155</v>
      </c>
      <c r="C15" s="142">
        <f>C59</f>
        <v>294.14950000000005</v>
      </c>
      <c r="D15" s="142">
        <f t="shared" ref="D15:L15" si="0">D59</f>
        <v>292.65866666666665</v>
      </c>
      <c r="E15" s="142">
        <f t="shared" si="0"/>
        <v>147.07475000000002</v>
      </c>
      <c r="F15" s="142">
        <f t="shared" si="0"/>
        <v>146.32933333333332</v>
      </c>
      <c r="G15" s="142">
        <f t="shared" si="0"/>
        <v>60199.642853492362</v>
      </c>
      <c r="H15" s="142">
        <f t="shared" si="0"/>
        <v>4</v>
      </c>
      <c r="I15" s="142">
        <f t="shared" si="0"/>
        <v>240798.57141396945</v>
      </c>
      <c r="J15" s="142">
        <f t="shared" si="0"/>
        <v>7276543.7929999996</v>
      </c>
      <c r="K15" s="142">
        <f t="shared" si="0"/>
        <v>3.3092437600061794E-2</v>
      </c>
      <c r="L15" s="142">
        <f t="shared" si="0"/>
        <v>3.3092437600061793</v>
      </c>
      <c r="M15" s="142">
        <f>K15*100</f>
        <v>3.3092437600061793</v>
      </c>
      <c r="O15" s="53"/>
      <c r="P15" s="53" t="s">
        <v>314</v>
      </c>
      <c r="Q15">
        <v>1130.4580000000001</v>
      </c>
      <c r="R15">
        <v>1665.4659999999999</v>
      </c>
      <c r="S15">
        <v>253.02699999999999</v>
      </c>
    </row>
    <row r="16" spans="1:19">
      <c r="A16" s="142"/>
      <c r="B16" s="142" t="s">
        <v>154</v>
      </c>
      <c r="C16" s="142">
        <f t="shared" ref="C16:L17" si="1">C60</f>
        <v>144.33046153846155</v>
      </c>
      <c r="D16" s="142">
        <f t="shared" si="1"/>
        <v>140.11259999999999</v>
      </c>
      <c r="E16" s="142">
        <f t="shared" si="1"/>
        <v>72.165230769230774</v>
      </c>
      <c r="F16" s="142">
        <f t="shared" si="1"/>
        <v>70.056299999999993</v>
      </c>
      <c r="G16" s="142">
        <f t="shared" si="1"/>
        <v>14371.766313286644</v>
      </c>
      <c r="H16" s="142">
        <f t="shared" si="1"/>
        <v>13</v>
      </c>
      <c r="I16" s="142">
        <f t="shared" si="1"/>
        <v>186832.96207272637</v>
      </c>
      <c r="J16" s="142">
        <f t="shared" si="1"/>
        <v>7276543.7929999996</v>
      </c>
      <c r="K16" s="142">
        <f t="shared" si="1"/>
        <v>2.5676058220450593E-2</v>
      </c>
      <c r="L16" s="142">
        <f t="shared" si="1"/>
        <v>2.5676058220450595</v>
      </c>
      <c r="M16" s="142">
        <f t="shared" ref="M16:M18" si="2">K16*100</f>
        <v>2.5676058220450595</v>
      </c>
      <c r="O16" s="53"/>
      <c r="P16" s="53"/>
      <c r="Q16" s="156"/>
      <c r="R16">
        <v>824.49800000000005</v>
      </c>
      <c r="S16">
        <v>385.916</v>
      </c>
    </row>
    <row r="17" spans="1:19">
      <c r="A17" s="142"/>
      <c r="B17" s="142" t="s">
        <v>153</v>
      </c>
      <c r="C17" s="142">
        <f t="shared" si="1"/>
        <v>81.34174999999999</v>
      </c>
      <c r="D17" s="142">
        <f t="shared" si="1"/>
        <v>74.058000000000007</v>
      </c>
      <c r="E17" s="142">
        <f t="shared" si="1"/>
        <v>40.670874999999995</v>
      </c>
      <c r="F17" s="142">
        <f t="shared" si="1"/>
        <v>37.029000000000003</v>
      </c>
      <c r="G17" s="142">
        <f t="shared" si="1"/>
        <v>4945.9996826911974</v>
      </c>
      <c r="H17" s="142">
        <f t="shared" si="1"/>
        <v>4</v>
      </c>
      <c r="I17" s="142">
        <f t="shared" si="1"/>
        <v>19783.99873076479</v>
      </c>
      <c r="J17" s="142">
        <f t="shared" si="1"/>
        <v>7276543.7929999996</v>
      </c>
      <c r="K17" s="142">
        <f t="shared" si="1"/>
        <v>2.7188730382955851E-3</v>
      </c>
      <c r="L17" s="142">
        <f t="shared" si="1"/>
        <v>0.2718873038295585</v>
      </c>
      <c r="M17" s="142">
        <f t="shared" si="2"/>
        <v>0.2718873038295585</v>
      </c>
      <c r="O17" s="53"/>
      <c r="P17" s="53"/>
      <c r="Q17" s="156"/>
      <c r="R17">
        <v>417.04500000000002</v>
      </c>
      <c r="S17" s="156"/>
    </row>
    <row r="18" spans="1:19">
      <c r="A18" s="142" t="str">
        <f>A66</f>
        <v>Cd-1-12um-Masson's-40x-02</v>
      </c>
      <c r="B18" s="142" t="s">
        <v>153</v>
      </c>
      <c r="C18" s="142">
        <f>C71</f>
        <v>38.9495</v>
      </c>
      <c r="D18" s="142">
        <f t="shared" ref="D18:L18" si="3">D71</f>
        <v>29.466999999999999</v>
      </c>
      <c r="E18" s="142">
        <f t="shared" si="3"/>
        <v>19.47475</v>
      </c>
      <c r="F18" s="142">
        <f t="shared" si="3"/>
        <v>14.733499999999999</v>
      </c>
      <c r="G18" s="142">
        <f t="shared" si="3"/>
        <v>922.26397723473929</v>
      </c>
      <c r="H18" s="142">
        <f t="shared" si="3"/>
        <v>2</v>
      </c>
      <c r="I18" s="142">
        <f t="shared" si="3"/>
        <v>1844.5279544694786</v>
      </c>
      <c r="J18" s="142">
        <f t="shared" si="3"/>
        <v>58594.921000000002</v>
      </c>
      <c r="K18" s="142">
        <f t="shared" si="3"/>
        <v>3.1479314640077395E-2</v>
      </c>
      <c r="L18" s="142">
        <f t="shared" si="3"/>
        <v>3.1479314640077396</v>
      </c>
      <c r="M18" s="142">
        <f t="shared" si="2"/>
        <v>3.1479314640077396</v>
      </c>
      <c r="O18" s="53"/>
      <c r="P18" s="53" t="s">
        <v>317</v>
      </c>
      <c r="Q18" s="156"/>
      <c r="R18" s="156"/>
      <c r="S18">
        <v>112.848</v>
      </c>
    </row>
    <row r="19" spans="1:19">
      <c r="A19" s="142"/>
      <c r="B19" s="142"/>
      <c r="C19" s="142"/>
      <c r="D19" s="142"/>
      <c r="E19" s="142"/>
      <c r="F19" s="142"/>
      <c r="G19" s="142"/>
      <c r="H19" s="142"/>
      <c r="I19" s="142"/>
      <c r="J19" s="142"/>
      <c r="K19" s="142"/>
      <c r="L19" s="142"/>
      <c r="M19" s="142"/>
      <c r="O19" s="53"/>
      <c r="P19" s="53"/>
      <c r="Q19" s="156"/>
      <c r="R19" s="156"/>
      <c r="S19" s="156"/>
    </row>
    <row r="20" spans="1:19">
      <c r="A20" s="142"/>
      <c r="B20" s="142"/>
      <c r="C20" s="142"/>
      <c r="D20" s="142"/>
      <c r="E20" s="142"/>
      <c r="F20" s="142"/>
      <c r="G20" s="142"/>
      <c r="H20" s="142"/>
      <c r="I20" s="142"/>
      <c r="J20" s="142"/>
      <c r="K20" s="142"/>
      <c r="L20" s="142"/>
      <c r="M20" s="142"/>
      <c r="O20" s="53"/>
      <c r="P20" s="53"/>
      <c r="Q20" s="156"/>
      <c r="R20" s="156"/>
      <c r="S20" s="156"/>
    </row>
    <row r="21" spans="1:19">
      <c r="A21" s="142"/>
      <c r="B21" s="142"/>
      <c r="C21" s="142"/>
      <c r="D21" s="142"/>
      <c r="E21" s="142"/>
      <c r="F21" s="142"/>
      <c r="G21" s="142"/>
      <c r="H21" s="142"/>
      <c r="I21" s="142"/>
      <c r="J21" s="142"/>
      <c r="K21" s="142"/>
      <c r="L21" s="142"/>
      <c r="M21" s="142"/>
      <c r="O21" s="53"/>
      <c r="P21" s="53"/>
      <c r="Q21" s="156"/>
      <c r="R21" s="156"/>
      <c r="S21" s="156"/>
    </row>
    <row r="22" spans="1:19">
      <c r="A22" s="142"/>
      <c r="B22" s="142"/>
      <c r="C22" s="142"/>
      <c r="D22" s="142"/>
      <c r="E22" s="142"/>
      <c r="F22" s="142"/>
      <c r="G22" s="142"/>
      <c r="H22" s="142"/>
      <c r="I22" s="142"/>
      <c r="J22" s="142"/>
      <c r="K22" s="142"/>
      <c r="L22" s="142"/>
      <c r="M22" s="142"/>
      <c r="O22" s="53"/>
      <c r="P22" s="53"/>
      <c r="Q22" s="156"/>
      <c r="R22" s="156"/>
      <c r="S22" s="156"/>
    </row>
    <row r="23" spans="1:19">
      <c r="A23" s="142"/>
      <c r="B23" s="142"/>
      <c r="C23" s="142"/>
      <c r="D23" s="142"/>
      <c r="E23" s="142"/>
      <c r="F23" s="142"/>
      <c r="G23" s="142"/>
      <c r="H23" s="142"/>
      <c r="I23" s="142"/>
      <c r="J23" s="142"/>
      <c r="K23" s="142"/>
      <c r="L23" s="142"/>
      <c r="M23" s="142"/>
      <c r="P23" t="s">
        <v>128</v>
      </c>
      <c r="Q23" s="106">
        <f>AVERAGE(Q15:Q22)</f>
        <v>1130.4580000000001</v>
      </c>
      <c r="R23" s="106">
        <f t="shared" ref="R23:S23" si="4">AVERAGE(R15:R22)</f>
        <v>969.00300000000004</v>
      </c>
      <c r="S23" s="106">
        <f t="shared" si="4"/>
        <v>250.59699999999998</v>
      </c>
    </row>
    <row r="24" spans="1:19">
      <c r="A24" s="142"/>
      <c r="B24" s="142"/>
      <c r="C24" s="142"/>
      <c r="D24" s="142"/>
      <c r="E24" s="142"/>
      <c r="F24" s="142"/>
      <c r="G24" s="142"/>
      <c r="H24" s="142"/>
      <c r="I24" s="142"/>
      <c r="J24" s="142"/>
      <c r="K24" s="142"/>
      <c r="L24" s="142"/>
      <c r="M24" s="142"/>
    </row>
    <row r="25" spans="1:19">
      <c r="A25" s="142"/>
      <c r="B25" s="142"/>
      <c r="C25" s="142"/>
      <c r="D25" s="142"/>
      <c r="E25" s="142"/>
      <c r="F25" s="142"/>
      <c r="G25" s="142"/>
      <c r="H25" s="142"/>
      <c r="I25" s="142"/>
      <c r="J25" s="142"/>
      <c r="K25" s="142"/>
      <c r="L25" s="142"/>
      <c r="M25" s="142"/>
    </row>
    <row r="26" spans="1:19">
      <c r="A26" s="142"/>
      <c r="B26" s="142"/>
      <c r="C26" s="142"/>
      <c r="D26" s="142"/>
      <c r="E26" s="142"/>
      <c r="F26" s="142"/>
      <c r="G26" s="142"/>
      <c r="H26" s="142"/>
      <c r="I26" s="142"/>
      <c r="J26" s="142"/>
      <c r="K26" s="142"/>
      <c r="L26" s="142"/>
      <c r="M26" s="142"/>
    </row>
    <row r="27" spans="1:19">
      <c r="A27" s="142"/>
      <c r="B27" s="142"/>
      <c r="C27" s="142"/>
      <c r="D27" s="142"/>
      <c r="E27" s="142"/>
      <c r="F27" s="142"/>
      <c r="G27" s="142"/>
      <c r="H27" s="142"/>
      <c r="I27" s="142"/>
      <c r="J27" s="142"/>
      <c r="K27" s="142"/>
      <c r="L27" s="142"/>
      <c r="M27" s="142"/>
    </row>
    <row r="28" spans="1:19">
      <c r="A28" s="146"/>
      <c r="B28" s="146"/>
      <c r="C28" s="146"/>
      <c r="D28" s="146"/>
      <c r="E28" s="146"/>
      <c r="F28" s="146"/>
      <c r="G28" s="146"/>
      <c r="H28" s="146"/>
      <c r="I28" s="146"/>
      <c r="J28" s="146"/>
      <c r="K28" s="146"/>
      <c r="L28" s="146"/>
      <c r="M28" s="146"/>
    </row>
    <row r="29" spans="1:19">
      <c r="A29" s="39" t="s">
        <v>128</v>
      </c>
      <c r="B29" s="39" t="s">
        <v>106</v>
      </c>
      <c r="C29" s="131">
        <f>AVERAGE(C15,C19,C20,C22)</f>
        <v>294.14950000000005</v>
      </c>
      <c r="D29" s="131">
        <f t="shared" ref="D29:M29" si="5">AVERAGE(D15,D19,D20,D22)</f>
        <v>292.65866666666665</v>
      </c>
      <c r="E29" s="131">
        <f t="shared" si="5"/>
        <v>147.07475000000002</v>
      </c>
      <c r="F29" s="131">
        <f t="shared" si="5"/>
        <v>146.32933333333332</v>
      </c>
      <c r="G29" s="131">
        <f t="shared" si="5"/>
        <v>60199.642853492362</v>
      </c>
      <c r="H29" s="131">
        <f t="shared" si="5"/>
        <v>4</v>
      </c>
      <c r="I29" s="131">
        <f t="shared" si="5"/>
        <v>240798.57141396945</v>
      </c>
      <c r="J29" s="131">
        <f t="shared" si="5"/>
        <v>7276543.7929999996</v>
      </c>
      <c r="K29" s="131">
        <f t="shared" si="5"/>
        <v>3.3092437600061794E-2</v>
      </c>
      <c r="L29" s="131">
        <f t="shared" si="5"/>
        <v>3.3092437600061793</v>
      </c>
      <c r="M29" s="131">
        <f t="shared" si="5"/>
        <v>3.3092437600061793</v>
      </c>
    </row>
    <row r="30" spans="1:19">
      <c r="A30" s="39"/>
      <c r="B30" s="39" t="s">
        <v>24</v>
      </c>
      <c r="C30" s="131">
        <f>AVERAGE(C16,C23)</f>
        <v>144.33046153846155</v>
      </c>
      <c r="D30" s="131">
        <f t="shared" ref="D30:M30" si="6">AVERAGE(D16,D23)</f>
        <v>140.11259999999999</v>
      </c>
      <c r="E30" s="131">
        <f t="shared" si="6"/>
        <v>72.165230769230774</v>
      </c>
      <c r="F30" s="131">
        <f t="shared" si="6"/>
        <v>70.056299999999993</v>
      </c>
      <c r="G30" s="131">
        <f t="shared" si="6"/>
        <v>14371.766313286644</v>
      </c>
      <c r="H30" s="131">
        <f t="shared" si="6"/>
        <v>13</v>
      </c>
      <c r="I30" s="131">
        <f t="shared" si="6"/>
        <v>186832.96207272637</v>
      </c>
      <c r="J30" s="131">
        <f t="shared" si="6"/>
        <v>7276543.7929999996</v>
      </c>
      <c r="K30" s="131">
        <f t="shared" si="6"/>
        <v>2.5676058220450593E-2</v>
      </c>
      <c r="L30" s="131">
        <f t="shared" si="6"/>
        <v>2.5676058220450595</v>
      </c>
      <c r="M30" s="131">
        <f t="shared" si="6"/>
        <v>2.5676058220450595</v>
      </c>
    </row>
    <row r="31" spans="1:19" ht="16" thickBot="1">
      <c r="A31" s="40"/>
      <c r="B31" s="40" t="s">
        <v>25</v>
      </c>
      <c r="C31" s="151">
        <f>AVERAGE(C17,C18,C21,C24,C25)</f>
        <v>60.145624999999995</v>
      </c>
      <c r="D31" s="151">
        <f t="shared" ref="D31:M31" si="7">AVERAGE(D17,D18,D21,D24,D25)</f>
        <v>51.762500000000003</v>
      </c>
      <c r="E31" s="151">
        <f t="shared" si="7"/>
        <v>30.072812499999998</v>
      </c>
      <c r="F31" s="151">
        <f t="shared" si="7"/>
        <v>25.881250000000001</v>
      </c>
      <c r="G31" s="151">
        <f t="shared" si="7"/>
        <v>2934.1318299629684</v>
      </c>
      <c r="H31" s="151">
        <f t="shared" si="7"/>
        <v>3</v>
      </c>
      <c r="I31" s="151">
        <f t="shared" si="7"/>
        <v>10814.263342617134</v>
      </c>
      <c r="J31" s="151">
        <f t="shared" si="7"/>
        <v>3667569.3569999998</v>
      </c>
      <c r="K31" s="151">
        <f t="shared" si="7"/>
        <v>1.709909383918649E-2</v>
      </c>
      <c r="L31" s="151">
        <f t="shared" si="7"/>
        <v>1.709909383918649</v>
      </c>
      <c r="M31" s="151">
        <f t="shared" si="7"/>
        <v>1.709909383918649</v>
      </c>
    </row>
    <row r="32" spans="1:19">
      <c r="A32" s="8"/>
      <c r="B32" s="11"/>
      <c r="C32" s="33"/>
      <c r="D32" s="33"/>
      <c r="E32" s="33"/>
      <c r="F32" s="33"/>
      <c r="G32" s="33"/>
      <c r="H32" s="33"/>
      <c r="I32" s="33"/>
      <c r="J32" s="33"/>
      <c r="K32" s="33"/>
      <c r="L32" s="33"/>
    </row>
    <row r="33" spans="1:20">
      <c r="M33" t="s">
        <v>205</v>
      </c>
    </row>
    <row r="34" spans="1:20">
      <c r="A34" s="11"/>
      <c r="B34" s="11"/>
      <c r="C34" s="11"/>
      <c r="D34" s="11"/>
      <c r="E34" s="11"/>
      <c r="F34" s="11"/>
      <c r="G34" s="11"/>
      <c r="H34" s="11"/>
      <c r="I34" s="11"/>
      <c r="J34" s="11"/>
      <c r="K34" s="11"/>
      <c r="L34" s="11"/>
    </row>
    <row r="35" spans="1:20">
      <c r="A35" s="11"/>
      <c r="B35" s="11"/>
      <c r="C35" s="11"/>
      <c r="D35" s="11"/>
      <c r="E35" s="11"/>
      <c r="F35" s="11"/>
      <c r="G35" s="11"/>
      <c r="H35" s="11"/>
      <c r="I35" s="11"/>
      <c r="J35" s="11"/>
      <c r="K35" s="11"/>
      <c r="L35" s="11"/>
      <c r="M35" s="3"/>
    </row>
    <row r="36" spans="1:20" ht="30">
      <c r="A36" s="2" t="s">
        <v>134</v>
      </c>
      <c r="B36" s="2" t="s">
        <v>135</v>
      </c>
      <c r="C36" s="2" t="s">
        <v>18</v>
      </c>
      <c r="D36" s="2" t="s">
        <v>107</v>
      </c>
      <c r="E36" s="2" t="s">
        <v>19</v>
      </c>
      <c r="F36" s="2" t="s">
        <v>108</v>
      </c>
      <c r="G36" s="2" t="s">
        <v>6</v>
      </c>
      <c r="H36" s="2" t="s">
        <v>20</v>
      </c>
      <c r="I36" s="2" t="s">
        <v>21</v>
      </c>
      <c r="J36" s="2" t="s">
        <v>8</v>
      </c>
      <c r="K36" s="2" t="s">
        <v>22</v>
      </c>
      <c r="L36" s="2" t="s">
        <v>23</v>
      </c>
    </row>
    <row r="37" spans="1:20">
      <c r="A37" t="s">
        <v>314</v>
      </c>
      <c r="B37" s="2"/>
      <c r="C37" s="11">
        <v>177.64699999999999</v>
      </c>
      <c r="D37" s="11">
        <v>177.64699999999999</v>
      </c>
      <c r="E37">
        <f>C37/2</f>
        <v>88.823499999999996</v>
      </c>
      <c r="F37">
        <f>D37/2</f>
        <v>88.823499999999996</v>
      </c>
      <c r="G37">
        <f>PI()*E37*F37</f>
        <v>24785.953860366659</v>
      </c>
      <c r="H37" s="2"/>
      <c r="I37" s="2"/>
      <c r="J37" s="2"/>
      <c r="K37" s="2"/>
      <c r="L37" s="2"/>
    </row>
    <row r="38" spans="1:20">
      <c r="C38" s="11">
        <v>163.48599999999999</v>
      </c>
      <c r="D38" s="11">
        <v>163.48599999999999</v>
      </c>
      <c r="E38">
        <f t="shared" ref="E38:E57" si="8">C38/2</f>
        <v>81.742999999999995</v>
      </c>
      <c r="F38">
        <f t="shared" ref="F38:F57" si="9">D38/2</f>
        <v>81.742999999999995</v>
      </c>
      <c r="G38">
        <f t="shared" ref="G38:G57" si="10">PI()*E38*F38</f>
        <v>20991.864654627439</v>
      </c>
    </row>
    <row r="39" spans="1:20">
      <c r="C39" s="11">
        <v>101.06</v>
      </c>
      <c r="D39" s="11">
        <v>101.06</v>
      </c>
      <c r="E39">
        <f t="shared" si="8"/>
        <v>50.53</v>
      </c>
      <c r="F39">
        <f t="shared" si="9"/>
        <v>50.53</v>
      </c>
      <c r="G39">
        <f t="shared" si="10"/>
        <v>8021.3685179911354</v>
      </c>
      <c r="T39" t="s">
        <v>318</v>
      </c>
    </row>
    <row r="40" spans="1:20">
      <c r="C40" s="11">
        <v>119.62</v>
      </c>
      <c r="D40" s="11">
        <v>119.62</v>
      </c>
      <c r="E40">
        <f t="shared" ref="E40:E52" si="11">C40/2</f>
        <v>59.81</v>
      </c>
      <c r="F40">
        <f t="shared" ref="F40:F52" si="12">D40/2</f>
        <v>59.81</v>
      </c>
      <c r="G40">
        <f t="shared" ref="G40:G52" si="13">PI()*E40*F40</f>
        <v>11238.218651916202</v>
      </c>
      <c r="T40" t="s">
        <v>319</v>
      </c>
    </row>
    <row r="41" spans="1:20">
      <c r="C41" s="11">
        <v>298.62200000000001</v>
      </c>
      <c r="D41" s="11">
        <v>136.19499999999999</v>
      </c>
      <c r="E41">
        <f t="shared" si="11"/>
        <v>149.31100000000001</v>
      </c>
      <c r="F41">
        <f t="shared" si="12"/>
        <v>68.097499999999997</v>
      </c>
      <c r="G41">
        <f t="shared" si="13"/>
        <v>31942.789915828165</v>
      </c>
    </row>
    <row r="42" spans="1:20">
      <c r="C42" s="11">
        <v>370.00900000000001</v>
      </c>
      <c r="D42" s="11">
        <v>370.00900000000001</v>
      </c>
      <c r="E42">
        <f t="shared" si="11"/>
        <v>185.00450000000001</v>
      </c>
      <c r="F42">
        <f t="shared" si="12"/>
        <v>185.00450000000001</v>
      </c>
      <c r="G42">
        <f t="shared" si="13"/>
        <v>107526.23938449615</v>
      </c>
    </row>
    <row r="43" spans="1:20">
      <c r="C43" s="11">
        <v>253.10499999999999</v>
      </c>
      <c r="D43" s="11">
        <v>253.10499999999999</v>
      </c>
      <c r="E43">
        <f t="shared" si="11"/>
        <v>126.55249999999999</v>
      </c>
      <c r="F43">
        <f t="shared" si="12"/>
        <v>126.55249999999999</v>
      </c>
      <c r="G43">
        <f t="shared" si="13"/>
        <v>50314.28790434332</v>
      </c>
    </row>
    <row r="44" spans="1:20">
      <c r="C44" s="11">
        <v>79.709999999999994</v>
      </c>
      <c r="D44" s="11">
        <v>79.709999999999994</v>
      </c>
      <c r="E44">
        <f t="shared" si="11"/>
        <v>39.854999999999997</v>
      </c>
      <c r="F44">
        <f t="shared" si="12"/>
        <v>39.854999999999997</v>
      </c>
      <c r="G44">
        <f t="shared" si="13"/>
        <v>4990.1718229475682</v>
      </c>
    </row>
    <row r="45" spans="1:20">
      <c r="C45" s="11">
        <v>105.509</v>
      </c>
      <c r="D45" s="11">
        <v>105.509</v>
      </c>
      <c r="E45">
        <f t="shared" si="11"/>
        <v>52.7545</v>
      </c>
      <c r="F45">
        <f t="shared" si="12"/>
        <v>52.7545</v>
      </c>
      <c r="G45">
        <f t="shared" si="13"/>
        <v>8743.169442883991</v>
      </c>
    </row>
    <row r="46" spans="1:20">
      <c r="C46" s="11">
        <v>226.905</v>
      </c>
      <c r="D46" s="11">
        <v>226.905</v>
      </c>
      <c r="E46">
        <f t="shared" si="11"/>
        <v>113.4525</v>
      </c>
      <c r="F46">
        <f t="shared" si="12"/>
        <v>113.4525</v>
      </c>
      <c r="G46">
        <f t="shared" si="13"/>
        <v>40436.914827138207</v>
      </c>
    </row>
    <row r="47" spans="1:20">
      <c r="C47" s="11">
        <v>254.86199999999999</v>
      </c>
      <c r="D47" s="11">
        <v>254.86199999999999</v>
      </c>
      <c r="E47">
        <f t="shared" si="11"/>
        <v>127.431</v>
      </c>
      <c r="F47">
        <f t="shared" si="12"/>
        <v>127.431</v>
      </c>
      <c r="G47">
        <f t="shared" si="13"/>
        <v>51015.254209301784</v>
      </c>
    </row>
    <row r="48" spans="1:20">
      <c r="C48" s="11">
        <v>127.018</v>
      </c>
      <c r="D48" s="11">
        <v>127.018</v>
      </c>
      <c r="E48">
        <f t="shared" si="11"/>
        <v>63.509</v>
      </c>
      <c r="F48">
        <f t="shared" si="12"/>
        <v>63.509</v>
      </c>
      <c r="G48">
        <f t="shared" si="13"/>
        <v>12671.278072309502</v>
      </c>
    </row>
    <row r="49" spans="1:29">
      <c r="C49" s="11">
        <v>136.38800000000001</v>
      </c>
      <c r="D49" s="11">
        <v>98.561000000000007</v>
      </c>
      <c r="E49">
        <f t="shared" ref="E49:E51" si="14">C49/2</f>
        <v>68.194000000000003</v>
      </c>
      <c r="F49">
        <f t="shared" ref="F49:F51" si="15">D49/2</f>
        <v>49.280500000000004</v>
      </c>
      <c r="G49">
        <f t="shared" ref="G49:G51" si="16">PI()*E49*F49</f>
        <v>10557.744395848218</v>
      </c>
    </row>
    <row r="50" spans="1:29">
      <c r="C50" s="11">
        <v>116.95699999999999</v>
      </c>
      <c r="D50" s="11">
        <v>47.100999999999999</v>
      </c>
      <c r="E50">
        <f t="shared" si="14"/>
        <v>58.478499999999997</v>
      </c>
      <c r="F50">
        <f t="shared" si="15"/>
        <v>23.5505</v>
      </c>
      <c r="G50">
        <f t="shared" si="16"/>
        <v>4326.594849946986</v>
      </c>
    </row>
    <row r="51" spans="1:29">
      <c r="C51" s="11">
        <v>95.103999999999999</v>
      </c>
      <c r="D51" s="11">
        <v>78.382000000000005</v>
      </c>
      <c r="E51">
        <f t="shared" si="14"/>
        <v>47.552</v>
      </c>
      <c r="F51">
        <f t="shared" si="15"/>
        <v>39.191000000000003</v>
      </c>
      <c r="G51">
        <f t="shared" si="16"/>
        <v>5854.7048423245014</v>
      </c>
    </row>
    <row r="52" spans="1:29">
      <c r="C52" s="11">
        <v>142.46100000000001</v>
      </c>
      <c r="D52" s="11">
        <v>68.936000000000007</v>
      </c>
      <c r="E52">
        <f t="shared" si="11"/>
        <v>71.230500000000006</v>
      </c>
      <c r="F52">
        <f t="shared" si="12"/>
        <v>34.468000000000004</v>
      </c>
      <c r="G52">
        <f t="shared" si="13"/>
        <v>7713.1530642513399</v>
      </c>
    </row>
    <row r="53" spans="1:29">
      <c r="C53" s="11">
        <v>181.304</v>
      </c>
      <c r="D53" s="11">
        <v>107.298</v>
      </c>
      <c r="E53">
        <f t="shared" si="8"/>
        <v>90.652000000000001</v>
      </c>
      <c r="F53">
        <f t="shared" si="9"/>
        <v>53.649000000000001</v>
      </c>
      <c r="G53">
        <f t="shared" si="10"/>
        <v>15278.787618905124</v>
      </c>
    </row>
    <row r="54" spans="1:29">
      <c r="C54" s="11">
        <v>146.05500000000001</v>
      </c>
      <c r="D54" s="11">
        <v>69.221000000000004</v>
      </c>
      <c r="E54">
        <f t="shared" si="8"/>
        <v>73.027500000000003</v>
      </c>
      <c r="F54">
        <f t="shared" si="9"/>
        <v>34.610500000000002</v>
      </c>
      <c r="G54">
        <f t="shared" si="10"/>
        <v>7940.432887750846</v>
      </c>
    </row>
    <row r="55" spans="1:29">
      <c r="C55" s="11">
        <v>131.886</v>
      </c>
      <c r="D55" s="11">
        <v>136.38800000000001</v>
      </c>
      <c r="E55">
        <f t="shared" si="8"/>
        <v>65.942999999999998</v>
      </c>
      <c r="F55">
        <f t="shared" si="9"/>
        <v>68.194000000000003</v>
      </c>
      <c r="G55">
        <f t="shared" si="10"/>
        <v>14127.481228790677</v>
      </c>
    </row>
    <row r="56" spans="1:29">
      <c r="C56" s="11">
        <v>70.349999999999994</v>
      </c>
      <c r="D56" s="11">
        <v>70.349999999999994</v>
      </c>
      <c r="E56">
        <f t="shared" si="8"/>
        <v>35.174999999999997</v>
      </c>
      <c r="F56">
        <f t="shared" si="9"/>
        <v>35.174999999999997</v>
      </c>
      <c r="G56">
        <f t="shared" si="10"/>
        <v>3887.0317219289868</v>
      </c>
    </row>
    <row r="57" spans="1:29">
      <c r="C57" s="11">
        <v>80.203000000000003</v>
      </c>
      <c r="D57" s="11">
        <v>80.203000000000003</v>
      </c>
      <c r="E57">
        <f t="shared" si="8"/>
        <v>40.101500000000001</v>
      </c>
      <c r="F57">
        <f t="shared" si="9"/>
        <v>40.101500000000001</v>
      </c>
      <c r="G57">
        <f t="shared" si="10"/>
        <v>5052.0903435637338</v>
      </c>
    </row>
    <row r="58" spans="1:29">
      <c r="A58" s="31" t="s">
        <v>102</v>
      </c>
      <c r="B58" s="152">
        <f>COUNT(C37:C57)</f>
        <v>21</v>
      </c>
      <c r="C58" s="152">
        <f>AVERAGE(C37:C57)</f>
        <v>160.86957142857142</v>
      </c>
      <c r="D58" s="152">
        <f>AVERAGE(D37:D57)</f>
        <v>136.74123809523812</v>
      </c>
      <c r="E58" s="152">
        <f>AVERAGE(E37:E57)</f>
        <v>80.434785714285709</v>
      </c>
      <c r="F58" s="152">
        <f>AVERAGE(F37:F57)</f>
        <v>68.370619047619059</v>
      </c>
      <c r="G58" s="152">
        <f>AVERAGE(G37:G57)</f>
        <v>21305.501534164785</v>
      </c>
      <c r="H58" s="152">
        <f>B58</f>
        <v>21</v>
      </c>
      <c r="I58" s="152">
        <f>H58*G58</f>
        <v>447415.53221746051</v>
      </c>
      <c r="J58">
        <v>7276543.7929999996</v>
      </c>
      <c r="K58" s="153">
        <f>I58/J58</f>
        <v>6.1487368858807956E-2</v>
      </c>
      <c r="L58" s="153">
        <f>K58*100</f>
        <v>6.1487368858807958</v>
      </c>
    </row>
    <row r="59" spans="1:29">
      <c r="A59" s="32" t="s">
        <v>106</v>
      </c>
      <c r="B59" s="154">
        <f>COUNTIF(C37:C57,"&gt;"&amp;$B$9)</f>
        <v>4</v>
      </c>
      <c r="C59" s="155">
        <f>AVERAGEIF(C37:C57,"&gt;"&amp;$B$9)</f>
        <v>294.14950000000005</v>
      </c>
      <c r="D59" s="155">
        <f>AVERAGEIF(D37:D57,"&gt;"&amp;$B$9)</f>
        <v>292.65866666666665</v>
      </c>
      <c r="E59" s="155">
        <f>AVERAGEIF(C37:C57,"&gt;"&amp;$B$9,E37:E57)</f>
        <v>147.07475000000002</v>
      </c>
      <c r="F59" s="155">
        <f>AVERAGEIF(D37:D57,"&gt;"&amp;$B$9,F37:F57)</f>
        <v>146.32933333333332</v>
      </c>
      <c r="G59" s="155">
        <f>AVERAGEIF(C37:C57,"&gt;"&amp;$B$9,G37:G57)</f>
        <v>60199.642853492362</v>
      </c>
      <c r="H59" s="155">
        <f>B59</f>
        <v>4</v>
      </c>
      <c r="I59" s="155">
        <f t="shared" ref="I59:I60" si="17">H59*G59</f>
        <v>240798.57141396945</v>
      </c>
      <c r="J59" s="154">
        <f>J58</f>
        <v>7276543.7929999996</v>
      </c>
      <c r="K59" s="153">
        <f>I59/J59</f>
        <v>3.3092437600061794E-2</v>
      </c>
      <c r="L59" s="153">
        <f>K59*100</f>
        <v>3.3092437600061793</v>
      </c>
    </row>
    <row r="60" spans="1:29">
      <c r="A60" s="30" t="s">
        <v>24</v>
      </c>
      <c r="B60" s="154">
        <f>COUNTIF(C37:C57,"&gt;"&amp;$B$10)-COUNTIF(C37:C57,"&gt;"&amp;$B$9)</f>
        <v>13</v>
      </c>
      <c r="C60" s="154">
        <f>AVERAGEIFS(C37:C57,C37:C57,"&gt;"&amp;$B$10,C37:C57,"&lt;"&amp;$B$9)</f>
        <v>144.33046153846155</v>
      </c>
      <c r="D60" s="154">
        <f>AVERAGEIFS(D37:D57,D37:D57,"&gt;"&amp;$B$10,D37:D57,"&lt;"&amp;$B$9)</f>
        <v>140.11259999999999</v>
      </c>
      <c r="E60" s="154">
        <f>AVERAGEIFS(E37:E57,C37:C57,"&gt;"&amp;$B$10,C37:C57,"&lt;"&amp;$B$9)</f>
        <v>72.165230769230774</v>
      </c>
      <c r="F60" s="154">
        <f>AVERAGEIFS(F37:F57,D37:D57,"&gt;"&amp;$B$10,D37:D57,"&lt;"&amp;$B$9)</f>
        <v>70.056299999999993</v>
      </c>
      <c r="G60" s="154">
        <f>AVERAGEIFS(G37:G57,C37:C57,"&gt;"&amp;$B$10,C37:C57,"&lt;"&amp;$B$9)</f>
        <v>14371.766313286644</v>
      </c>
      <c r="H60" s="155">
        <f t="shared" ref="H60" si="18">B60</f>
        <v>13</v>
      </c>
      <c r="I60" s="155">
        <f t="shared" si="17"/>
        <v>186832.96207272637</v>
      </c>
      <c r="J60" s="154">
        <f>J58</f>
        <v>7276543.7929999996</v>
      </c>
      <c r="K60" s="155">
        <f>I60/J60</f>
        <v>2.5676058220450593E-2</v>
      </c>
      <c r="L60" s="155">
        <f>K60*100</f>
        <v>2.5676058220450595</v>
      </c>
    </row>
    <row r="61" spans="1:29" s="30" customFormat="1">
      <c r="A61" s="33" t="s">
        <v>25</v>
      </c>
      <c r="B61" s="154">
        <f>COUNTIF(C37:C57,"&gt;"&amp;$B$11)-COUNTIF(C37:C57,"&gt;"&amp;$B$10)</f>
        <v>4</v>
      </c>
      <c r="C61" s="154">
        <f>AVERAGEIFS(C37:C57,C37:C57,"&gt;"&amp;$B$11,C37:C57,"&lt;"&amp;$B$10)</f>
        <v>81.34174999999999</v>
      </c>
      <c r="D61" s="154">
        <f>AVERAGEIFS(D37:D57,D37:D57,"&gt;"&amp;$B$11,D37:D57,"&lt;"&amp;$B$10)</f>
        <v>74.058000000000007</v>
      </c>
      <c r="E61" s="154">
        <f>AVERAGEIFS(E37:E57,C37:C57,"&gt;"&amp;$B$11,C37:C57,"&lt;"&amp;$B$10)</f>
        <v>40.670874999999995</v>
      </c>
      <c r="F61" s="154">
        <f>AVERAGEIFS(F37:F57,D37:D57,"&gt;"&amp;$B$11,D37:D57,"&lt;"&amp;$B$10)</f>
        <v>37.029000000000003</v>
      </c>
      <c r="G61" s="154">
        <f>AVERAGEIFS(G37:G57,C37:C57,"&gt;"&amp;$B$11,C37:C57,"&lt;"&amp;$B$10)</f>
        <v>4945.9996826911974</v>
      </c>
      <c r="H61" s="155">
        <f>B61</f>
        <v>4</v>
      </c>
      <c r="I61" s="155">
        <f>H61*G61</f>
        <v>19783.99873076479</v>
      </c>
      <c r="J61" s="154">
        <f>J58</f>
        <v>7276543.7929999996</v>
      </c>
      <c r="K61" s="155">
        <f>I61/J61</f>
        <v>2.7188730382955851E-3</v>
      </c>
      <c r="L61" s="155">
        <f>K61*100</f>
        <v>0.2718873038295585</v>
      </c>
    </row>
    <row r="62" spans="1:29">
      <c r="A62" s="11"/>
      <c r="B62" s="11"/>
      <c r="C62" s="11"/>
      <c r="D62" s="11"/>
      <c r="E62" s="11"/>
      <c r="F62" s="11"/>
      <c r="G62" s="11"/>
      <c r="H62" s="11"/>
      <c r="I62" s="48"/>
      <c r="J62" s="48"/>
      <c r="K62" s="48"/>
      <c r="L62" s="48"/>
    </row>
    <row r="63" spans="1:29">
      <c r="A63" s="11"/>
      <c r="B63" s="11"/>
      <c r="C63" s="11"/>
      <c r="D63" s="11"/>
      <c r="E63" s="11"/>
      <c r="F63" s="11"/>
      <c r="G63" s="11"/>
      <c r="H63" s="11"/>
      <c r="I63" s="48"/>
      <c r="J63" s="48"/>
      <c r="K63" s="48"/>
      <c r="L63" s="48"/>
    </row>
    <row r="64" spans="1:29">
      <c r="A64" s="11"/>
      <c r="B64" s="11"/>
      <c r="C64" s="11"/>
      <c r="D64" s="11"/>
      <c r="E64" s="11"/>
      <c r="F64" s="11"/>
      <c r="G64" s="11"/>
      <c r="H64" s="11"/>
      <c r="I64" s="11"/>
      <c r="J64" s="11"/>
      <c r="K64" s="11"/>
      <c r="L64" s="11"/>
      <c r="AC64" s="8"/>
    </row>
    <row r="65" spans="1:29" ht="30">
      <c r="A65" s="2" t="s">
        <v>134</v>
      </c>
      <c r="B65" s="2" t="s">
        <v>135</v>
      </c>
      <c r="C65" s="2" t="s">
        <v>18</v>
      </c>
      <c r="D65" s="2" t="s">
        <v>107</v>
      </c>
      <c r="E65" s="2" t="s">
        <v>19</v>
      </c>
      <c r="F65" s="2" t="s">
        <v>108</v>
      </c>
      <c r="G65" s="2" t="s">
        <v>6</v>
      </c>
      <c r="H65" s="2" t="s">
        <v>20</v>
      </c>
      <c r="I65" s="2" t="s">
        <v>21</v>
      </c>
      <c r="J65" s="2" t="s">
        <v>8</v>
      </c>
      <c r="K65" s="2" t="s">
        <v>22</v>
      </c>
      <c r="L65" s="2" t="s">
        <v>23</v>
      </c>
      <c r="AC65" s="8"/>
    </row>
    <row r="66" spans="1:29">
      <c r="A66" t="s">
        <v>317</v>
      </c>
      <c r="B66" s="2"/>
      <c r="C66" s="11">
        <v>27.207000000000001</v>
      </c>
      <c r="D66" s="11">
        <v>27.207000000000001</v>
      </c>
      <c r="E66">
        <f>C66/2</f>
        <v>13.6035</v>
      </c>
      <c r="F66">
        <f>D66/2</f>
        <v>13.6035</v>
      </c>
      <c r="G66">
        <f>PI()*E66*F66</f>
        <v>581.36809531309984</v>
      </c>
      <c r="H66" s="2"/>
      <c r="I66" s="2"/>
      <c r="J66" s="2"/>
      <c r="K66" s="2"/>
      <c r="L66" s="2"/>
      <c r="AC66" s="8"/>
    </row>
    <row r="67" spans="1:29">
      <c r="C67" s="33">
        <v>50.692</v>
      </c>
      <c r="D67" s="11">
        <v>31.727</v>
      </c>
      <c r="E67">
        <f t="shared" ref="E67" si="19">C67/2</f>
        <v>25.346</v>
      </c>
      <c r="F67">
        <f t="shared" ref="F67" si="20">D67/2</f>
        <v>15.8635</v>
      </c>
      <c r="G67">
        <f t="shared" ref="G67" si="21">PI()*E67*F67</f>
        <v>1263.1598591563788</v>
      </c>
      <c r="AC67" s="8"/>
    </row>
    <row r="68" spans="1:29">
      <c r="A68" s="31" t="s">
        <v>102</v>
      </c>
      <c r="B68" s="152">
        <f>COUNT(C66:C67)</f>
        <v>2</v>
      </c>
      <c r="C68" s="152">
        <f>AVERAGE(C66:C67)</f>
        <v>38.9495</v>
      </c>
      <c r="D68" s="152">
        <f>AVERAGE(D66:D67)</f>
        <v>29.466999999999999</v>
      </c>
      <c r="E68" s="152">
        <f>AVERAGE(E66:E67)</f>
        <v>19.47475</v>
      </c>
      <c r="F68" s="152">
        <f>AVERAGE(F66:F67)</f>
        <v>14.733499999999999</v>
      </c>
      <c r="G68" s="152">
        <f>AVERAGE(G66:G67)</f>
        <v>922.26397723473929</v>
      </c>
      <c r="H68" s="152">
        <f>B68</f>
        <v>2</v>
      </c>
      <c r="I68" s="153">
        <f>H68*G68</f>
        <v>1844.5279544694786</v>
      </c>
      <c r="J68" s="11">
        <v>58594.921000000002</v>
      </c>
      <c r="K68" s="153">
        <f>I68/J68</f>
        <v>3.1479314640077395E-2</v>
      </c>
      <c r="L68" s="153">
        <f>K68*100</f>
        <v>3.1479314640077396</v>
      </c>
    </row>
    <row r="69" spans="1:29">
      <c r="A69" s="32" t="s">
        <v>106</v>
      </c>
      <c r="B69" s="154">
        <f>COUNTIF(C66:C67,"&gt;"&amp;$B$9)</f>
        <v>0</v>
      </c>
      <c r="C69" s="155" t="e">
        <f>AVERAGEIF(C66:C67,"&gt;"&amp;$B$9)</f>
        <v>#DIV/0!</v>
      </c>
      <c r="D69" s="155" t="e">
        <f>AVERAGEIF(D66:D67,"&gt;"&amp;$B$9)</f>
        <v>#DIV/0!</v>
      </c>
      <c r="E69" s="155" t="e">
        <f>AVERAGEIF(C66:C67,"&gt;"&amp;$B$9,E66:E67)</f>
        <v>#DIV/0!</v>
      </c>
      <c r="F69" s="155" t="e">
        <f>AVERAGEIF(D66:D67,"&gt;"&amp;$B$9,F66:F67)</f>
        <v>#DIV/0!</v>
      </c>
      <c r="G69" s="155" t="e">
        <f>AVERAGEIF(C66:C67,"&gt;"&amp;$B$9,G66:G67)</f>
        <v>#DIV/0!</v>
      </c>
      <c r="H69" s="155">
        <f>B69</f>
        <v>0</v>
      </c>
      <c r="I69" s="153" t="e">
        <f>(C66*Q44)+(#REF!*Q45)</f>
        <v>#REF!</v>
      </c>
      <c r="J69" s="154">
        <f>J68</f>
        <v>58594.921000000002</v>
      </c>
      <c r="K69" s="153" t="e">
        <f>I69/J69</f>
        <v>#REF!</v>
      </c>
      <c r="L69" s="153" t="e">
        <f>K69*100</f>
        <v>#REF!</v>
      </c>
    </row>
    <row r="70" spans="1:29">
      <c r="A70" s="30" t="s">
        <v>24</v>
      </c>
      <c r="B70" s="154">
        <f>COUNTIF(C66:C67,"&gt;"&amp;$B$10)-COUNTIF(C66:C67,"&gt;"&amp;$B$9)</f>
        <v>0</v>
      </c>
      <c r="C70" s="154" t="e">
        <f>AVERAGEIFS(C66:C67,C66:C67,"&gt;"&amp;$B$10,C66:C67,"&lt;"&amp;$B$9)</f>
        <v>#DIV/0!</v>
      </c>
      <c r="D70" s="154" t="e">
        <f>AVERAGEIFS(D66:D67,D66:D67,"&gt;"&amp;$B$10,D66:D67,"&lt;"&amp;$B$9)</f>
        <v>#DIV/0!</v>
      </c>
      <c r="E70" s="154" t="e">
        <f>AVERAGEIFS(E66:E67,C66:C67,"&gt;"&amp;$B$10,C66:C67,"&lt;"&amp;$B$9)</f>
        <v>#DIV/0!</v>
      </c>
      <c r="F70" s="154" t="e">
        <f>AVERAGEIFS(F66:F67,D66:D67,"&gt;"&amp;$B$10,D66:D67,"&lt;"&amp;$B$9)</f>
        <v>#DIV/0!</v>
      </c>
      <c r="G70" s="154" t="e">
        <f>AVERAGEIFS(G66:G67,C66:C67,"&gt;"&amp;$B$10,C66:C67,"&lt;"&amp;$B$9)</f>
        <v>#DIV/0!</v>
      </c>
      <c r="H70" s="155">
        <f t="shared" ref="H70" si="22">B70</f>
        <v>0</v>
      </c>
      <c r="I70" s="155" t="e">
        <f>(C67*R44)+#REF!+(#REF!*R45)</f>
        <v>#REF!</v>
      </c>
      <c r="J70" s="154">
        <f>J68</f>
        <v>58594.921000000002</v>
      </c>
      <c r="K70" s="155" t="e">
        <f>I70/J70</f>
        <v>#REF!</v>
      </c>
      <c r="L70" s="155" t="e">
        <f>K70*100</f>
        <v>#REF!</v>
      </c>
    </row>
    <row r="71" spans="1:29">
      <c r="A71" s="33" t="s">
        <v>25</v>
      </c>
      <c r="B71" s="154">
        <f>COUNTIF(C66:C67,"&gt;"&amp;$B$11)-COUNTIF(C66:C67,"&gt;"&amp;$B$10)</f>
        <v>2</v>
      </c>
      <c r="C71" s="154">
        <f>AVERAGEIFS(C66:C67,C66:C67,"&gt;"&amp;$B$11,C66:C67,"&lt;"&amp;$B$10)</f>
        <v>38.9495</v>
      </c>
      <c r="D71" s="154">
        <f>AVERAGEIFS(D66:D67,D66:D67,"&gt;"&amp;$B$11,D66:D67,"&lt;"&amp;$B$10)</f>
        <v>29.466999999999999</v>
      </c>
      <c r="E71" s="154">
        <f>AVERAGEIFS(E66:E67,C66:C67,"&gt;"&amp;$B$11,C66:C67,"&lt;"&amp;$B$10)</f>
        <v>19.47475</v>
      </c>
      <c r="F71" s="154">
        <f>AVERAGEIFS(F66:F67,D66:D67,"&gt;"&amp;$B$11,D66:D67,"&lt;"&amp;$B$10)</f>
        <v>14.733499999999999</v>
      </c>
      <c r="G71" s="154">
        <f>AVERAGEIFS(G66:G67,C66:C67,"&gt;"&amp;$B$11,C66:C67,"&lt;"&amp;$B$10)</f>
        <v>922.26397723473929</v>
      </c>
      <c r="H71" s="155">
        <f>B71</f>
        <v>2</v>
      </c>
      <c r="I71" s="155">
        <f>H71*G71</f>
        <v>1844.5279544694786</v>
      </c>
      <c r="J71" s="154">
        <f>J68</f>
        <v>58594.921000000002</v>
      </c>
      <c r="K71" s="155">
        <f>I71/J71</f>
        <v>3.1479314640077395E-2</v>
      </c>
      <c r="L71" s="155">
        <f>K71*100</f>
        <v>3.1479314640077396</v>
      </c>
    </row>
    <row r="72" spans="1:29">
      <c r="A72" s="11"/>
      <c r="B72" s="11"/>
      <c r="C72" s="11"/>
      <c r="D72" s="11"/>
      <c r="E72" s="11"/>
      <c r="F72" s="11"/>
      <c r="G72" s="11"/>
      <c r="H72" s="11"/>
      <c r="I72" s="48"/>
      <c r="J72" s="48"/>
      <c r="K72" s="48"/>
      <c r="L72" s="48"/>
    </row>
    <row r="73" spans="1:29">
      <c r="A73" s="11"/>
      <c r="B73" s="11"/>
      <c r="C73" s="11"/>
      <c r="D73" s="11"/>
      <c r="E73" s="11"/>
      <c r="F73" s="11"/>
      <c r="G73" s="11"/>
      <c r="H73" s="11"/>
      <c r="I73" s="11"/>
      <c r="J73" s="11"/>
      <c r="K73" s="11"/>
      <c r="L73" s="11"/>
    </row>
    <row r="74" spans="1:29">
      <c r="A74" s="11"/>
      <c r="B74" s="11"/>
      <c r="C74" s="11"/>
      <c r="D74" s="11"/>
      <c r="E74" s="11"/>
      <c r="F74" s="11"/>
      <c r="G74" s="11"/>
      <c r="H74" s="11"/>
      <c r="I74" s="11"/>
      <c r="J74" s="11"/>
      <c r="K74" s="11"/>
      <c r="L74" s="11"/>
    </row>
    <row r="75" spans="1:29">
      <c r="A75" s="11"/>
      <c r="B75" s="11"/>
      <c r="C75" s="11"/>
      <c r="D75" s="11"/>
      <c r="E75" s="11"/>
      <c r="F75" s="11"/>
      <c r="G75" s="11"/>
      <c r="H75" s="11"/>
      <c r="I75" s="11"/>
      <c r="J75" s="11"/>
      <c r="K75" s="11"/>
      <c r="L75" s="11"/>
    </row>
    <row r="76" spans="1:29">
      <c r="A76" s="33"/>
      <c r="B76" s="33"/>
      <c r="C76" s="33"/>
      <c r="D76" s="33"/>
      <c r="E76" s="33"/>
      <c r="F76" s="33"/>
      <c r="G76" s="33"/>
      <c r="H76" s="33"/>
      <c r="I76" s="33"/>
      <c r="J76" s="33"/>
      <c r="K76" s="33"/>
      <c r="L76" s="33"/>
    </row>
    <row r="77" spans="1:29">
      <c r="A77" s="11"/>
      <c r="B77" s="11"/>
      <c r="C77" s="11"/>
      <c r="D77" s="11"/>
      <c r="E77" s="11"/>
      <c r="F77" s="11"/>
      <c r="G77" s="11"/>
      <c r="H77" s="11"/>
      <c r="I77" s="11"/>
      <c r="J77" s="11"/>
      <c r="K77" s="33"/>
      <c r="L77" s="33"/>
    </row>
    <row r="78" spans="1:29">
      <c r="A78" s="11"/>
      <c r="B78" s="11"/>
      <c r="C78" s="11"/>
      <c r="D78" s="11"/>
      <c r="E78" s="11"/>
      <c r="F78" s="11"/>
      <c r="G78" s="11"/>
      <c r="H78" s="11"/>
      <c r="I78" s="11"/>
      <c r="J78" s="11"/>
      <c r="K78" s="33"/>
      <c r="L78" s="33"/>
    </row>
    <row r="79" spans="1:29">
      <c r="A79" s="33"/>
      <c r="B79" s="11"/>
      <c r="C79" s="11"/>
      <c r="D79" s="11"/>
      <c r="E79" s="11"/>
      <c r="F79" s="11"/>
      <c r="G79" s="11"/>
      <c r="H79" s="11"/>
      <c r="I79" s="11"/>
      <c r="J79" s="11"/>
      <c r="K79" s="33"/>
      <c r="L79" s="33"/>
    </row>
    <row r="80" spans="1:29">
      <c r="A80" s="11"/>
      <c r="B80" s="11"/>
      <c r="C80" s="11"/>
      <c r="D80" s="11"/>
      <c r="E80" s="11"/>
      <c r="F80" s="11"/>
      <c r="G80" s="11"/>
      <c r="H80" s="11"/>
      <c r="I80" s="11"/>
      <c r="J80" s="11"/>
      <c r="K80" s="11"/>
      <c r="L80" s="11"/>
    </row>
    <row r="81" spans="1:12">
      <c r="A81" s="11"/>
      <c r="B81" s="11"/>
      <c r="C81" s="11"/>
      <c r="D81" s="11"/>
      <c r="E81" s="11"/>
      <c r="F81" s="11"/>
      <c r="G81" s="11"/>
      <c r="H81" s="11"/>
      <c r="I81" s="11"/>
      <c r="J81" s="11"/>
      <c r="K81" s="11"/>
      <c r="L81" s="11"/>
    </row>
    <row r="82" spans="1:12">
      <c r="A82" s="11"/>
      <c r="B82" s="11"/>
      <c r="C82" s="11"/>
      <c r="D82" s="11"/>
      <c r="E82" s="11"/>
      <c r="F82" s="11"/>
      <c r="G82" s="11"/>
      <c r="H82" s="11"/>
      <c r="I82" s="11"/>
      <c r="J82" s="11"/>
      <c r="K82" s="11"/>
      <c r="L82" s="11"/>
    </row>
    <row r="83" spans="1:12">
      <c r="A83" s="11"/>
      <c r="B83" s="11"/>
      <c r="C83" s="11"/>
      <c r="D83" s="11"/>
      <c r="E83" s="11"/>
      <c r="F83" s="11"/>
      <c r="G83" s="11"/>
      <c r="H83" s="11"/>
      <c r="I83" s="11"/>
      <c r="J83" s="11"/>
      <c r="K83" s="11"/>
      <c r="L83" s="11"/>
    </row>
    <row r="84" spans="1:12">
      <c r="A84" s="11"/>
      <c r="B84" s="11"/>
      <c r="C84" s="11"/>
      <c r="D84" s="11"/>
      <c r="E84" s="11"/>
      <c r="F84" s="11"/>
      <c r="G84" s="11"/>
      <c r="H84" s="11"/>
      <c r="I84" s="11"/>
      <c r="J84" s="11"/>
      <c r="K84" s="29"/>
      <c r="L84" s="29"/>
    </row>
    <row r="85" spans="1:12">
      <c r="A85" s="11"/>
      <c r="B85" s="11"/>
      <c r="C85" s="11"/>
      <c r="D85" s="11"/>
      <c r="E85" s="11"/>
      <c r="F85" s="11"/>
      <c r="G85" s="11"/>
      <c r="H85" s="11"/>
      <c r="I85" s="11"/>
      <c r="J85" s="11"/>
      <c r="K85" s="11"/>
      <c r="L85" s="11"/>
    </row>
    <row r="86" spans="1:12">
      <c r="A86" s="11"/>
      <c r="B86" s="11"/>
      <c r="C86" s="11"/>
      <c r="D86" s="11"/>
      <c r="E86" s="11"/>
      <c r="F86" s="11"/>
      <c r="G86" s="11"/>
      <c r="H86" s="11"/>
      <c r="I86" s="11"/>
      <c r="J86" s="11"/>
      <c r="K86" s="11"/>
      <c r="L86" s="11"/>
    </row>
    <row r="87" spans="1:12">
      <c r="A87" s="11"/>
      <c r="B87" s="11"/>
      <c r="C87" s="11"/>
      <c r="D87" s="11"/>
      <c r="E87" s="11"/>
      <c r="F87" s="11"/>
      <c r="G87" s="11"/>
      <c r="H87" s="11"/>
      <c r="I87" s="11"/>
      <c r="J87" s="11"/>
      <c r="K87" s="11"/>
      <c r="L87" s="11"/>
    </row>
    <row r="88" spans="1:12">
      <c r="A88" s="11"/>
      <c r="B88" s="11"/>
      <c r="C88" s="11"/>
      <c r="D88" s="11"/>
      <c r="E88" s="11"/>
      <c r="F88" s="11"/>
      <c r="G88" s="11"/>
      <c r="H88" s="11"/>
      <c r="I88" s="11"/>
      <c r="J88" s="11"/>
      <c r="K88" s="11"/>
      <c r="L88" s="11"/>
    </row>
    <row r="89" spans="1:12">
      <c r="A89" s="11"/>
      <c r="B89" s="11"/>
      <c r="C89" s="11"/>
      <c r="D89" s="11"/>
      <c r="E89" s="11"/>
      <c r="F89" s="11"/>
      <c r="G89" s="11"/>
      <c r="H89" s="11"/>
      <c r="I89" s="11"/>
      <c r="J89" s="11"/>
      <c r="K89" s="11"/>
      <c r="L89" s="11"/>
    </row>
    <row r="90" spans="1:12">
      <c r="A90" s="11"/>
      <c r="B90" s="11"/>
      <c r="C90" s="11"/>
      <c r="D90" s="11"/>
      <c r="E90" s="11"/>
      <c r="F90" s="11"/>
      <c r="G90" s="11"/>
      <c r="H90" s="11"/>
      <c r="I90" s="11"/>
      <c r="J90" s="11"/>
      <c r="K90" s="11"/>
      <c r="L90" s="11"/>
    </row>
    <row r="91" spans="1:12">
      <c r="A91" s="33"/>
      <c r="B91" s="33"/>
      <c r="C91" s="33"/>
      <c r="D91" s="33"/>
      <c r="E91" s="33"/>
      <c r="F91" s="33"/>
      <c r="G91" s="33"/>
      <c r="H91" s="33"/>
      <c r="I91" s="33"/>
      <c r="J91" s="11"/>
      <c r="K91" s="33"/>
      <c r="L91" s="33"/>
    </row>
    <row r="92" spans="1:12">
      <c r="A92" s="11"/>
      <c r="B92" s="11"/>
      <c r="C92" s="11"/>
      <c r="D92" s="11"/>
      <c r="E92" s="11"/>
      <c r="F92" s="11"/>
      <c r="G92" s="11"/>
      <c r="H92" s="11"/>
      <c r="I92" s="11"/>
      <c r="J92" s="11"/>
      <c r="K92" s="33"/>
      <c r="L92" s="33"/>
    </row>
    <row r="93" spans="1:12">
      <c r="A93" s="11"/>
      <c r="B93" s="11"/>
      <c r="C93" s="11"/>
      <c r="D93" s="11"/>
      <c r="E93" s="11"/>
      <c r="F93" s="11"/>
      <c r="G93" s="11"/>
      <c r="H93" s="11"/>
      <c r="I93" s="11"/>
      <c r="J93" s="11"/>
      <c r="K93" s="33"/>
      <c r="L93" s="33"/>
    </row>
    <row r="94" spans="1:12">
      <c r="A94" s="33"/>
      <c r="B94" s="11"/>
      <c r="C94" s="11"/>
      <c r="D94" s="11"/>
      <c r="E94" s="11"/>
      <c r="F94" s="11"/>
      <c r="G94" s="11"/>
      <c r="H94" s="11"/>
      <c r="I94" s="11"/>
      <c r="J94" s="11"/>
      <c r="K94" s="33"/>
      <c r="L94" s="33"/>
    </row>
    <row r="95" spans="1:12">
      <c r="A95" s="11"/>
      <c r="B95" s="11"/>
      <c r="C95" s="11"/>
      <c r="D95" s="11"/>
      <c r="E95" s="11"/>
      <c r="F95" s="11"/>
      <c r="G95" s="11"/>
      <c r="H95" s="11"/>
      <c r="I95" s="11"/>
      <c r="J95" s="11"/>
      <c r="K95" s="11"/>
      <c r="L95" s="11"/>
    </row>
    <row r="96" spans="1:12">
      <c r="A96" s="11"/>
      <c r="B96" s="11"/>
      <c r="C96" s="11"/>
      <c r="D96" s="11"/>
      <c r="E96" s="11"/>
      <c r="F96" s="11"/>
      <c r="G96" s="11"/>
      <c r="H96" s="11"/>
      <c r="I96" s="11"/>
      <c r="J96" s="11"/>
      <c r="K96" s="11"/>
      <c r="L96" s="11"/>
    </row>
    <row r="97" spans="1:12">
      <c r="A97" s="11"/>
      <c r="B97" s="11"/>
      <c r="C97" s="11"/>
      <c r="D97" s="11"/>
      <c r="E97" s="11"/>
      <c r="F97" s="11"/>
      <c r="G97" s="11"/>
      <c r="H97" s="11"/>
      <c r="I97" s="11"/>
      <c r="J97" s="11"/>
      <c r="K97" s="11"/>
      <c r="L97" s="11"/>
    </row>
    <row r="98" spans="1:12">
      <c r="A98" s="11"/>
      <c r="B98" s="11"/>
      <c r="C98" s="11"/>
      <c r="D98" s="11"/>
      <c r="E98" s="11"/>
      <c r="F98" s="11"/>
      <c r="G98" s="11"/>
      <c r="H98" s="11"/>
      <c r="I98" s="11"/>
      <c r="J98" s="11"/>
      <c r="K98" s="29"/>
      <c r="L98" s="29"/>
    </row>
    <row r="99" spans="1:12">
      <c r="A99" s="11"/>
      <c r="B99" s="11"/>
      <c r="C99" s="11"/>
      <c r="D99" s="11"/>
      <c r="E99" s="11"/>
      <c r="F99" s="11"/>
      <c r="G99" s="11"/>
      <c r="H99" s="11"/>
      <c r="I99" s="11"/>
      <c r="J99" s="11"/>
      <c r="K99" s="11"/>
      <c r="L99" s="11"/>
    </row>
    <row r="100" spans="1:12">
      <c r="A100" s="11"/>
      <c r="B100" s="11"/>
      <c r="C100" s="11"/>
      <c r="D100" s="11"/>
      <c r="E100" s="11"/>
      <c r="F100" s="11"/>
      <c r="G100" s="11"/>
      <c r="H100" s="11"/>
      <c r="I100" s="11"/>
      <c r="J100" s="11"/>
      <c r="K100" s="11"/>
      <c r="L100" s="11"/>
    </row>
    <row r="101" spans="1:12">
      <c r="A101" s="11"/>
      <c r="B101" s="11"/>
      <c r="C101" s="11"/>
      <c r="D101" s="11"/>
      <c r="E101" s="11"/>
      <c r="F101" s="11"/>
      <c r="G101" s="11"/>
      <c r="H101" s="11"/>
      <c r="I101" s="11"/>
      <c r="J101" s="11"/>
      <c r="K101" s="11"/>
      <c r="L101" s="11"/>
    </row>
    <row r="102" spans="1:12">
      <c r="A102" s="11"/>
      <c r="B102" s="11"/>
      <c r="C102" s="11"/>
      <c r="D102" s="11"/>
      <c r="E102" s="11"/>
      <c r="F102" s="11"/>
      <c r="G102" s="11"/>
      <c r="H102" s="11"/>
      <c r="I102" s="11"/>
      <c r="J102" s="11"/>
      <c r="K102" s="11"/>
      <c r="L102" s="11"/>
    </row>
    <row r="103" spans="1:12">
      <c r="A103" s="11"/>
      <c r="B103" s="11"/>
      <c r="C103" s="11"/>
      <c r="D103" s="11"/>
      <c r="E103" s="11"/>
      <c r="F103" s="11"/>
      <c r="G103" s="11"/>
      <c r="H103" s="11"/>
      <c r="I103" s="11"/>
      <c r="J103" s="11"/>
      <c r="K103" s="11"/>
      <c r="L103" s="11"/>
    </row>
    <row r="104" spans="1:12">
      <c r="A104" s="11"/>
      <c r="B104" s="11"/>
      <c r="C104" s="11"/>
      <c r="D104" s="11"/>
      <c r="E104" s="11"/>
      <c r="F104" s="11"/>
      <c r="G104" s="11"/>
      <c r="H104" s="11"/>
      <c r="I104" s="11"/>
      <c r="J104" s="11"/>
      <c r="K104" s="11"/>
      <c r="L104" s="11"/>
    </row>
    <row r="105" spans="1:12">
      <c r="A105" s="11"/>
      <c r="B105" s="11"/>
      <c r="C105" s="11"/>
      <c r="D105" s="11"/>
      <c r="E105" s="11"/>
      <c r="F105" s="11"/>
      <c r="G105" s="11"/>
      <c r="H105" s="11"/>
      <c r="I105" s="11"/>
      <c r="J105" s="11"/>
      <c r="K105" s="11"/>
      <c r="L105" s="11"/>
    </row>
    <row r="106" spans="1:12">
      <c r="A106" s="11"/>
      <c r="B106" s="11"/>
      <c r="C106" s="11"/>
      <c r="D106" s="11"/>
      <c r="E106" s="11"/>
      <c r="F106" s="11"/>
      <c r="G106" s="11"/>
      <c r="H106" s="11"/>
      <c r="I106" s="11"/>
      <c r="J106" s="11"/>
      <c r="K106" s="11"/>
      <c r="L106" s="11"/>
    </row>
    <row r="107" spans="1:12">
      <c r="A107" s="11"/>
      <c r="B107" s="11"/>
      <c r="C107" s="11"/>
      <c r="D107" s="11"/>
      <c r="E107" s="11"/>
      <c r="F107" s="11"/>
      <c r="G107" s="11"/>
      <c r="H107" s="11"/>
      <c r="I107" s="11"/>
      <c r="J107" s="11"/>
      <c r="K107" s="11"/>
      <c r="L107" s="11"/>
    </row>
    <row r="108" spans="1:12">
      <c r="A108" s="11"/>
      <c r="B108" s="11"/>
      <c r="C108" s="11"/>
      <c r="D108" s="11"/>
      <c r="E108" s="11"/>
      <c r="F108" s="11"/>
      <c r="G108" s="11"/>
      <c r="H108" s="11"/>
      <c r="I108" s="11"/>
      <c r="J108" s="11"/>
      <c r="K108" s="11"/>
      <c r="L108" s="11"/>
    </row>
    <row r="109" spans="1:12">
      <c r="A109" s="11"/>
      <c r="B109" s="11"/>
      <c r="C109" s="11"/>
      <c r="D109" s="11"/>
      <c r="E109" s="11"/>
      <c r="F109" s="11"/>
      <c r="G109" s="11"/>
      <c r="H109" s="11"/>
      <c r="I109" s="11"/>
      <c r="J109" s="11"/>
      <c r="K109" s="11"/>
      <c r="L109" s="11"/>
    </row>
    <row r="110" spans="1:12">
      <c r="A110" s="33"/>
      <c r="B110" s="33"/>
      <c r="C110" s="33"/>
      <c r="D110" s="33"/>
      <c r="E110" s="33"/>
      <c r="F110" s="33"/>
      <c r="G110" s="33"/>
      <c r="H110" s="33"/>
      <c r="I110" s="33"/>
      <c r="J110" s="11"/>
      <c r="K110" s="33"/>
      <c r="L110" s="33"/>
    </row>
    <row r="111" spans="1:12">
      <c r="A111" s="11"/>
      <c r="B111" s="11"/>
      <c r="C111" s="11"/>
      <c r="D111" s="11"/>
      <c r="E111" s="11"/>
      <c r="F111" s="11"/>
      <c r="G111" s="11"/>
      <c r="H111" s="11"/>
      <c r="I111" s="11"/>
      <c r="J111" s="11"/>
      <c r="K111" s="33"/>
      <c r="L111" s="33"/>
    </row>
    <row r="112" spans="1:12">
      <c r="A112" s="11"/>
      <c r="B112" s="11"/>
      <c r="C112" s="11"/>
      <c r="D112" s="11"/>
      <c r="E112" s="11"/>
      <c r="F112" s="11"/>
      <c r="G112" s="11"/>
      <c r="H112" s="11"/>
      <c r="I112" s="11"/>
      <c r="J112" s="11"/>
      <c r="K112" s="33"/>
      <c r="L112" s="33"/>
    </row>
    <row r="113" spans="1:12">
      <c r="A113" s="33"/>
      <c r="B113" s="11"/>
      <c r="C113" s="11"/>
      <c r="D113" s="11"/>
      <c r="E113" s="11"/>
      <c r="F113" s="11"/>
      <c r="G113" s="11"/>
      <c r="H113" s="11"/>
      <c r="I113" s="11"/>
      <c r="J113" s="11"/>
      <c r="K113" s="33"/>
      <c r="L113" s="33"/>
    </row>
    <row r="114" spans="1:12">
      <c r="A114" s="11"/>
      <c r="B114" s="11"/>
      <c r="C114" s="11"/>
      <c r="D114" s="11"/>
      <c r="E114" s="11"/>
      <c r="F114" s="11"/>
      <c r="G114" s="11"/>
      <c r="H114" s="11"/>
      <c r="I114" s="11"/>
      <c r="J114" s="11"/>
      <c r="K114" s="11"/>
      <c r="L114" s="11"/>
    </row>
    <row r="115" spans="1:12">
      <c r="A115" s="11"/>
      <c r="B115" s="11"/>
      <c r="C115" s="11"/>
      <c r="D115" s="11"/>
      <c r="E115" s="11"/>
      <c r="F115" s="11"/>
      <c r="G115" s="11"/>
      <c r="H115" s="11"/>
      <c r="I115" s="11"/>
      <c r="J115" s="11"/>
      <c r="K115" s="11"/>
      <c r="L115" s="11"/>
    </row>
    <row r="116" spans="1:12">
      <c r="A116" s="11"/>
      <c r="B116" s="11"/>
      <c r="C116" s="11"/>
      <c r="D116" s="11"/>
      <c r="E116" s="11"/>
      <c r="F116" s="11"/>
      <c r="G116" s="11"/>
      <c r="H116" s="11"/>
      <c r="I116" s="11"/>
      <c r="J116" s="11"/>
      <c r="K116" s="11"/>
      <c r="L116" s="11"/>
    </row>
    <row r="117" spans="1:12">
      <c r="A117" s="11"/>
      <c r="B117" s="11"/>
      <c r="C117" s="11"/>
      <c r="D117" s="11"/>
      <c r="E117" s="11"/>
      <c r="F117" s="11"/>
      <c r="G117" s="11"/>
      <c r="H117" s="11"/>
      <c r="I117" s="11"/>
      <c r="J117" s="11"/>
      <c r="K117" s="29"/>
      <c r="L117" s="29"/>
    </row>
    <row r="118" spans="1:12">
      <c r="A118" s="11"/>
      <c r="B118" s="11"/>
      <c r="C118" s="11"/>
      <c r="D118" s="11"/>
      <c r="E118" s="11"/>
      <c r="F118" s="11"/>
      <c r="G118" s="11"/>
      <c r="H118" s="11"/>
      <c r="I118" s="11"/>
      <c r="J118" s="11"/>
      <c r="K118" s="11"/>
      <c r="L118" s="11"/>
    </row>
    <row r="119" spans="1:12">
      <c r="A119" s="11"/>
      <c r="B119" s="11"/>
      <c r="C119" s="11"/>
      <c r="D119" s="11"/>
      <c r="E119" s="11"/>
      <c r="F119" s="11"/>
      <c r="G119" s="11"/>
      <c r="H119" s="11"/>
      <c r="I119" s="11"/>
      <c r="J119" s="11"/>
      <c r="K119" s="11"/>
      <c r="L119" s="11"/>
    </row>
    <row r="120" spans="1:12">
      <c r="A120" s="11"/>
      <c r="B120" s="11"/>
      <c r="C120" s="11"/>
      <c r="D120" s="11"/>
      <c r="E120" s="11"/>
      <c r="F120" s="11"/>
      <c r="G120" s="11"/>
      <c r="H120" s="11"/>
      <c r="I120" s="11"/>
      <c r="J120" s="11"/>
      <c r="K120" s="11"/>
      <c r="L120" s="11"/>
    </row>
    <row r="121" spans="1:12">
      <c r="A121" s="11"/>
      <c r="B121" s="11"/>
      <c r="C121" s="11"/>
      <c r="D121" s="11"/>
      <c r="E121" s="11"/>
      <c r="F121" s="11"/>
      <c r="G121" s="11"/>
      <c r="H121" s="11"/>
      <c r="I121" s="11"/>
      <c r="J121" s="11"/>
      <c r="K121" s="11"/>
      <c r="L121" s="11"/>
    </row>
    <row r="122" spans="1:12">
      <c r="A122" s="11"/>
      <c r="B122" s="11"/>
      <c r="C122" s="11"/>
      <c r="D122" s="11"/>
      <c r="E122" s="11"/>
      <c r="F122" s="11"/>
      <c r="G122" s="11"/>
      <c r="H122" s="11"/>
      <c r="I122" s="11"/>
      <c r="J122" s="11"/>
      <c r="K122" s="11"/>
      <c r="L122" s="11"/>
    </row>
    <row r="123" spans="1:12">
      <c r="A123" s="11"/>
      <c r="B123" s="11"/>
      <c r="C123" s="11"/>
      <c r="D123" s="11"/>
      <c r="E123" s="11"/>
      <c r="F123" s="11"/>
      <c r="G123" s="11"/>
      <c r="H123" s="11"/>
      <c r="I123" s="11"/>
      <c r="J123" s="11"/>
      <c r="K123" s="11"/>
      <c r="L123" s="11"/>
    </row>
    <row r="124" spans="1:12">
      <c r="A124" s="11"/>
      <c r="B124" s="11"/>
      <c r="C124" s="11"/>
      <c r="D124" s="11"/>
      <c r="E124" s="11"/>
      <c r="F124" s="11"/>
      <c r="G124" s="11"/>
      <c r="H124" s="11"/>
      <c r="I124" s="11"/>
      <c r="J124" s="11"/>
      <c r="K124" s="11"/>
      <c r="L124" s="11"/>
    </row>
    <row r="125" spans="1:12">
      <c r="A125" s="11"/>
      <c r="B125" s="11"/>
      <c r="C125" s="11"/>
      <c r="D125" s="11"/>
      <c r="E125" s="11"/>
      <c r="F125" s="11"/>
      <c r="G125" s="11"/>
      <c r="H125" s="11"/>
      <c r="I125" s="11"/>
      <c r="J125" s="11"/>
      <c r="K125" s="11"/>
      <c r="L125" s="11"/>
    </row>
    <row r="126" spans="1:12">
      <c r="A126" s="11"/>
      <c r="B126" s="11"/>
      <c r="C126" s="11"/>
      <c r="D126" s="11"/>
      <c r="E126" s="11"/>
      <c r="F126" s="11"/>
      <c r="G126" s="11"/>
      <c r="H126" s="11"/>
      <c r="I126" s="11"/>
      <c r="J126" s="11"/>
      <c r="K126" s="11"/>
      <c r="L126" s="11"/>
    </row>
    <row r="127" spans="1:12">
      <c r="A127" s="11"/>
      <c r="B127" s="11"/>
      <c r="C127" s="11"/>
      <c r="D127" s="11"/>
      <c r="E127" s="11"/>
      <c r="F127" s="11"/>
      <c r="G127" s="11"/>
      <c r="H127" s="11"/>
      <c r="I127" s="11"/>
      <c r="J127" s="11"/>
      <c r="K127" s="11"/>
      <c r="L127" s="11"/>
    </row>
    <row r="128" spans="1:12">
      <c r="A128" s="11"/>
      <c r="B128" s="11"/>
      <c r="C128" s="11"/>
      <c r="D128" s="11"/>
      <c r="E128" s="11"/>
      <c r="F128" s="11"/>
      <c r="G128" s="11"/>
      <c r="H128" s="11"/>
      <c r="I128" s="11"/>
      <c r="J128" s="11"/>
      <c r="K128" s="11"/>
      <c r="L128" s="11"/>
    </row>
    <row r="129" spans="1:12">
      <c r="A129" s="11"/>
      <c r="B129" s="11"/>
      <c r="C129" s="11"/>
      <c r="D129" s="11"/>
      <c r="E129" s="11"/>
      <c r="F129" s="11"/>
      <c r="G129" s="11"/>
      <c r="H129" s="11"/>
      <c r="I129" s="11"/>
      <c r="J129" s="11"/>
      <c r="K129" s="11"/>
      <c r="L129" s="11"/>
    </row>
    <row r="130" spans="1:12">
      <c r="A130" s="11"/>
      <c r="B130" s="11"/>
      <c r="C130" s="11"/>
      <c r="D130" s="11"/>
      <c r="E130" s="11"/>
      <c r="F130" s="11"/>
      <c r="G130" s="11"/>
      <c r="H130" s="11"/>
      <c r="I130" s="11"/>
      <c r="J130" s="11"/>
      <c r="K130" s="11"/>
      <c r="L130" s="11"/>
    </row>
    <row r="131" spans="1:12">
      <c r="A131" s="11"/>
      <c r="B131" s="11"/>
      <c r="C131" s="11"/>
      <c r="D131" s="11"/>
      <c r="E131" s="11"/>
      <c r="F131" s="11"/>
      <c r="G131" s="11"/>
      <c r="H131" s="11"/>
      <c r="I131" s="11"/>
      <c r="J131" s="11"/>
      <c r="K131" s="11"/>
      <c r="L131" s="11"/>
    </row>
    <row r="132" spans="1:12">
      <c r="A132" s="11"/>
      <c r="B132" s="11"/>
      <c r="C132" s="11"/>
      <c r="D132" s="11"/>
      <c r="E132" s="11"/>
      <c r="F132" s="11"/>
      <c r="G132" s="11"/>
      <c r="H132" s="11"/>
      <c r="I132" s="11"/>
      <c r="J132" s="11"/>
      <c r="K132" s="11"/>
      <c r="L132" s="11"/>
    </row>
    <row r="133" spans="1:12">
      <c r="A133" s="11"/>
      <c r="B133" s="11"/>
      <c r="C133" s="11"/>
      <c r="D133" s="11"/>
      <c r="E133" s="11"/>
      <c r="F133" s="11"/>
      <c r="G133" s="11"/>
      <c r="H133" s="11"/>
      <c r="I133" s="11"/>
      <c r="J133" s="11"/>
      <c r="K133" s="11"/>
      <c r="L133" s="11"/>
    </row>
    <row r="134" spans="1:12">
      <c r="A134" s="11"/>
      <c r="B134" s="11"/>
      <c r="C134" s="11"/>
      <c r="D134" s="11"/>
      <c r="E134" s="11"/>
      <c r="F134" s="11"/>
      <c r="G134" s="11"/>
      <c r="H134" s="11"/>
      <c r="I134" s="11"/>
      <c r="J134" s="11"/>
      <c r="K134" s="11"/>
      <c r="L134" s="11"/>
    </row>
    <row r="135" spans="1:12">
      <c r="A135" s="33"/>
      <c r="B135" s="33"/>
      <c r="C135" s="33"/>
      <c r="D135" s="33"/>
      <c r="E135" s="33"/>
      <c r="F135" s="33"/>
      <c r="G135" s="33"/>
      <c r="H135" s="33"/>
      <c r="I135" s="33"/>
      <c r="J135" s="11"/>
      <c r="K135" s="33"/>
      <c r="L135" s="33"/>
    </row>
    <row r="136" spans="1:12">
      <c r="A136" s="11"/>
      <c r="B136" s="11"/>
      <c r="C136" s="11"/>
      <c r="D136" s="11"/>
      <c r="E136" s="11"/>
      <c r="F136" s="11"/>
      <c r="G136" s="11"/>
      <c r="H136" s="11"/>
      <c r="I136" s="11"/>
      <c r="J136" s="11"/>
      <c r="K136" s="33"/>
      <c r="L136" s="33"/>
    </row>
    <row r="137" spans="1:12">
      <c r="A137" s="11"/>
      <c r="B137" s="11"/>
      <c r="C137" s="11"/>
      <c r="D137" s="11"/>
      <c r="E137" s="11"/>
      <c r="F137" s="11"/>
      <c r="G137" s="11"/>
      <c r="H137" s="11"/>
      <c r="I137" s="11"/>
      <c r="J137" s="11"/>
      <c r="K137" s="33"/>
      <c r="L137" s="33"/>
    </row>
    <row r="138" spans="1:12">
      <c r="A138" s="33"/>
      <c r="B138" s="11"/>
      <c r="C138" s="11"/>
      <c r="D138" s="11"/>
      <c r="E138" s="11"/>
      <c r="F138" s="11"/>
      <c r="G138" s="11"/>
      <c r="H138" s="11"/>
      <c r="I138" s="11"/>
      <c r="J138" s="11"/>
      <c r="K138" s="33"/>
      <c r="L138" s="33"/>
    </row>
    <row r="139" spans="1:12">
      <c r="A139" s="11"/>
      <c r="B139" s="11"/>
      <c r="C139" s="11"/>
      <c r="D139" s="11"/>
      <c r="E139" s="11"/>
      <c r="F139" s="11"/>
      <c r="G139" s="11"/>
      <c r="H139" s="11"/>
      <c r="I139" s="11"/>
      <c r="J139" s="11"/>
      <c r="K139" s="11"/>
      <c r="L139" s="11"/>
    </row>
    <row r="140" spans="1:12">
      <c r="A140" s="11"/>
      <c r="B140" s="11"/>
      <c r="C140" s="11"/>
      <c r="D140" s="11"/>
      <c r="E140" s="11"/>
      <c r="F140" s="11"/>
      <c r="G140" s="11"/>
      <c r="H140" s="11"/>
      <c r="I140" s="11"/>
      <c r="J140" s="11"/>
      <c r="K140" s="11"/>
      <c r="L140" s="11"/>
    </row>
    <row r="141" spans="1:12">
      <c r="A141" s="11"/>
      <c r="B141" s="11"/>
      <c r="C141" s="11"/>
      <c r="D141" s="11"/>
      <c r="E141" s="11"/>
      <c r="F141" s="11"/>
      <c r="G141" s="11"/>
      <c r="H141" s="11"/>
      <c r="I141" s="11"/>
      <c r="J141" s="11"/>
      <c r="K141" s="29"/>
      <c r="L141" s="29"/>
    </row>
    <row r="142" spans="1:12">
      <c r="A142" s="11"/>
      <c r="B142" s="11"/>
      <c r="C142" s="11"/>
      <c r="D142" s="11"/>
      <c r="E142" s="11"/>
      <c r="F142" s="11"/>
      <c r="G142" s="11"/>
      <c r="H142" s="11"/>
      <c r="I142" s="33"/>
      <c r="J142" s="11"/>
      <c r="K142" s="11"/>
      <c r="L142" s="11"/>
    </row>
    <row r="143" spans="1:12">
      <c r="A143" s="11"/>
      <c r="B143" s="11"/>
      <c r="C143" s="11"/>
      <c r="D143" s="11"/>
      <c r="E143" s="11"/>
      <c r="F143" s="11"/>
      <c r="G143" s="11"/>
      <c r="H143" s="11"/>
      <c r="I143" s="11"/>
      <c r="J143" s="11"/>
      <c r="K143" s="11"/>
      <c r="L143" s="11"/>
    </row>
    <row r="144" spans="1:12">
      <c r="A144" s="11"/>
      <c r="B144" s="11"/>
      <c r="C144" s="11"/>
      <c r="D144" s="11"/>
      <c r="E144" s="11"/>
      <c r="F144" s="11"/>
      <c r="G144" s="11"/>
      <c r="H144" s="11"/>
      <c r="I144" s="11"/>
      <c r="J144" s="11"/>
      <c r="K144" s="11"/>
      <c r="L144" s="11"/>
    </row>
    <row r="145" spans="1:12">
      <c r="A145" s="11"/>
      <c r="B145" s="11"/>
      <c r="C145" s="11"/>
      <c r="D145" s="11"/>
      <c r="E145" s="11"/>
      <c r="F145" s="11"/>
      <c r="G145" s="11"/>
      <c r="H145" s="11"/>
      <c r="I145" s="11"/>
      <c r="J145" s="11"/>
      <c r="K145" s="11"/>
      <c r="L145" s="11"/>
    </row>
    <row r="146" spans="1:12">
      <c r="A146" s="11"/>
      <c r="B146" s="11"/>
      <c r="C146" s="11"/>
      <c r="D146" s="11"/>
      <c r="E146" s="11"/>
      <c r="F146" s="11"/>
      <c r="G146" s="11"/>
      <c r="H146" s="11"/>
      <c r="I146" s="11"/>
      <c r="J146" s="11"/>
      <c r="K146" s="11"/>
      <c r="L146" s="11"/>
    </row>
    <row r="147" spans="1:12">
      <c r="A147" s="11"/>
      <c r="B147" s="11"/>
      <c r="C147" s="11"/>
      <c r="D147" s="11"/>
      <c r="E147" s="11"/>
      <c r="F147" s="11"/>
      <c r="G147" s="11"/>
      <c r="H147" s="11"/>
      <c r="I147" s="11"/>
      <c r="J147" s="11"/>
      <c r="K147" s="11"/>
      <c r="L147" s="11"/>
    </row>
    <row r="148" spans="1:12">
      <c r="A148" s="33"/>
      <c r="B148" s="33"/>
      <c r="C148" s="33"/>
      <c r="D148" s="33"/>
      <c r="E148" s="33"/>
      <c r="F148" s="33"/>
      <c r="G148" s="33"/>
      <c r="H148" s="33"/>
      <c r="I148" s="33"/>
      <c r="J148" s="11"/>
      <c r="K148" s="33"/>
      <c r="L148" s="33"/>
    </row>
    <row r="149" spans="1:12">
      <c r="A149" s="11"/>
      <c r="B149" s="11"/>
      <c r="C149" s="11"/>
      <c r="D149" s="11"/>
      <c r="E149" s="11"/>
      <c r="F149" s="11"/>
      <c r="G149" s="11"/>
      <c r="H149" s="11"/>
      <c r="I149" s="11"/>
      <c r="J149" s="11"/>
      <c r="K149" s="33"/>
      <c r="L149" s="33"/>
    </row>
    <row r="150" spans="1:12">
      <c r="A150" s="11"/>
      <c r="B150" s="11"/>
      <c r="C150" s="11"/>
      <c r="D150" s="11"/>
      <c r="E150" s="11"/>
      <c r="F150" s="11"/>
      <c r="G150" s="11"/>
      <c r="H150" s="11"/>
      <c r="I150" s="11"/>
      <c r="J150" s="11"/>
      <c r="K150" s="33"/>
      <c r="L150" s="33"/>
    </row>
    <row r="151" spans="1:12">
      <c r="A151" s="33"/>
      <c r="B151" s="11"/>
      <c r="C151" s="11"/>
      <c r="D151" s="11"/>
      <c r="E151" s="11"/>
      <c r="F151" s="11"/>
      <c r="G151" s="11"/>
      <c r="H151" s="11"/>
      <c r="I151" s="11"/>
      <c r="J151" s="11"/>
      <c r="K151" s="33"/>
      <c r="L151" s="33"/>
    </row>
    <row r="152" spans="1:12">
      <c r="A152" s="11"/>
      <c r="B152" s="11"/>
      <c r="C152" s="11"/>
      <c r="D152" s="11"/>
      <c r="E152" s="11"/>
      <c r="F152" s="11"/>
      <c r="G152" s="11"/>
      <c r="H152" s="11"/>
      <c r="I152" s="11"/>
      <c r="J152" s="11"/>
      <c r="K152" s="11"/>
      <c r="L152" s="11"/>
    </row>
    <row r="153" spans="1:12">
      <c r="A153" s="11"/>
      <c r="B153" s="11"/>
      <c r="C153" s="11"/>
      <c r="D153" s="11"/>
      <c r="E153" s="11"/>
      <c r="F153" s="11"/>
      <c r="G153" s="11"/>
      <c r="H153" s="11"/>
      <c r="I153" s="11"/>
      <c r="J153" s="11"/>
      <c r="K153" s="11"/>
      <c r="L153" s="11"/>
    </row>
    <row r="154" spans="1:12">
      <c r="A154" s="11"/>
      <c r="B154" s="11"/>
      <c r="C154" s="11"/>
      <c r="D154" s="11"/>
      <c r="E154" s="11"/>
      <c r="F154" s="11"/>
      <c r="G154" s="11"/>
      <c r="H154" s="11"/>
      <c r="I154" s="11"/>
      <c r="J154" s="11"/>
      <c r="K154" s="11"/>
      <c r="L154" s="11"/>
    </row>
    <row r="155" spans="1:12">
      <c r="A155" s="11"/>
      <c r="B155" s="11"/>
      <c r="C155" s="11"/>
      <c r="D155" s="11"/>
      <c r="E155" s="11"/>
      <c r="F155" s="11"/>
      <c r="G155" s="11"/>
      <c r="H155" s="11"/>
      <c r="I155" s="11"/>
      <c r="J155" s="11"/>
      <c r="K155" s="11"/>
      <c r="L155" s="11"/>
    </row>
    <row r="156" spans="1:12">
      <c r="A156" s="11"/>
      <c r="B156" s="11"/>
      <c r="C156" s="11"/>
      <c r="D156" s="11"/>
      <c r="E156" s="11"/>
      <c r="F156" s="11"/>
      <c r="G156" s="11"/>
      <c r="H156" s="11"/>
      <c r="I156" s="11"/>
      <c r="J156" s="11"/>
      <c r="K156" s="11"/>
      <c r="L156" s="11"/>
    </row>
    <row r="157" spans="1:12">
      <c r="A157" s="11"/>
      <c r="B157" s="11"/>
      <c r="C157" s="11"/>
      <c r="D157" s="11"/>
      <c r="E157" s="11"/>
      <c r="F157" s="11"/>
      <c r="G157" s="11"/>
      <c r="H157" s="11"/>
      <c r="I157" s="11"/>
      <c r="J157" s="11"/>
      <c r="K157" s="11"/>
      <c r="L157" s="11"/>
    </row>
    <row r="158" spans="1:12">
      <c r="A158" s="11"/>
      <c r="B158" s="11"/>
      <c r="C158" s="11"/>
      <c r="D158" s="11"/>
      <c r="E158" s="11"/>
      <c r="F158" s="11"/>
      <c r="G158" s="11"/>
      <c r="H158" s="11"/>
      <c r="I158" s="11"/>
      <c r="J158" s="11"/>
      <c r="K158" s="11"/>
      <c r="L158" s="11"/>
    </row>
    <row r="159" spans="1:12">
      <c r="A159" s="11"/>
      <c r="B159" s="11"/>
      <c r="C159" s="11"/>
      <c r="D159" s="11"/>
      <c r="E159" s="11"/>
      <c r="F159" s="11"/>
      <c r="G159" s="11"/>
      <c r="H159" s="11"/>
      <c r="I159" s="11"/>
      <c r="J159" s="11"/>
      <c r="K159" s="11"/>
      <c r="L159" s="11"/>
    </row>
    <row r="160" spans="1:12">
      <c r="A160" s="11"/>
      <c r="B160" s="11"/>
      <c r="C160" s="11"/>
      <c r="D160" s="11"/>
      <c r="E160" s="11"/>
      <c r="F160" s="11"/>
      <c r="G160" s="11"/>
      <c r="H160" s="11"/>
      <c r="I160" s="11"/>
      <c r="J160" s="11"/>
      <c r="K160" s="11"/>
      <c r="L160" s="11"/>
    </row>
    <row r="161" spans="1:12">
      <c r="A161" s="11"/>
      <c r="B161" s="11"/>
      <c r="C161" s="11"/>
      <c r="D161" s="11"/>
      <c r="E161" s="11"/>
      <c r="F161" s="11"/>
      <c r="G161" s="11"/>
      <c r="H161" s="11"/>
      <c r="I161" s="11"/>
      <c r="J161" s="11"/>
      <c r="K161" s="11"/>
      <c r="L161" s="11"/>
    </row>
    <row r="162" spans="1:12">
      <c r="A162" s="11"/>
      <c r="B162" s="11"/>
      <c r="C162" s="11"/>
      <c r="D162" s="11"/>
      <c r="E162" s="11"/>
      <c r="F162" s="11"/>
      <c r="G162" s="11"/>
      <c r="H162" s="11"/>
      <c r="I162" s="11"/>
      <c r="J162" s="11"/>
      <c r="K162" s="11"/>
      <c r="L162" s="11"/>
    </row>
    <row r="163" spans="1:12">
      <c r="A163" s="11"/>
      <c r="B163" s="11"/>
      <c r="C163" s="11"/>
      <c r="D163" s="11"/>
      <c r="E163" s="11"/>
      <c r="F163" s="11"/>
      <c r="G163" s="11"/>
      <c r="H163" s="11"/>
      <c r="I163" s="11"/>
      <c r="J163" s="11"/>
      <c r="K163" s="11"/>
      <c r="L163" s="11"/>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38"/>
  <sheetViews>
    <sheetView workbookViewId="0">
      <selection activeCell="D25" sqref="D25"/>
    </sheetView>
  </sheetViews>
  <sheetFormatPr baseColWidth="10" defaultColWidth="11" defaultRowHeight="15" x14ac:dyDescent="0"/>
  <cols>
    <col min="1" max="1" width="24.1640625" customWidth="1"/>
    <col min="3" max="3" width="11" customWidth="1"/>
    <col min="5" max="5" width="12.6640625" customWidth="1"/>
    <col min="7" max="7" width="18.33203125" customWidth="1"/>
    <col min="8" max="8" width="14.1640625" customWidth="1"/>
    <col min="9" max="9" width="15.33203125" customWidth="1"/>
    <col min="10" max="10" width="16.83203125" customWidth="1"/>
  </cols>
  <sheetData>
    <row r="1" spans="1:16">
      <c r="C1" s="109"/>
      <c r="D1" t="s">
        <v>237</v>
      </c>
    </row>
    <row r="2" spans="1:16">
      <c r="A2" t="s">
        <v>26</v>
      </c>
      <c r="C2" s="106"/>
      <c r="D2" t="s">
        <v>238</v>
      </c>
    </row>
    <row r="4" spans="1:16">
      <c r="A4" t="s">
        <v>206</v>
      </c>
    </row>
    <row r="5" spans="1:16">
      <c r="A5" s="46" t="s">
        <v>207</v>
      </c>
    </row>
    <row r="6" spans="1:16">
      <c r="A6" s="46"/>
    </row>
    <row r="8" spans="1:16">
      <c r="A8" t="s">
        <v>3</v>
      </c>
    </row>
    <row r="9" spans="1:16">
      <c r="A9" s="3"/>
      <c r="C9" s="8"/>
      <c r="D9" s="8"/>
      <c r="E9" s="8"/>
      <c r="F9" s="8"/>
      <c r="G9" s="8"/>
      <c r="H9" s="14"/>
      <c r="I9" s="13"/>
      <c r="J9" s="12"/>
    </row>
    <row r="10" spans="1:16">
      <c r="A10" t="s">
        <v>52</v>
      </c>
    </row>
    <row r="11" spans="1:16" ht="46" thickBot="1">
      <c r="A11" s="55" t="s">
        <v>17</v>
      </c>
      <c r="B11" s="56" t="s">
        <v>131</v>
      </c>
      <c r="C11" s="56" t="s">
        <v>132</v>
      </c>
      <c r="D11" s="56" t="s">
        <v>133</v>
      </c>
      <c r="E11" s="56" t="s">
        <v>299</v>
      </c>
    </row>
    <row r="12" spans="1:16" ht="16" thickTop="1">
      <c r="A12" s="160" t="str">
        <f>A30</f>
        <v>Cd-cho-19</v>
      </c>
      <c r="B12" s="109">
        <f>B30</f>
        <v>2.738</v>
      </c>
      <c r="C12" s="109">
        <f t="shared" ref="C12:D12" si="0">C30</f>
        <v>2.738</v>
      </c>
      <c r="D12" s="109">
        <f t="shared" si="0"/>
        <v>5.8878504292444998</v>
      </c>
      <c r="E12" s="109"/>
    </row>
    <row r="13" spans="1:16">
      <c r="A13" s="109" t="str">
        <f>A31</f>
        <v>Cd-cho-26</v>
      </c>
      <c r="B13" s="109">
        <f>AVERAGE(B31:B33)</f>
        <v>2.4376666666666664</v>
      </c>
      <c r="C13" s="109">
        <f t="shared" ref="C13:D13" si="1">AVERAGE(C31:C33)</f>
        <v>2.4376666666666664</v>
      </c>
      <c r="D13" s="109">
        <f t="shared" si="1"/>
        <v>4.7582025642526018</v>
      </c>
      <c r="E13" s="109"/>
    </row>
    <row r="14" spans="1:16">
      <c r="A14" t="s">
        <v>128</v>
      </c>
      <c r="B14" s="106">
        <f>AVERAGE(B12:B13)</f>
        <v>2.5878333333333332</v>
      </c>
      <c r="C14" s="106">
        <f>AVERAGE(C12:C13)</f>
        <v>2.5878333333333332</v>
      </c>
      <c r="D14" s="106">
        <f>AVERAGE(D12:D13)</f>
        <v>5.3230264967485503</v>
      </c>
      <c r="E14" s="106">
        <f>E34</f>
        <v>0.62275170757946852</v>
      </c>
    </row>
    <row r="15" spans="1:16">
      <c r="B15" s="17"/>
      <c r="C15" s="17"/>
      <c r="D15" s="17"/>
      <c r="E15" s="17"/>
      <c r="F15" s="17"/>
      <c r="G15" s="17"/>
      <c r="H15" s="17"/>
      <c r="I15" s="17"/>
      <c r="J15" s="17"/>
      <c r="K15" s="17"/>
      <c r="L15" s="17"/>
      <c r="M15" s="17"/>
      <c r="N15" s="17"/>
      <c r="O15" s="17"/>
      <c r="P15" s="17"/>
    </row>
    <row r="16" spans="1:16">
      <c r="B16" s="17"/>
      <c r="C16" s="17"/>
      <c r="D16" s="17"/>
      <c r="E16" s="17"/>
      <c r="F16" s="17"/>
      <c r="G16" s="17"/>
      <c r="H16" s="17"/>
      <c r="I16" s="17"/>
      <c r="J16" s="17"/>
      <c r="K16" s="17"/>
      <c r="L16" s="17"/>
      <c r="M16" s="17"/>
      <c r="N16" s="17"/>
      <c r="O16" s="17"/>
      <c r="P16" s="17"/>
    </row>
    <row r="17" spans="1:16">
      <c r="A17" t="s">
        <v>188</v>
      </c>
      <c r="B17" s="107">
        <f>Apopyle!F14</f>
        <v>14.81226908792158</v>
      </c>
      <c r="C17" s="17"/>
      <c r="D17" s="17"/>
      <c r="E17" s="17"/>
      <c r="F17" s="17"/>
      <c r="G17" s="17"/>
      <c r="H17" s="17"/>
      <c r="I17" s="17"/>
      <c r="J17" s="17"/>
      <c r="K17" s="17"/>
      <c r="L17" s="17"/>
      <c r="M17" s="17"/>
      <c r="N17" s="17"/>
      <c r="O17" s="17"/>
      <c r="P17" s="17"/>
    </row>
    <row r="18" spans="1:16">
      <c r="A18" t="s">
        <v>189</v>
      </c>
      <c r="B18" s="106">
        <f>'Choanocyte Chambers'!M13</f>
        <v>809.40998943103659</v>
      </c>
      <c r="C18" s="17"/>
      <c r="D18" s="17"/>
      <c r="E18" s="17"/>
      <c r="F18" s="17"/>
      <c r="G18" s="17"/>
      <c r="H18" s="17"/>
      <c r="I18" s="17"/>
      <c r="J18" s="17"/>
      <c r="K18" s="17"/>
      <c r="L18" s="17"/>
      <c r="M18" s="17"/>
      <c r="N18" s="17"/>
      <c r="O18" s="17"/>
      <c r="P18" s="17"/>
    </row>
    <row r="19" spans="1:16">
      <c r="A19" t="s">
        <v>191</v>
      </c>
      <c r="B19" s="107">
        <f>B18-B17</f>
        <v>794.59772034311504</v>
      </c>
      <c r="C19" s="17" t="s">
        <v>190</v>
      </c>
      <c r="D19" s="17"/>
      <c r="E19" s="17"/>
      <c r="F19" s="17"/>
      <c r="G19" s="17"/>
      <c r="H19" s="17"/>
      <c r="I19" s="17"/>
      <c r="J19" s="17"/>
      <c r="K19" s="17"/>
      <c r="L19" s="17"/>
      <c r="M19" s="17"/>
      <c r="N19" s="17"/>
      <c r="O19" s="17"/>
      <c r="P19" s="17"/>
    </row>
    <row r="21" spans="1:16" ht="49">
      <c r="A21" s="59"/>
      <c r="B21" s="57" t="s">
        <v>137</v>
      </c>
      <c r="C21" s="57" t="s">
        <v>138</v>
      </c>
      <c r="D21" s="57" t="s">
        <v>139</v>
      </c>
      <c r="E21" s="58" t="s">
        <v>140</v>
      </c>
    </row>
    <row r="22" spans="1:16">
      <c r="A22" s="59"/>
      <c r="B22" s="158">
        <f>'Choanocyte Chambers'!G13</f>
        <v>35174.608656524295</v>
      </c>
      <c r="C22" s="158">
        <f>D34</f>
        <v>5.0406145305005756</v>
      </c>
      <c r="D22" s="159">
        <f>B22*C22</f>
        <v>177301.6434987477</v>
      </c>
      <c r="E22" s="157">
        <f>D22/1000000</f>
        <v>0.17730164349874769</v>
      </c>
    </row>
    <row r="24" spans="1:16">
      <c r="D24" s="8"/>
    </row>
    <row r="25" spans="1:16">
      <c r="D25" s="8"/>
    </row>
    <row r="26" spans="1:16">
      <c r="D26" s="8"/>
    </row>
    <row r="27" spans="1:16">
      <c r="D27" s="8"/>
    </row>
    <row r="28" spans="1:16">
      <c r="D28" s="8"/>
    </row>
    <row r="29" spans="1:16" ht="46" thickBot="1">
      <c r="A29" s="43" t="s">
        <v>17</v>
      </c>
      <c r="B29" s="45" t="s">
        <v>131</v>
      </c>
      <c r="C29" s="45" t="s">
        <v>132</v>
      </c>
      <c r="D29" s="45" t="s">
        <v>133</v>
      </c>
      <c r="E29" s="45" t="s">
        <v>299</v>
      </c>
    </row>
    <row r="30" spans="1:16" ht="16" thickTop="1">
      <c r="A30" t="s">
        <v>297</v>
      </c>
      <c r="B30">
        <v>2.738</v>
      </c>
      <c r="C30">
        <v>2.738</v>
      </c>
      <c r="D30" s="106">
        <f>PI()*((B30/2)*(C30/2))</f>
        <v>5.8878504292444998</v>
      </c>
      <c r="E30" s="17"/>
    </row>
    <row r="31" spans="1:16">
      <c r="A31" t="s">
        <v>298</v>
      </c>
      <c r="B31">
        <v>2.9169999999999998</v>
      </c>
      <c r="C31">
        <v>2.9169999999999998</v>
      </c>
      <c r="D31" s="106">
        <f t="shared" ref="D31:D33" si="2">PI()*((B31/2)*(C31/2))</f>
        <v>6.6828657931527484</v>
      </c>
      <c r="E31" s="17"/>
    </row>
    <row r="32" spans="1:16">
      <c r="A32" t="s">
        <v>298</v>
      </c>
      <c r="B32">
        <v>2.2410000000000001</v>
      </c>
      <c r="C32">
        <v>2.2410000000000001</v>
      </c>
      <c r="D32" s="106">
        <f t="shared" si="2"/>
        <v>3.9443331938332213</v>
      </c>
      <c r="E32" s="17"/>
    </row>
    <row r="33" spans="1:8">
      <c r="A33" t="s">
        <v>298</v>
      </c>
      <c r="B33">
        <v>2.1549999999999998</v>
      </c>
      <c r="C33">
        <v>2.1549999999999998</v>
      </c>
      <c r="D33" s="106">
        <f t="shared" si="2"/>
        <v>3.6474087057718343</v>
      </c>
      <c r="E33" s="17"/>
    </row>
    <row r="34" spans="1:8">
      <c r="B34" s="131">
        <f>AVERAGE(B30:B33)</f>
        <v>2.5127499999999996</v>
      </c>
      <c r="C34" s="131">
        <f>AVERAGE(C30:C33)</f>
        <v>2.5127499999999996</v>
      </c>
      <c r="D34" s="128">
        <f>AVERAGE(D30:D33)</f>
        <v>5.0406145305005756</v>
      </c>
      <c r="E34" s="128">
        <f>D34/B18*100</f>
        <v>0.62275170757946852</v>
      </c>
    </row>
    <row r="35" spans="1:8">
      <c r="B35" s="8"/>
      <c r="C35" s="8"/>
      <c r="D35" s="8"/>
      <c r="E35" s="8"/>
      <c r="F35" s="8"/>
      <c r="G35" s="8"/>
      <c r="H35" s="8"/>
    </row>
    <row r="36" spans="1:8">
      <c r="B36" s="8"/>
      <c r="C36" s="8"/>
      <c r="D36" s="8"/>
      <c r="E36" s="8"/>
      <c r="F36" s="8"/>
      <c r="G36" s="8"/>
      <c r="H36" s="8"/>
    </row>
    <row r="37" spans="1:8">
      <c r="B37" s="8"/>
      <c r="C37" s="8"/>
      <c r="D37" s="8"/>
      <c r="E37" s="8"/>
      <c r="F37" s="8"/>
      <c r="G37" s="8"/>
      <c r="H37" s="8"/>
    </row>
    <row r="38" spans="1:8">
      <c r="B38" s="8"/>
      <c r="C38" s="8"/>
      <c r="D38" s="8"/>
      <c r="E38" s="8"/>
      <c r="F38" s="8"/>
      <c r="G38" s="8"/>
      <c r="H38" s="8"/>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1048529"/>
  <sheetViews>
    <sheetView workbookViewId="0">
      <selection activeCell="A8" sqref="A8"/>
    </sheetView>
  </sheetViews>
  <sheetFormatPr baseColWidth="10" defaultColWidth="11" defaultRowHeight="15" x14ac:dyDescent="0.75"/>
  <cols>
    <col min="1" max="1" width="21.83203125" customWidth="1"/>
    <col min="2" max="2" width="13.5" customWidth="1"/>
    <col min="3" max="3" width="13.1640625" customWidth="1"/>
    <col min="4" max="4" width="13" customWidth="1"/>
    <col min="5" max="5" width="14.1640625" customWidth="1"/>
    <col min="6" max="6" width="16.6640625" customWidth="1"/>
    <col min="7" max="7" width="13.83203125" customWidth="1"/>
    <col min="8" max="8" width="13.1640625" customWidth="1"/>
    <col min="9" max="9" width="14" customWidth="1"/>
    <col min="10" max="10" width="14.1640625" customWidth="1"/>
    <col min="11" max="11" width="14" customWidth="1"/>
    <col min="12" max="13" width="15.5" customWidth="1"/>
    <col min="14" max="16" width="15" customWidth="1"/>
    <col min="17" max="17" width="16.6640625" customWidth="1"/>
    <col min="18" max="18" width="14.83203125" customWidth="1"/>
    <col min="19" max="19" width="14.5" customWidth="1"/>
    <col min="20" max="20" width="17" customWidth="1"/>
  </cols>
  <sheetData>
    <row r="1" spans="1:20">
      <c r="C1" s="193"/>
      <c r="D1" s="3" t="s">
        <v>237</v>
      </c>
    </row>
    <row r="2" spans="1:20">
      <c r="C2" s="194"/>
      <c r="D2" s="3" t="s">
        <v>238</v>
      </c>
    </row>
    <row r="4" spans="1:20">
      <c r="A4" t="s">
        <v>300</v>
      </c>
    </row>
    <row r="6" spans="1:20">
      <c r="A6" t="s">
        <v>208</v>
      </c>
    </row>
    <row r="7" spans="1:20">
      <c r="A7" t="s">
        <v>209</v>
      </c>
    </row>
    <row r="10" spans="1:20">
      <c r="A10" t="s">
        <v>27</v>
      </c>
    </row>
    <row r="12" spans="1:20">
      <c r="A12" t="s">
        <v>3</v>
      </c>
    </row>
    <row r="14" spans="1:20" ht="61" thickBot="1">
      <c r="A14" s="9" t="s">
        <v>17</v>
      </c>
      <c r="B14" s="9" t="s">
        <v>28</v>
      </c>
      <c r="C14" s="9" t="s">
        <v>29</v>
      </c>
      <c r="D14" s="9" t="s">
        <v>30</v>
      </c>
      <c r="E14" s="9" t="s">
        <v>31</v>
      </c>
      <c r="F14" s="9" t="s">
        <v>210</v>
      </c>
      <c r="G14" s="9" t="s">
        <v>32</v>
      </c>
      <c r="H14" s="9" t="s">
        <v>33</v>
      </c>
      <c r="I14" s="9" t="s">
        <v>38</v>
      </c>
      <c r="J14" s="9" t="s">
        <v>34</v>
      </c>
      <c r="K14" s="9" t="s">
        <v>35</v>
      </c>
      <c r="L14" s="9" t="s">
        <v>36</v>
      </c>
      <c r="M14" s="9" t="s">
        <v>37</v>
      </c>
      <c r="N14" s="9" t="s">
        <v>39</v>
      </c>
      <c r="O14" s="9" t="s">
        <v>40</v>
      </c>
      <c r="P14" s="29"/>
      <c r="Q14" s="29"/>
      <c r="R14" s="29"/>
      <c r="S14" s="29"/>
      <c r="T14" s="29"/>
    </row>
    <row r="15" spans="1:20" ht="16" thickTop="1">
      <c r="A15" s="6"/>
      <c r="B15" s="106">
        <f>B62</f>
        <v>33.4</v>
      </c>
      <c r="C15" s="106">
        <f t="shared" ref="C15:J15" si="0">C62</f>
        <v>9.9142857142857158E-2</v>
      </c>
      <c r="D15" s="106">
        <f t="shared" si="0"/>
        <v>7.0444444444444448E-2</v>
      </c>
      <c r="E15" s="106">
        <f t="shared" si="0"/>
        <v>2.6473333333333331</v>
      </c>
      <c r="F15" s="106">
        <f t="shared" si="0"/>
        <v>0.11799999999999999</v>
      </c>
      <c r="G15" s="106">
        <f t="shared" si="0"/>
        <v>0.18648992592592595</v>
      </c>
      <c r="H15" s="106">
        <f t="shared" si="0"/>
        <v>6.2287635259259266</v>
      </c>
      <c r="I15" s="106">
        <f t="shared" si="0"/>
        <v>50</v>
      </c>
      <c r="J15" s="106">
        <f t="shared" si="0"/>
        <v>311.43817629629632</v>
      </c>
      <c r="K15" s="106">
        <f>'Choanocyte Chambers'!G13</f>
        <v>35174.608656524295</v>
      </c>
      <c r="L15" s="106">
        <f>J15*K15</f>
        <v>10954715.971923845</v>
      </c>
      <c r="M15" s="106">
        <f>L15/1000000</f>
        <v>10.954715971923845</v>
      </c>
      <c r="N15" s="106">
        <f>N62</f>
        <v>2.1879090909090908</v>
      </c>
      <c r="O15" s="106">
        <f>O62</f>
        <v>0.68558333333333332</v>
      </c>
      <c r="P15" s="11"/>
      <c r="Q15" s="11"/>
      <c r="R15" s="11"/>
      <c r="S15" s="11"/>
      <c r="T15" s="11"/>
    </row>
    <row r="16" spans="1:20">
      <c r="A16" s="6"/>
      <c r="B16" s="6"/>
      <c r="C16" s="6"/>
      <c r="D16" s="6"/>
      <c r="E16" s="6"/>
      <c r="F16" s="6"/>
      <c r="G16" s="6"/>
      <c r="H16" s="6"/>
      <c r="I16" s="6"/>
      <c r="J16" s="6"/>
      <c r="K16" s="6"/>
      <c r="L16" s="6"/>
      <c r="M16" s="6"/>
      <c r="N16" s="6"/>
      <c r="O16" s="6"/>
      <c r="P16" s="11"/>
      <c r="Q16" s="11"/>
      <c r="R16" s="11"/>
      <c r="S16" s="11"/>
      <c r="T16" s="11"/>
    </row>
    <row r="17" spans="1:20" ht="75">
      <c r="C17" s="2" t="s">
        <v>186</v>
      </c>
      <c r="D17" s="106">
        <f>(C15+D15)/1000</f>
        <v>1.6958730158730161E-4</v>
      </c>
      <c r="P17" s="11"/>
      <c r="Q17" s="11"/>
      <c r="R17" s="11"/>
      <c r="S17" s="11"/>
      <c r="T17" s="11"/>
    </row>
    <row r="18" spans="1:20">
      <c r="C18" s="2"/>
      <c r="P18" s="11"/>
      <c r="Q18" s="11"/>
      <c r="R18" s="11"/>
      <c r="S18" s="11"/>
      <c r="T18" s="11"/>
    </row>
    <row r="19" spans="1:20">
      <c r="A19" s="97" t="s">
        <v>228</v>
      </c>
      <c r="B19" s="98"/>
      <c r="C19" s="98"/>
      <c r="D19" s="98"/>
      <c r="E19" s="98"/>
      <c r="F19" s="98"/>
      <c r="G19" s="98"/>
      <c r="P19" s="11"/>
      <c r="Q19" s="11"/>
      <c r="R19" s="11"/>
      <c r="S19" s="11"/>
      <c r="T19" s="11"/>
    </row>
    <row r="20" spans="1:20" ht="45">
      <c r="A20" s="99"/>
      <c r="B20" s="2" t="s">
        <v>18</v>
      </c>
      <c r="C20" s="2" t="s">
        <v>229</v>
      </c>
      <c r="D20" s="2" t="s">
        <v>165</v>
      </c>
      <c r="E20" s="2" t="s">
        <v>230</v>
      </c>
      <c r="F20" s="2" t="s">
        <v>231</v>
      </c>
      <c r="G20" s="2" t="s">
        <v>232</v>
      </c>
      <c r="P20" s="11"/>
      <c r="Q20" s="11"/>
      <c r="R20" s="11"/>
      <c r="S20" s="11"/>
      <c r="T20" s="11"/>
    </row>
    <row r="21" spans="1:20">
      <c r="A21" s="100" t="s">
        <v>233</v>
      </c>
      <c r="B21" s="161">
        <f>O15</f>
        <v>0.68558333333333332</v>
      </c>
      <c r="C21" s="162">
        <f>N15</f>
        <v>2.1879090909090908</v>
      </c>
      <c r="D21" s="106">
        <f>B21*C21</f>
        <v>1.4999940075757574</v>
      </c>
      <c r="E21" s="163">
        <f>D21*I15</f>
        <v>74.999700378787864</v>
      </c>
      <c r="F21" s="106">
        <f>E21*K15</f>
        <v>2638085.1101804399</v>
      </c>
      <c r="G21" s="157">
        <f>F21/1000000</f>
        <v>2.6380851101804397</v>
      </c>
      <c r="P21" s="11"/>
      <c r="Q21" s="11"/>
      <c r="R21" s="11"/>
      <c r="S21" s="11"/>
      <c r="T21" s="11"/>
    </row>
    <row r="22" spans="1:20">
      <c r="A22" s="100" t="s">
        <v>234</v>
      </c>
      <c r="B22" s="131">
        <f>N15</f>
        <v>2.1879090909090908</v>
      </c>
      <c r="C22" s="131">
        <f>E15</f>
        <v>2.6473333333333331</v>
      </c>
      <c r="D22" s="106">
        <f>B22*C22</f>
        <v>5.7921246666666661</v>
      </c>
      <c r="E22" s="163">
        <f>D22*I15</f>
        <v>289.60623333333331</v>
      </c>
      <c r="F22" s="106">
        <f>E22*K15</f>
        <v>10186785.921990061</v>
      </c>
      <c r="G22" s="157">
        <f>F22/1000000</f>
        <v>10.186785921990062</v>
      </c>
      <c r="P22" s="11"/>
      <c r="Q22" s="11"/>
      <c r="R22" s="11"/>
      <c r="S22" s="11"/>
      <c r="T22" s="11"/>
    </row>
    <row r="23" spans="1:20">
      <c r="A23" s="17"/>
      <c r="B23" s="11"/>
      <c r="C23" s="11"/>
      <c r="D23" s="17"/>
      <c r="E23" s="90"/>
      <c r="F23" s="17"/>
      <c r="G23" s="36"/>
      <c r="P23" s="11"/>
      <c r="Q23" s="11"/>
      <c r="R23" s="11"/>
      <c r="S23" s="11"/>
      <c r="T23" s="11"/>
    </row>
    <row r="24" spans="1:20">
      <c r="A24" s="17"/>
      <c r="B24" s="11"/>
      <c r="C24" s="11"/>
      <c r="D24" s="17"/>
      <c r="E24" s="90"/>
      <c r="F24" s="17"/>
      <c r="G24" s="36"/>
      <c r="P24" s="11"/>
      <c r="Q24" s="11"/>
      <c r="R24" s="11"/>
      <c r="S24" s="11"/>
      <c r="T24" s="11"/>
    </row>
    <row r="25" spans="1:20" ht="60">
      <c r="A25" s="2" t="s">
        <v>17</v>
      </c>
      <c r="B25" s="63" t="s">
        <v>28</v>
      </c>
      <c r="C25" s="63" t="s">
        <v>29</v>
      </c>
      <c r="D25" s="63" t="s">
        <v>30</v>
      </c>
      <c r="E25" s="63" t="s">
        <v>31</v>
      </c>
      <c r="F25" s="63" t="s">
        <v>210</v>
      </c>
      <c r="G25" s="2" t="s">
        <v>32</v>
      </c>
      <c r="H25" s="2" t="s">
        <v>33</v>
      </c>
      <c r="I25" s="63" t="s">
        <v>38</v>
      </c>
      <c r="J25" s="2" t="s">
        <v>34</v>
      </c>
      <c r="K25" s="2" t="s">
        <v>35</v>
      </c>
      <c r="L25" s="2" t="s">
        <v>36</v>
      </c>
      <c r="M25" s="2" t="s">
        <v>37</v>
      </c>
      <c r="N25" s="63" t="s">
        <v>39</v>
      </c>
      <c r="O25" s="63" t="s">
        <v>40</v>
      </c>
      <c r="P25" s="29"/>
      <c r="Q25" s="29"/>
      <c r="R25" s="29"/>
      <c r="S25" s="29"/>
      <c r="T25" s="29"/>
    </row>
    <row r="26" spans="1:20">
      <c r="A26" s="7" t="s">
        <v>301</v>
      </c>
      <c r="B26" s="164"/>
      <c r="C26">
        <v>9.5000000000000001E-2</v>
      </c>
      <c r="D26" s="164"/>
      <c r="E26" s="164"/>
      <c r="F26" s="7">
        <v>0.11700000000000001</v>
      </c>
      <c r="G26" s="7"/>
      <c r="H26" s="7"/>
      <c r="I26" s="164"/>
      <c r="J26" s="7"/>
      <c r="K26" s="7"/>
      <c r="L26" s="7"/>
      <c r="M26" s="7"/>
      <c r="N26" s="164"/>
      <c r="O26" s="164"/>
      <c r="R26" s="61"/>
    </row>
    <row r="27" spans="1:20">
      <c r="A27" s="8"/>
      <c r="B27" s="142"/>
      <c r="C27">
        <v>9.4E-2</v>
      </c>
      <c r="D27" s="142"/>
      <c r="E27" s="142"/>
      <c r="F27" s="8">
        <v>0.14399999999999999</v>
      </c>
      <c r="G27" s="8"/>
      <c r="H27" s="8"/>
      <c r="I27" s="142"/>
      <c r="J27" s="8"/>
      <c r="K27" s="8"/>
      <c r="L27" s="8"/>
      <c r="M27" s="8"/>
      <c r="N27" s="142"/>
      <c r="O27" s="142"/>
      <c r="R27" s="61"/>
    </row>
    <row r="28" spans="1:20">
      <c r="A28" s="8"/>
      <c r="B28" s="142"/>
      <c r="C28">
        <v>9.5000000000000001E-2</v>
      </c>
      <c r="D28" s="142"/>
      <c r="E28" s="142"/>
      <c r="F28" s="8">
        <v>0.123</v>
      </c>
      <c r="G28" s="8"/>
      <c r="H28" s="8"/>
      <c r="I28" s="142"/>
      <c r="J28" s="8"/>
      <c r="K28" s="8"/>
      <c r="L28" s="8"/>
      <c r="M28" s="8"/>
      <c r="N28" s="142"/>
      <c r="O28" s="142"/>
      <c r="R28" s="61"/>
    </row>
    <row r="29" spans="1:20">
      <c r="A29" s="8"/>
      <c r="B29" s="142"/>
      <c r="C29">
        <v>7.9000000000000001E-2</v>
      </c>
      <c r="D29" s="142"/>
      <c r="E29" s="142"/>
      <c r="F29" s="8">
        <v>9.4E-2</v>
      </c>
      <c r="G29" s="8"/>
      <c r="H29" s="8"/>
      <c r="I29" s="142"/>
      <c r="J29" s="8"/>
      <c r="K29" s="8"/>
      <c r="L29" s="8"/>
      <c r="M29" s="8"/>
      <c r="N29" s="142"/>
      <c r="O29" s="142"/>
      <c r="R29" s="61"/>
    </row>
    <row r="30" spans="1:20">
      <c r="A30" s="47"/>
      <c r="B30" s="146"/>
      <c r="C30" s="47">
        <v>9.7000000000000003E-2</v>
      </c>
      <c r="D30" s="146"/>
      <c r="E30" s="146"/>
      <c r="F30" s="47">
        <v>0.112</v>
      </c>
      <c r="G30" s="47"/>
      <c r="H30" s="47"/>
      <c r="I30" s="146"/>
      <c r="J30" s="47"/>
      <c r="K30" s="47"/>
      <c r="L30" s="47"/>
      <c r="M30" s="47"/>
      <c r="N30" s="146"/>
      <c r="O30" s="146"/>
      <c r="R30" s="61"/>
    </row>
    <row r="31" spans="1:20">
      <c r="A31" s="8" t="s">
        <v>302</v>
      </c>
      <c r="B31" s="142"/>
      <c r="C31" s="142"/>
      <c r="D31" s="142"/>
      <c r="E31" s="8">
        <v>2.7770000000000001</v>
      </c>
      <c r="F31" s="142"/>
      <c r="G31" s="8"/>
      <c r="H31" s="8"/>
      <c r="I31" s="142"/>
      <c r="J31" s="8"/>
      <c r="K31" s="8"/>
      <c r="L31" s="8"/>
      <c r="M31" s="8"/>
      <c r="N31" s="8">
        <v>2.5270000000000001</v>
      </c>
      <c r="O31" s="8">
        <v>0.60299999999999998</v>
      </c>
    </row>
    <row r="32" spans="1:20">
      <c r="A32" s="47"/>
      <c r="B32" s="146"/>
      <c r="C32" s="146"/>
      <c r="D32" s="146"/>
      <c r="E32" s="47">
        <v>3.4390000000000001</v>
      </c>
      <c r="F32" s="146"/>
      <c r="G32" s="47"/>
      <c r="H32" s="47"/>
      <c r="I32" s="146"/>
      <c r="J32" s="47"/>
      <c r="K32" s="47"/>
      <c r="L32" s="47"/>
      <c r="M32" s="47"/>
      <c r="N32" s="47">
        <v>2.3220000000000001</v>
      </c>
      <c r="O32" s="47">
        <v>0.44700000000000001</v>
      </c>
    </row>
    <row r="33" spans="1:15">
      <c r="A33" s="8" t="s">
        <v>303</v>
      </c>
      <c r="B33" s="142"/>
      <c r="C33" s="142"/>
      <c r="D33" s="142"/>
      <c r="E33" s="8">
        <v>2.7949999999999999</v>
      </c>
      <c r="F33" s="142"/>
      <c r="G33" s="8"/>
      <c r="H33" s="8"/>
      <c r="I33" s="142"/>
      <c r="J33" s="8"/>
      <c r="K33" s="8"/>
      <c r="L33" s="8"/>
      <c r="M33" s="8"/>
      <c r="N33" s="8">
        <v>2.0840000000000001</v>
      </c>
      <c r="O33" s="8">
        <v>0.85899999999999999</v>
      </c>
    </row>
    <row r="34" spans="1:15">
      <c r="A34" s="8"/>
      <c r="B34" s="142"/>
      <c r="C34" s="142"/>
      <c r="D34" s="142"/>
      <c r="E34" s="8">
        <v>2.3719999999999999</v>
      </c>
      <c r="F34" s="142"/>
      <c r="G34" s="8"/>
      <c r="H34" s="8"/>
      <c r="I34" s="142"/>
      <c r="J34" s="8"/>
      <c r="K34" s="8"/>
      <c r="L34" s="8"/>
      <c r="M34" s="8"/>
      <c r="N34" s="8">
        <v>2.04</v>
      </c>
      <c r="O34" s="8">
        <v>1.1890000000000001</v>
      </c>
    </row>
    <row r="35" spans="1:15">
      <c r="A35" s="8"/>
      <c r="B35" s="142"/>
      <c r="C35" s="142"/>
      <c r="D35" s="142"/>
      <c r="E35" s="8">
        <v>2.077</v>
      </c>
      <c r="F35" s="142"/>
      <c r="G35" s="8"/>
      <c r="H35" s="8"/>
      <c r="I35" s="142"/>
      <c r="J35" s="8"/>
      <c r="K35" s="8"/>
      <c r="L35" s="8"/>
      <c r="M35" s="8"/>
      <c r="N35" s="8">
        <v>2.2530000000000001</v>
      </c>
      <c r="O35" s="8">
        <v>1.0609999999999999</v>
      </c>
    </row>
    <row r="36" spans="1:15">
      <c r="A36" s="47"/>
      <c r="B36" s="146"/>
      <c r="C36" s="146"/>
      <c r="D36" s="146"/>
      <c r="E36" s="47">
        <v>2.4239999999999999</v>
      </c>
      <c r="F36" s="146"/>
      <c r="G36" s="62"/>
      <c r="H36" s="47"/>
      <c r="I36" s="146"/>
      <c r="J36" s="47"/>
      <c r="K36" s="47"/>
      <c r="L36" s="47"/>
      <c r="M36" s="47"/>
      <c r="N36" s="47">
        <v>2.0379999999999998</v>
      </c>
      <c r="O36" s="47">
        <v>0.55500000000000005</v>
      </c>
    </row>
    <row r="37" spans="1:15">
      <c r="A37" s="8" t="s">
        <v>304</v>
      </c>
      <c r="B37" s="142">
        <v>32</v>
      </c>
      <c r="C37" s="8">
        <v>0.107</v>
      </c>
      <c r="D37" s="8">
        <v>6.7000000000000004E-2</v>
      </c>
      <c r="E37" s="142"/>
      <c r="F37" s="142"/>
      <c r="G37" s="199"/>
      <c r="H37" s="199"/>
      <c r="I37" s="142"/>
      <c r="J37" s="8"/>
      <c r="K37" s="8"/>
      <c r="L37" s="8"/>
      <c r="M37" s="8"/>
      <c r="N37" s="142">
        <v>2.1480000000000001</v>
      </c>
      <c r="O37" s="142">
        <v>0.371</v>
      </c>
    </row>
    <row r="38" spans="1:15">
      <c r="A38" s="8"/>
      <c r="B38" s="142">
        <v>28</v>
      </c>
      <c r="C38" s="8">
        <v>0.11899999999999999</v>
      </c>
      <c r="D38" s="8">
        <v>7.8E-2</v>
      </c>
      <c r="E38" s="142"/>
      <c r="F38" s="142"/>
      <c r="G38" s="199"/>
      <c r="H38" s="199"/>
      <c r="I38" s="142"/>
      <c r="J38" s="8"/>
      <c r="K38" s="8"/>
      <c r="L38" s="8"/>
      <c r="M38" s="8"/>
      <c r="N38" s="142">
        <v>2.089</v>
      </c>
      <c r="O38" s="142">
        <v>0.64200000000000002</v>
      </c>
    </row>
    <row r="39" spans="1:15">
      <c r="A39" s="8"/>
      <c r="B39" s="142">
        <v>37</v>
      </c>
      <c r="C39" s="8">
        <v>9.2999999999999999E-2</v>
      </c>
      <c r="D39" s="8">
        <v>6.3E-2</v>
      </c>
      <c r="E39" s="142"/>
      <c r="F39" s="142"/>
      <c r="G39" s="199"/>
      <c r="H39" s="8"/>
      <c r="I39" s="142"/>
      <c r="J39" s="8"/>
      <c r="K39" s="8"/>
      <c r="L39" s="8"/>
      <c r="M39" s="8"/>
      <c r="N39" s="142">
        <v>2.3159999999999998</v>
      </c>
      <c r="O39" s="142">
        <v>0.60899999999999999</v>
      </c>
    </row>
    <row r="40" spans="1:15">
      <c r="A40" s="8"/>
      <c r="B40" s="142">
        <v>36</v>
      </c>
      <c r="C40" s="8">
        <v>9.7000000000000003E-2</v>
      </c>
      <c r="D40" s="8">
        <v>5.3999999999999999E-2</v>
      </c>
      <c r="E40" s="142"/>
      <c r="F40" s="142"/>
      <c r="G40" s="199"/>
      <c r="H40" s="8"/>
      <c r="I40" s="142"/>
      <c r="J40" s="8"/>
      <c r="K40" s="8"/>
      <c r="L40" s="8"/>
      <c r="M40" s="8"/>
      <c r="N40" s="142">
        <v>2.206</v>
      </c>
      <c r="O40" s="142">
        <v>0.61</v>
      </c>
    </row>
    <row r="41" spans="1:15">
      <c r="A41" s="8"/>
      <c r="B41" s="142">
        <v>34</v>
      </c>
      <c r="C41" s="8">
        <v>0.108</v>
      </c>
      <c r="D41" s="8">
        <v>8.4000000000000005E-2</v>
      </c>
      <c r="E41" s="142"/>
      <c r="F41" s="142"/>
      <c r="G41" s="199"/>
      <c r="H41" s="199"/>
      <c r="I41" s="142"/>
      <c r="J41" s="8"/>
      <c r="K41" s="8"/>
      <c r="L41" s="8"/>
      <c r="M41" s="8"/>
      <c r="N41" s="142">
        <v>2.044</v>
      </c>
      <c r="O41" s="142">
        <v>0.439</v>
      </c>
    </row>
    <row r="42" spans="1:15">
      <c r="A42" s="8"/>
      <c r="B42" s="142"/>
      <c r="C42" s="8">
        <v>9.8000000000000004E-2</v>
      </c>
      <c r="D42" s="8">
        <v>0.10100000000000001</v>
      </c>
      <c r="E42" s="142"/>
      <c r="F42" s="142"/>
      <c r="G42" s="199"/>
      <c r="H42" s="199"/>
      <c r="I42" s="142"/>
      <c r="J42" s="8"/>
      <c r="K42" s="8"/>
      <c r="L42" s="8"/>
      <c r="M42" s="8"/>
      <c r="N42" s="142"/>
      <c r="O42" s="142">
        <v>0.84199999999999997</v>
      </c>
    </row>
    <row r="43" spans="1:15">
      <c r="A43" s="8"/>
      <c r="B43" s="142"/>
      <c r="C43" s="8">
        <v>0.115</v>
      </c>
      <c r="D43" s="8">
        <v>4.7E-2</v>
      </c>
      <c r="E43" s="142"/>
      <c r="F43" s="142"/>
      <c r="G43" s="8"/>
      <c r="H43" s="8"/>
      <c r="I43" s="142"/>
      <c r="J43" s="8"/>
      <c r="K43" s="8"/>
      <c r="L43" s="8"/>
      <c r="M43" s="8"/>
      <c r="N43" s="142"/>
      <c r="O43" s="142"/>
    </row>
    <row r="44" spans="1:15">
      <c r="A44" s="8"/>
      <c r="B44" s="142"/>
      <c r="C44" s="8">
        <v>9.6000000000000002E-2</v>
      </c>
      <c r="D44" s="8">
        <v>5.7000000000000002E-2</v>
      </c>
      <c r="E44" s="142"/>
      <c r="F44" s="142"/>
      <c r="G44" s="8"/>
      <c r="H44" s="8"/>
      <c r="I44" s="142"/>
      <c r="J44" s="8"/>
      <c r="K44" s="8"/>
      <c r="L44" s="8"/>
      <c r="M44" s="8"/>
      <c r="N44" s="142"/>
      <c r="O44" s="142"/>
    </row>
    <row r="45" spans="1:15">
      <c r="A45" s="47"/>
      <c r="B45" s="146"/>
      <c r="C45" s="146">
        <v>9.5000000000000001E-2</v>
      </c>
      <c r="D45" s="47">
        <v>8.3000000000000004E-2</v>
      </c>
      <c r="E45" s="146"/>
      <c r="F45" s="146"/>
      <c r="G45" s="47"/>
      <c r="H45" s="47"/>
      <c r="I45" s="146"/>
      <c r="J45" s="47"/>
      <c r="K45" s="47"/>
      <c r="L45" s="47"/>
      <c r="M45" s="47"/>
      <c r="N45" s="146"/>
      <c r="O45" s="146"/>
    </row>
    <row r="46" spans="1:15">
      <c r="A46" s="8" t="s">
        <v>305</v>
      </c>
      <c r="B46" s="142"/>
      <c r="C46" s="142"/>
      <c r="D46" s="142"/>
      <c r="E46" s="142"/>
      <c r="F46" s="142"/>
      <c r="G46" s="8"/>
      <c r="H46" s="199"/>
      <c r="I46" s="142">
        <v>25</v>
      </c>
      <c r="J46" s="8"/>
      <c r="K46" s="8"/>
      <c r="L46" s="8"/>
      <c r="M46" s="8"/>
      <c r="N46" s="142"/>
      <c r="O46" s="142"/>
    </row>
    <row r="47" spans="1:15">
      <c r="A47" s="8" t="s">
        <v>297</v>
      </c>
      <c r="B47" s="200"/>
      <c r="C47" s="142"/>
      <c r="D47" s="142"/>
      <c r="E47" s="142"/>
      <c r="F47" s="142"/>
      <c r="G47" s="8"/>
      <c r="H47" s="199"/>
      <c r="I47" s="142">
        <v>25</v>
      </c>
      <c r="J47" s="8"/>
      <c r="K47" s="8"/>
      <c r="L47" s="8"/>
      <c r="M47" s="8"/>
      <c r="N47" s="142"/>
      <c r="O47" s="142"/>
    </row>
    <row r="48" spans="1:15">
      <c r="A48" s="8"/>
      <c r="B48" s="200"/>
      <c r="C48" s="142"/>
      <c r="D48" s="142"/>
      <c r="E48" s="142"/>
      <c r="F48" s="142"/>
      <c r="G48" s="8"/>
      <c r="H48" s="199"/>
      <c r="I48" s="200"/>
      <c r="J48" s="8"/>
      <c r="K48" s="8"/>
      <c r="L48" s="8"/>
      <c r="M48" s="8"/>
      <c r="N48" s="142"/>
      <c r="O48" s="142"/>
    </row>
    <row r="49" spans="1:15">
      <c r="A49" s="8"/>
      <c r="B49" s="200"/>
      <c r="C49" s="142"/>
      <c r="D49" s="142"/>
      <c r="E49" s="142"/>
      <c r="F49" s="142"/>
      <c r="G49" s="8"/>
      <c r="H49" s="199"/>
      <c r="I49" s="200"/>
      <c r="J49" s="8"/>
      <c r="K49" s="8"/>
      <c r="L49" s="8"/>
      <c r="M49" s="8"/>
      <c r="N49" s="142"/>
      <c r="O49" s="142"/>
    </row>
    <row r="50" spans="1:15">
      <c r="A50" s="8"/>
      <c r="B50" s="200"/>
      <c r="C50" s="142"/>
      <c r="D50" s="142"/>
      <c r="E50" s="142"/>
      <c r="F50" s="142"/>
      <c r="G50" s="8"/>
      <c r="H50" s="8"/>
      <c r="I50" s="142"/>
      <c r="J50" s="8"/>
      <c r="K50" s="8"/>
      <c r="L50" s="8"/>
      <c r="M50" s="8"/>
      <c r="N50" s="142"/>
      <c r="O50" s="142"/>
    </row>
    <row r="51" spans="1:15">
      <c r="A51" s="8"/>
      <c r="B51" s="142"/>
      <c r="C51" s="142"/>
      <c r="D51" s="142"/>
      <c r="E51" s="142"/>
      <c r="F51" s="142"/>
      <c r="G51" s="8"/>
      <c r="H51" s="199"/>
      <c r="I51" s="142"/>
      <c r="J51" s="8"/>
      <c r="K51" s="8"/>
      <c r="L51" s="8"/>
      <c r="M51" s="8"/>
      <c r="N51" s="142"/>
      <c r="O51" s="142"/>
    </row>
    <row r="52" spans="1:15">
      <c r="A52" s="8"/>
      <c r="B52" s="142"/>
      <c r="C52" s="142"/>
      <c r="D52" s="142"/>
      <c r="E52" s="142"/>
      <c r="F52" s="142"/>
      <c r="G52" s="8"/>
      <c r="H52" s="199"/>
      <c r="I52" s="142"/>
      <c r="J52" s="8"/>
      <c r="K52" s="8"/>
      <c r="L52" s="8"/>
      <c r="M52" s="8"/>
      <c r="N52" s="142"/>
      <c r="O52" s="142"/>
    </row>
    <row r="53" spans="1:15">
      <c r="A53" s="8"/>
      <c r="B53" s="142"/>
      <c r="C53" s="142"/>
      <c r="D53" s="142"/>
      <c r="E53" s="142"/>
      <c r="F53" s="142"/>
      <c r="G53" s="8"/>
      <c r="H53" s="199"/>
      <c r="I53" s="142"/>
      <c r="J53" s="8"/>
      <c r="K53" s="8"/>
      <c r="L53" s="8"/>
      <c r="M53" s="8"/>
      <c r="N53" s="142"/>
      <c r="O53" s="142"/>
    </row>
    <row r="54" spans="1:15">
      <c r="A54" s="8"/>
      <c r="B54" s="142"/>
      <c r="C54" s="142"/>
      <c r="D54" s="142"/>
      <c r="E54" s="142"/>
      <c r="F54" s="142"/>
      <c r="G54" s="8"/>
      <c r="H54" s="199"/>
      <c r="I54" s="142"/>
      <c r="J54" s="8"/>
      <c r="K54" s="8"/>
      <c r="L54" s="8"/>
      <c r="M54" s="8"/>
      <c r="N54" s="142"/>
      <c r="O54" s="142"/>
    </row>
    <row r="55" spans="1:15">
      <c r="A55" s="8"/>
      <c r="B55" s="142"/>
      <c r="C55" s="142"/>
      <c r="D55" s="142"/>
      <c r="E55" s="142"/>
      <c r="F55" s="142"/>
      <c r="G55" s="8"/>
      <c r="H55" s="199"/>
      <c r="I55" s="142"/>
      <c r="J55" s="8"/>
      <c r="K55" s="8"/>
      <c r="L55" s="8"/>
      <c r="M55" s="8"/>
      <c r="N55" s="142"/>
      <c r="O55" s="142"/>
    </row>
    <row r="56" spans="1:15">
      <c r="A56" s="8"/>
      <c r="B56" s="142"/>
      <c r="C56" s="142"/>
      <c r="D56" s="142"/>
      <c r="E56" s="142"/>
      <c r="F56" s="142"/>
      <c r="G56" s="8"/>
      <c r="H56" s="199"/>
      <c r="I56" s="142"/>
      <c r="J56" s="8"/>
      <c r="K56" s="8"/>
      <c r="L56" s="8"/>
      <c r="M56" s="8"/>
      <c r="N56" s="142"/>
      <c r="O56" s="142"/>
    </row>
    <row r="57" spans="1:15">
      <c r="A57" s="8"/>
      <c r="B57" s="142"/>
      <c r="C57" s="142"/>
      <c r="D57" s="142"/>
      <c r="E57" s="142"/>
      <c r="F57" s="142"/>
      <c r="G57" s="8"/>
      <c r="H57" s="199"/>
      <c r="I57" s="142"/>
      <c r="J57" s="8"/>
      <c r="K57" s="8"/>
      <c r="L57" s="8"/>
      <c r="M57" s="8"/>
      <c r="N57" s="142"/>
      <c r="O57" s="142"/>
    </row>
    <row r="58" spans="1:15">
      <c r="A58" s="8"/>
      <c r="B58" s="142"/>
      <c r="C58" s="142"/>
      <c r="D58" s="142"/>
      <c r="E58" s="142"/>
      <c r="F58" s="142"/>
      <c r="G58" s="8"/>
      <c r="H58" s="199"/>
      <c r="I58" s="142"/>
      <c r="J58" s="8"/>
      <c r="K58" s="8"/>
      <c r="L58" s="8"/>
      <c r="M58" s="8"/>
      <c r="N58" s="142"/>
      <c r="O58" s="142"/>
    </row>
    <row r="59" spans="1:15">
      <c r="A59" s="8"/>
      <c r="B59" s="142"/>
      <c r="C59" s="142"/>
      <c r="D59" s="142"/>
      <c r="E59" s="142"/>
      <c r="F59" s="142"/>
      <c r="G59" s="8"/>
      <c r="H59" s="199"/>
      <c r="I59" s="142"/>
      <c r="J59" s="8"/>
      <c r="K59" s="8"/>
      <c r="L59" s="8"/>
      <c r="M59" s="8"/>
      <c r="N59" s="142"/>
      <c r="O59" s="142"/>
    </row>
    <row r="60" spans="1:15">
      <c r="A60" s="8"/>
      <c r="B60" s="142"/>
      <c r="C60" s="142"/>
      <c r="D60" s="142"/>
      <c r="E60" s="142"/>
      <c r="F60" s="142"/>
      <c r="G60" s="8"/>
      <c r="H60" s="199"/>
      <c r="I60" s="142"/>
      <c r="J60" s="8"/>
      <c r="K60" s="8"/>
      <c r="L60" s="8"/>
      <c r="M60" s="8"/>
      <c r="N60" s="142"/>
      <c r="O60" s="142"/>
    </row>
    <row r="61" spans="1:15">
      <c r="A61" s="47"/>
      <c r="B61" s="146"/>
      <c r="C61" s="146"/>
      <c r="D61" s="146"/>
      <c r="E61" s="146"/>
      <c r="F61" s="146"/>
      <c r="G61" s="47"/>
      <c r="H61" s="62"/>
      <c r="I61" s="146"/>
      <c r="J61" s="47"/>
      <c r="K61" s="47"/>
      <c r="L61" s="47"/>
      <c r="M61" s="47"/>
      <c r="N61" s="146"/>
      <c r="O61" s="146"/>
    </row>
    <row r="62" spans="1:15">
      <c r="B62" s="106">
        <f>AVERAGE(B26:B61)</f>
        <v>33.4</v>
      </c>
      <c r="C62" s="106">
        <f t="shared" ref="C62:F62" si="1">AVERAGE(C26:C61)</f>
        <v>9.9142857142857158E-2</v>
      </c>
      <c r="D62" s="106">
        <f t="shared" si="1"/>
        <v>7.0444444444444448E-2</v>
      </c>
      <c r="E62" s="106">
        <f t="shared" si="1"/>
        <v>2.6473333333333331</v>
      </c>
      <c r="F62" s="106">
        <f t="shared" si="1"/>
        <v>0.11799999999999999</v>
      </c>
      <c r="G62" s="106">
        <f>(E62/F62)*(F62*D62)</f>
        <v>0.18648992592592595</v>
      </c>
      <c r="H62" s="106">
        <f>G62*B62</f>
        <v>6.2287635259259266</v>
      </c>
      <c r="I62" s="106">
        <f>AVERAGE(I26:I61)*2</f>
        <v>50</v>
      </c>
      <c r="J62" s="106">
        <f>H62*I62</f>
        <v>311.43817629629632</v>
      </c>
      <c r="K62" s="106"/>
      <c r="L62" s="106"/>
      <c r="M62" s="106"/>
      <c r="N62" s="106">
        <f t="shared" ref="N62" si="2">AVERAGE(N26:N61)</f>
        <v>2.1879090909090908</v>
      </c>
      <c r="O62" s="106">
        <f t="shared" ref="O62" si="3">AVERAGE(O26:O61)</f>
        <v>0.68558333333333332</v>
      </c>
    </row>
    <row r="1048529" spans="1:1">
      <c r="A1048529" s="7"/>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62"/>
  <sheetViews>
    <sheetView workbookViewId="0">
      <selection activeCell="E15" sqref="E15"/>
    </sheetView>
  </sheetViews>
  <sheetFormatPr baseColWidth="10" defaultColWidth="11" defaultRowHeight="15" x14ac:dyDescent="0"/>
  <cols>
    <col min="1" max="1" width="22.6640625" customWidth="1"/>
    <col min="15" max="15" width="15" customWidth="1"/>
  </cols>
  <sheetData>
    <row r="1" spans="1:16">
      <c r="D1" s="193"/>
      <c r="E1" s="3" t="s">
        <v>237</v>
      </c>
    </row>
    <row r="2" spans="1:16">
      <c r="D2" s="194"/>
      <c r="E2" s="3" t="s">
        <v>238</v>
      </c>
    </row>
    <row r="3" spans="1:16">
      <c r="A3" t="s">
        <v>212</v>
      </c>
    </row>
    <row r="4" spans="1:16">
      <c r="A4" t="s">
        <v>213</v>
      </c>
    </row>
    <row r="5" spans="1:16">
      <c r="A5" t="s">
        <v>217</v>
      </c>
    </row>
    <row r="6" spans="1:16">
      <c r="A6" t="s">
        <v>214</v>
      </c>
    </row>
    <row r="7" spans="1:16">
      <c r="A7" t="s">
        <v>215</v>
      </c>
    </row>
    <row r="9" spans="1:16" ht="133">
      <c r="A9" s="64" t="s">
        <v>4</v>
      </c>
      <c r="B9" s="64" t="s">
        <v>14</v>
      </c>
      <c r="C9" s="64" t="s">
        <v>75</v>
      </c>
      <c r="D9" s="65" t="s">
        <v>76</v>
      </c>
      <c r="E9" s="65" t="s">
        <v>141</v>
      </c>
      <c r="F9" s="65" t="s">
        <v>306</v>
      </c>
      <c r="G9" s="65" t="s">
        <v>307</v>
      </c>
      <c r="H9" s="64" t="s">
        <v>77</v>
      </c>
      <c r="I9" s="64" t="s">
        <v>78</v>
      </c>
      <c r="J9" s="64" t="s">
        <v>79</v>
      </c>
      <c r="K9" s="64" t="s">
        <v>80</v>
      </c>
      <c r="L9" s="64" t="s">
        <v>81</v>
      </c>
      <c r="M9" s="64" t="s">
        <v>82</v>
      </c>
      <c r="N9" s="64" t="s">
        <v>83</v>
      </c>
      <c r="O9" s="64" t="s">
        <v>84</v>
      </c>
      <c r="P9" s="64" t="s">
        <v>142</v>
      </c>
    </row>
    <row r="10" spans="1:16">
      <c r="A10" s="8" t="str">
        <f>A18</f>
        <v>Cv-RR-30um-wax-16</v>
      </c>
      <c r="B10" s="142">
        <f>B26</f>
        <v>9291.4930000000004</v>
      </c>
      <c r="C10" s="142">
        <f t="shared" ref="C10" si="0">C26</f>
        <v>8</v>
      </c>
      <c r="D10" s="142">
        <f>(D26+E26)/2</f>
        <v>14.3515625</v>
      </c>
      <c r="E10" s="106">
        <f>1000000/B10</f>
        <v>107.6253299658085</v>
      </c>
      <c r="F10" s="106">
        <f>C10*E10*0.75</f>
        <v>645.75197979485097</v>
      </c>
      <c r="G10" s="106">
        <f>F10*66.66</f>
        <v>43045.826973124764</v>
      </c>
      <c r="H10" s="142">
        <f>D10/2</f>
        <v>7.17578125</v>
      </c>
      <c r="I10" s="142">
        <f>H26</f>
        <v>160.79654755192581</v>
      </c>
      <c r="J10" s="106">
        <f t="shared" ref="J10" si="1">I10*G10/1000000</f>
        <v>6.9216203637960261</v>
      </c>
      <c r="K10" s="106">
        <f t="shared" ref="K10" si="2">I10*C10</f>
        <v>1286.3723804154065</v>
      </c>
      <c r="L10" s="106">
        <f t="shared" ref="L10" si="3">K10/B10</f>
        <v>0.13844625190111068</v>
      </c>
      <c r="M10" s="106">
        <f>4*PI()*(H10^2)</f>
        <v>647.06550167430748</v>
      </c>
      <c r="N10" s="106">
        <f>(4/3)*PI()*(H10^3)</f>
        <v>1547.7334981454464</v>
      </c>
      <c r="O10" s="106">
        <f>N10/1000000000</f>
        <v>1.5477334981454463E-6</v>
      </c>
      <c r="P10" s="106">
        <f>M10*G10/1000000</f>
        <v>27.853469625350414</v>
      </c>
    </row>
    <row r="11" spans="1:16">
      <c r="A11" s="8" t="s">
        <v>317</v>
      </c>
      <c r="B11" s="3">
        <v>58594.921000000002</v>
      </c>
      <c r="C11" s="142">
        <f>C62</f>
        <v>32</v>
      </c>
      <c r="D11" s="142">
        <f>AVERAGE(D62:E62)</f>
        <v>17.587468750000003</v>
      </c>
      <c r="E11" s="106">
        <f>1000000/B11</f>
        <v>17.066325595011893</v>
      </c>
      <c r="F11" s="106">
        <f>C11*E11*0.75</f>
        <v>409.59181428028546</v>
      </c>
      <c r="G11" s="106">
        <f>F11*66.66</f>
        <v>27303.390339923826</v>
      </c>
      <c r="H11" s="142">
        <f>D11/2</f>
        <v>8.7937343750000014</v>
      </c>
      <c r="I11" s="142">
        <f>H62</f>
        <v>240.07640180138387</v>
      </c>
      <c r="J11" s="106">
        <f t="shared" ref="J11" si="4">I11*G11/1000000</f>
        <v>6.5548997097875752</v>
      </c>
      <c r="K11" s="106">
        <f t="shared" ref="K11" si="5">I11*C11</f>
        <v>7682.4448576442837</v>
      </c>
      <c r="L11" s="106">
        <f t="shared" ref="L11" si="6">K11/B11</f>
        <v>0.13111110530628214</v>
      </c>
      <c r="M11" s="106">
        <f>4*PI()*(H11^2)</f>
        <v>971.75447718776559</v>
      </c>
      <c r="N11" s="106">
        <f>(4/3)*PI()*(H11^3)</f>
        <v>2848.4502500354029</v>
      </c>
      <c r="O11" s="106">
        <f>N11/1000000000</f>
        <v>2.8484502500354027E-6</v>
      </c>
      <c r="P11" s="106">
        <f>M11*G11/1000000</f>
        <v>26.532191805226166</v>
      </c>
    </row>
    <row r="12" spans="1:16">
      <c r="A12" s="8"/>
      <c r="B12" s="142"/>
      <c r="C12" s="142"/>
      <c r="D12" s="142"/>
      <c r="E12" s="109"/>
      <c r="F12" s="109"/>
      <c r="G12" s="109"/>
      <c r="H12" s="142"/>
      <c r="I12" s="142"/>
      <c r="J12" s="109"/>
      <c r="K12" s="109"/>
      <c r="L12" s="109"/>
      <c r="M12" s="109"/>
      <c r="N12" s="109"/>
      <c r="O12" s="109"/>
      <c r="P12" s="109"/>
    </row>
    <row r="13" spans="1:16">
      <c r="A13" s="7"/>
      <c r="B13" s="128">
        <f>AVERAGE(B10:B12)</f>
        <v>33943.207000000002</v>
      </c>
      <c r="C13" s="128">
        <f t="shared" ref="C13:P13" si="7">AVERAGE(C10:C12)</f>
        <v>20</v>
      </c>
      <c r="D13" s="128">
        <f t="shared" si="7"/>
        <v>15.969515625000001</v>
      </c>
      <c r="E13" s="128">
        <f t="shared" si="7"/>
        <v>62.345827780410197</v>
      </c>
      <c r="F13" s="128">
        <f t="shared" si="7"/>
        <v>527.67189703756821</v>
      </c>
      <c r="G13" s="128">
        <f t="shared" si="7"/>
        <v>35174.608656524295</v>
      </c>
      <c r="H13" s="128">
        <f t="shared" si="7"/>
        <v>7.9847578125000007</v>
      </c>
      <c r="I13" s="128">
        <f t="shared" si="7"/>
        <v>200.43647467665483</v>
      </c>
      <c r="J13" s="128">
        <f t="shared" si="7"/>
        <v>6.7382600367918002</v>
      </c>
      <c r="K13" s="128">
        <f t="shared" si="7"/>
        <v>4484.4086190298449</v>
      </c>
      <c r="L13" s="128">
        <f t="shared" si="7"/>
        <v>0.13477867860369641</v>
      </c>
      <c r="M13" s="128">
        <f t="shared" si="7"/>
        <v>809.40998943103659</v>
      </c>
      <c r="N13" s="128">
        <f t="shared" si="7"/>
        <v>2198.0918740904244</v>
      </c>
      <c r="O13" s="128">
        <f t="shared" si="7"/>
        <v>2.1980918740904243E-6</v>
      </c>
      <c r="P13" s="128">
        <f t="shared" si="7"/>
        <v>27.192830715288288</v>
      </c>
    </row>
    <row r="17" spans="1:8" ht="45">
      <c r="A17" s="2" t="s">
        <v>4</v>
      </c>
      <c r="B17" s="2" t="s">
        <v>14</v>
      </c>
      <c r="C17" s="2" t="s">
        <v>85</v>
      </c>
      <c r="D17" s="2" t="s">
        <v>86</v>
      </c>
      <c r="E17" s="2" t="s">
        <v>86</v>
      </c>
      <c r="F17" s="2" t="s">
        <v>77</v>
      </c>
      <c r="G17" s="2" t="s">
        <v>77</v>
      </c>
      <c r="H17" s="2" t="s">
        <v>78</v>
      </c>
    </row>
    <row r="18" spans="1:8">
      <c r="A18" t="s">
        <v>211</v>
      </c>
      <c r="D18">
        <v>7.5380000000000003</v>
      </c>
      <c r="E18">
        <v>11.635999999999999</v>
      </c>
      <c r="F18" s="106">
        <f t="shared" ref="F18:G25" si="8">D18/2</f>
        <v>3.7690000000000001</v>
      </c>
      <c r="G18" s="106">
        <f t="shared" si="8"/>
        <v>5.8179999999999996</v>
      </c>
      <c r="H18" s="106">
        <f>PI()*F18*G18</f>
        <v>68.888975654808434</v>
      </c>
    </row>
    <row r="19" spans="1:8">
      <c r="D19">
        <v>16.378</v>
      </c>
      <c r="E19">
        <v>12.18</v>
      </c>
      <c r="F19" s="106">
        <f t="shared" si="8"/>
        <v>8.1890000000000001</v>
      </c>
      <c r="G19" s="106">
        <f t="shared" si="8"/>
        <v>6.09</v>
      </c>
      <c r="H19" s="106">
        <f t="shared" ref="H19:H25" si="9">PI()*F19*G19</f>
        <v>156.6743986431031</v>
      </c>
    </row>
    <row r="20" spans="1:8">
      <c r="D20">
        <v>15.262</v>
      </c>
      <c r="E20">
        <v>14.943</v>
      </c>
      <c r="F20" s="106">
        <f t="shared" si="8"/>
        <v>7.6310000000000002</v>
      </c>
      <c r="G20" s="106">
        <f t="shared" si="8"/>
        <v>7.4714999999999998</v>
      </c>
      <c r="H20" s="106">
        <f t="shared" si="9"/>
        <v>179.11795698070082</v>
      </c>
    </row>
    <row r="21" spans="1:8">
      <c r="D21">
        <v>20.297000000000001</v>
      </c>
      <c r="E21">
        <v>12.249000000000001</v>
      </c>
      <c r="F21" s="106">
        <f t="shared" si="8"/>
        <v>10.1485</v>
      </c>
      <c r="G21" s="106">
        <f t="shared" si="8"/>
        <v>6.1245000000000003</v>
      </c>
      <c r="H21" s="106">
        <f t="shared" si="9"/>
        <v>195.26408367383311</v>
      </c>
    </row>
    <row r="22" spans="1:8">
      <c r="D22">
        <v>13.313000000000001</v>
      </c>
      <c r="E22">
        <v>8.8550000000000004</v>
      </c>
      <c r="F22" s="106">
        <f t="shared" si="8"/>
        <v>6.6565000000000003</v>
      </c>
      <c r="G22" s="106">
        <f t="shared" si="8"/>
        <v>4.4275000000000002</v>
      </c>
      <c r="H22" s="106">
        <f t="shared" si="9"/>
        <v>92.587930910142077</v>
      </c>
    </row>
    <row r="23" spans="1:8">
      <c r="D23">
        <v>22.335000000000001</v>
      </c>
      <c r="E23">
        <v>15.747999999999999</v>
      </c>
      <c r="F23" s="106">
        <f t="shared" si="8"/>
        <v>11.1675</v>
      </c>
      <c r="G23" s="106">
        <f t="shared" si="8"/>
        <v>7.8739999999999997</v>
      </c>
      <c r="H23" s="106">
        <f t="shared" si="9"/>
        <v>276.24933694088264</v>
      </c>
    </row>
    <row r="24" spans="1:8">
      <c r="D24">
        <v>17.492000000000001</v>
      </c>
      <c r="E24">
        <v>12.805999999999999</v>
      </c>
      <c r="F24" s="106">
        <f t="shared" si="8"/>
        <v>8.7460000000000004</v>
      </c>
      <c r="G24" s="106">
        <f t="shared" si="8"/>
        <v>6.4029999999999996</v>
      </c>
      <c r="H24" s="106">
        <f t="shared" si="9"/>
        <v>175.93119293714139</v>
      </c>
    </row>
    <row r="25" spans="1:8">
      <c r="D25">
        <v>19.198</v>
      </c>
      <c r="E25">
        <v>9.3949999999999996</v>
      </c>
      <c r="F25" s="106">
        <f t="shared" si="8"/>
        <v>9.5990000000000002</v>
      </c>
      <c r="G25" s="106">
        <f t="shared" si="8"/>
        <v>4.6974999999999998</v>
      </c>
      <c r="H25" s="106">
        <f t="shared" si="9"/>
        <v>141.65850467479507</v>
      </c>
    </row>
    <row r="26" spans="1:8">
      <c r="B26">
        <v>9291.4930000000004</v>
      </c>
      <c r="C26" s="128">
        <f>COUNT(D18:D25)</f>
        <v>8</v>
      </c>
      <c r="D26" s="128">
        <f>AVERAGE(D18:D25)</f>
        <v>16.476624999999999</v>
      </c>
      <c r="E26" s="128">
        <f>AVERAGE(E18:E25)</f>
        <v>12.2265</v>
      </c>
      <c r="F26" s="128">
        <f>AVERAGE(F18:F25)</f>
        <v>8.2383124999999993</v>
      </c>
      <c r="G26" s="128">
        <f>AVERAGE(G18:G25)</f>
        <v>6.1132499999999999</v>
      </c>
      <c r="H26" s="128">
        <f>AVERAGE(H18:H25)</f>
        <v>160.79654755192581</v>
      </c>
    </row>
    <row r="29" spans="1:8" ht="45">
      <c r="A29" s="2" t="s">
        <v>4</v>
      </c>
      <c r="B29" s="2" t="s">
        <v>14</v>
      </c>
      <c r="C29" s="2" t="s">
        <v>85</v>
      </c>
      <c r="D29" s="2" t="s">
        <v>86</v>
      </c>
      <c r="E29" s="2" t="s">
        <v>86</v>
      </c>
      <c r="F29" s="2" t="s">
        <v>77</v>
      </c>
      <c r="G29" s="2" t="s">
        <v>77</v>
      </c>
      <c r="H29" s="2" t="s">
        <v>78</v>
      </c>
    </row>
    <row r="30" spans="1:8">
      <c r="A30" t="s">
        <v>317</v>
      </c>
      <c r="D30">
        <v>22.353000000000002</v>
      </c>
      <c r="E30">
        <v>12.558</v>
      </c>
      <c r="F30" s="106">
        <f t="shared" ref="F30:F61" si="10">D30/2</f>
        <v>11.176500000000001</v>
      </c>
      <c r="G30" s="106">
        <f t="shared" ref="G30:G61" si="11">E30/2</f>
        <v>6.2789999999999999</v>
      </c>
      <c r="H30" s="106">
        <f>PI()*F30*G30</f>
        <v>220.46831262878209</v>
      </c>
    </row>
    <row r="31" spans="1:8">
      <c r="D31">
        <v>25.248999999999999</v>
      </c>
      <c r="E31">
        <v>11.65</v>
      </c>
      <c r="F31" s="106">
        <f t="shared" si="10"/>
        <v>12.624499999999999</v>
      </c>
      <c r="G31" s="106">
        <f t="shared" si="11"/>
        <v>5.8250000000000002</v>
      </c>
      <c r="H31" s="106">
        <f t="shared" ref="H31:H61" si="12">PI()*F31*G31</f>
        <v>231.02553735179831</v>
      </c>
    </row>
    <row r="32" spans="1:8">
      <c r="D32">
        <v>27.99</v>
      </c>
      <c r="E32">
        <v>15.847</v>
      </c>
      <c r="F32" s="106">
        <f t="shared" si="10"/>
        <v>13.994999999999999</v>
      </c>
      <c r="G32" s="106">
        <f t="shared" si="11"/>
        <v>7.9234999999999998</v>
      </c>
      <c r="H32" s="106">
        <f t="shared" si="12"/>
        <v>348.36926942310856</v>
      </c>
    </row>
    <row r="33" spans="4:8">
      <c r="D33">
        <v>25.446000000000002</v>
      </c>
      <c r="E33">
        <v>15.327</v>
      </c>
      <c r="F33" s="106">
        <f t="shared" si="10"/>
        <v>12.723000000000001</v>
      </c>
      <c r="G33" s="106">
        <f t="shared" si="11"/>
        <v>7.6635</v>
      </c>
      <c r="H33" s="106">
        <f t="shared" si="12"/>
        <v>306.3137990118924</v>
      </c>
    </row>
    <row r="34" spans="4:8">
      <c r="D34">
        <v>14.888</v>
      </c>
      <c r="E34">
        <v>10.664</v>
      </c>
      <c r="F34" s="106">
        <f t="shared" si="10"/>
        <v>7.444</v>
      </c>
      <c r="G34" s="106">
        <f t="shared" si="11"/>
        <v>5.3319999999999999</v>
      </c>
      <c r="H34" s="106">
        <f t="shared" si="12"/>
        <v>124.69423578343513</v>
      </c>
    </row>
    <row r="35" spans="4:8">
      <c r="D35">
        <v>26.548999999999999</v>
      </c>
      <c r="E35">
        <v>13.920999999999999</v>
      </c>
      <c r="F35" s="106">
        <f t="shared" si="10"/>
        <v>13.2745</v>
      </c>
      <c r="G35" s="106">
        <f t="shared" si="11"/>
        <v>6.9604999999999997</v>
      </c>
      <c r="H35" s="106">
        <f t="shared" si="12"/>
        <v>290.27423042918088</v>
      </c>
    </row>
    <row r="36" spans="4:8">
      <c r="D36">
        <v>22.446000000000002</v>
      </c>
      <c r="E36">
        <v>14.65</v>
      </c>
      <c r="F36" s="106">
        <f t="shared" si="10"/>
        <v>11.223000000000001</v>
      </c>
      <c r="G36" s="106">
        <f t="shared" si="11"/>
        <v>7.3250000000000002</v>
      </c>
      <c r="H36" s="106">
        <f t="shared" si="12"/>
        <v>258.2655411228202</v>
      </c>
    </row>
    <row r="37" spans="4:8">
      <c r="D37">
        <v>18.876000000000001</v>
      </c>
      <c r="E37">
        <v>10.705</v>
      </c>
      <c r="F37" s="106">
        <f t="shared" si="10"/>
        <v>9.4380000000000006</v>
      </c>
      <c r="G37" s="106">
        <f t="shared" si="11"/>
        <v>5.3525</v>
      </c>
      <c r="H37" s="106">
        <f t="shared" si="12"/>
        <v>158.70350621416696</v>
      </c>
    </row>
    <row r="38" spans="4:8">
      <c r="D38">
        <v>21.984999999999999</v>
      </c>
      <c r="E38">
        <v>15.853999999999999</v>
      </c>
      <c r="F38" s="106">
        <f t="shared" ref="F38:F50" si="13">D38/2</f>
        <v>10.9925</v>
      </c>
      <c r="G38" s="106">
        <f t="shared" ref="G38:G50" si="14">E38/2</f>
        <v>7.9269999999999996</v>
      </c>
      <c r="H38" s="106">
        <f t="shared" ref="H38:H50" si="15">PI()*F38*G38</f>
        <v>273.75067907783159</v>
      </c>
    </row>
    <row r="39" spans="4:8">
      <c r="D39">
        <v>13.443</v>
      </c>
      <c r="E39">
        <v>15.093</v>
      </c>
      <c r="F39" s="106">
        <f t="shared" si="13"/>
        <v>6.7214999999999998</v>
      </c>
      <c r="G39" s="106">
        <f t="shared" si="14"/>
        <v>7.5465</v>
      </c>
      <c r="H39" s="106">
        <f t="shared" si="15"/>
        <v>159.35351665675978</v>
      </c>
    </row>
    <row r="40" spans="4:8">
      <c r="D40">
        <v>13.888999999999999</v>
      </c>
      <c r="E40">
        <v>10.423999999999999</v>
      </c>
      <c r="F40" s="106">
        <f t="shared" si="13"/>
        <v>6.9444999999999997</v>
      </c>
      <c r="G40" s="106">
        <f t="shared" si="14"/>
        <v>5.2119999999999997</v>
      </c>
      <c r="H40" s="106">
        <f t="shared" si="15"/>
        <v>113.70911043303668</v>
      </c>
    </row>
    <row r="41" spans="4:8">
      <c r="D41">
        <v>21.779</v>
      </c>
      <c r="E41">
        <v>17.201000000000001</v>
      </c>
      <c r="F41" s="106">
        <f t="shared" si="13"/>
        <v>10.8895</v>
      </c>
      <c r="G41" s="106">
        <f t="shared" si="14"/>
        <v>8.6005000000000003</v>
      </c>
      <c r="H41" s="106">
        <f t="shared" si="15"/>
        <v>294.22631471748866</v>
      </c>
    </row>
    <row r="42" spans="4:8">
      <c r="D42">
        <v>15.01</v>
      </c>
      <c r="E42">
        <v>16.863</v>
      </c>
      <c r="F42" s="106">
        <f t="shared" si="13"/>
        <v>7.5049999999999999</v>
      </c>
      <c r="G42" s="106">
        <f t="shared" si="14"/>
        <v>8.4314999999999998</v>
      </c>
      <c r="H42" s="106">
        <f t="shared" si="15"/>
        <v>198.79498013286124</v>
      </c>
    </row>
    <row r="43" spans="4:8">
      <c r="D43">
        <v>22.41</v>
      </c>
      <c r="E43">
        <v>19.151</v>
      </c>
      <c r="F43" s="106">
        <f t="shared" si="13"/>
        <v>11.205</v>
      </c>
      <c r="G43" s="106">
        <f t="shared" si="14"/>
        <v>9.5754999999999999</v>
      </c>
      <c r="H43" s="106">
        <f t="shared" si="15"/>
        <v>337.07240069210178</v>
      </c>
    </row>
    <row r="44" spans="4:8">
      <c r="D44">
        <v>15.047000000000001</v>
      </c>
      <c r="E44">
        <v>14.026</v>
      </c>
      <c r="F44" s="106">
        <f t="shared" ref="F44:F47" si="16">D44/2</f>
        <v>7.5235000000000003</v>
      </c>
      <c r="G44" s="106">
        <f t="shared" ref="G44:G47" si="17">E44/2</f>
        <v>7.0129999999999999</v>
      </c>
      <c r="H44" s="106">
        <f t="shared" ref="H44:H47" si="18">PI()*F44*G44</f>
        <v>165.75767134526032</v>
      </c>
    </row>
    <row r="45" spans="4:8">
      <c r="D45">
        <v>16.986000000000001</v>
      </c>
      <c r="E45">
        <v>10.705</v>
      </c>
      <c r="F45" s="106">
        <f t="shared" si="16"/>
        <v>8.4930000000000003</v>
      </c>
      <c r="G45" s="106">
        <f t="shared" si="17"/>
        <v>5.3525</v>
      </c>
      <c r="H45" s="106">
        <f t="shared" si="18"/>
        <v>142.81297714313627</v>
      </c>
    </row>
    <row r="46" spans="4:8">
      <c r="D46">
        <v>17.253</v>
      </c>
      <c r="E46">
        <v>18.462</v>
      </c>
      <c r="F46" s="106">
        <f t="shared" si="16"/>
        <v>8.6265000000000001</v>
      </c>
      <c r="G46" s="106">
        <f t="shared" si="17"/>
        <v>9.2309999999999999</v>
      </c>
      <c r="H46" s="106">
        <f t="shared" si="18"/>
        <v>250.16886046078159</v>
      </c>
    </row>
    <row r="47" spans="4:8">
      <c r="D47">
        <v>13.608000000000001</v>
      </c>
      <c r="E47">
        <v>10.558999999999999</v>
      </c>
      <c r="F47" s="106">
        <f t="shared" si="16"/>
        <v>6.8040000000000003</v>
      </c>
      <c r="G47" s="106">
        <f t="shared" si="17"/>
        <v>5.2794999999999996</v>
      </c>
      <c r="H47" s="106">
        <f t="shared" si="18"/>
        <v>112.85140537312422</v>
      </c>
    </row>
    <row r="48" spans="4:8">
      <c r="D48">
        <v>23.861999999999998</v>
      </c>
      <c r="E48">
        <v>14.69</v>
      </c>
      <c r="F48" s="106">
        <f t="shared" si="13"/>
        <v>11.930999999999999</v>
      </c>
      <c r="G48" s="106">
        <f t="shared" si="14"/>
        <v>7.3449999999999998</v>
      </c>
      <c r="H48" s="106">
        <f t="shared" si="15"/>
        <v>275.30780162260174</v>
      </c>
    </row>
    <row r="49" spans="2:8">
      <c r="D49">
        <v>23.422000000000001</v>
      </c>
      <c r="E49">
        <v>17.829999999999998</v>
      </c>
      <c r="F49" s="106">
        <f t="shared" si="13"/>
        <v>11.711</v>
      </c>
      <c r="G49" s="106">
        <f t="shared" si="14"/>
        <v>8.9149999999999991</v>
      </c>
      <c r="H49" s="106">
        <f t="shared" si="15"/>
        <v>327.9934728125844</v>
      </c>
    </row>
    <row r="50" spans="2:8">
      <c r="D50">
        <v>24.346</v>
      </c>
      <c r="E50">
        <v>20.077999999999999</v>
      </c>
      <c r="F50" s="106">
        <f t="shared" si="13"/>
        <v>12.173</v>
      </c>
      <c r="G50" s="106">
        <f t="shared" si="14"/>
        <v>10.039</v>
      </c>
      <c r="H50" s="106">
        <f t="shared" si="15"/>
        <v>383.91753540899936</v>
      </c>
    </row>
    <row r="51" spans="2:8">
      <c r="D51">
        <v>26.148</v>
      </c>
      <c r="E51">
        <v>14.18</v>
      </c>
      <c r="F51" s="106">
        <f t="shared" si="10"/>
        <v>13.074</v>
      </c>
      <c r="G51" s="106">
        <f t="shared" si="11"/>
        <v>7.09</v>
      </c>
      <c r="H51" s="106">
        <f t="shared" si="12"/>
        <v>291.20886288300363</v>
      </c>
    </row>
    <row r="52" spans="2:8">
      <c r="D52">
        <v>24.552</v>
      </c>
      <c r="E52">
        <v>16.035</v>
      </c>
      <c r="F52" s="106">
        <f t="shared" si="10"/>
        <v>12.276</v>
      </c>
      <c r="G52" s="106">
        <f t="shared" si="11"/>
        <v>8.0175000000000001</v>
      </c>
      <c r="H52" s="106">
        <f t="shared" si="12"/>
        <v>309.20443967351713</v>
      </c>
    </row>
    <row r="53" spans="2:8">
      <c r="D53">
        <v>21.963999999999999</v>
      </c>
      <c r="E53">
        <v>14.167999999999999</v>
      </c>
      <c r="F53" s="106">
        <f t="shared" si="10"/>
        <v>10.981999999999999</v>
      </c>
      <c r="G53" s="106">
        <f t="shared" si="11"/>
        <v>7.0839999999999996</v>
      </c>
      <c r="H53" s="106">
        <f t="shared" si="12"/>
        <v>244.40487517588645</v>
      </c>
    </row>
    <row r="54" spans="2:8">
      <c r="D54">
        <v>20.931999999999999</v>
      </c>
      <c r="E54">
        <v>13.75</v>
      </c>
      <c r="F54" s="106">
        <f t="shared" si="10"/>
        <v>10.465999999999999</v>
      </c>
      <c r="G54" s="106">
        <f t="shared" si="11"/>
        <v>6.875</v>
      </c>
      <c r="H54" s="106">
        <f t="shared" si="12"/>
        <v>226.04937239823656</v>
      </c>
    </row>
    <row r="55" spans="2:8">
      <c r="D55">
        <v>16.094000000000001</v>
      </c>
      <c r="E55">
        <v>17.11</v>
      </c>
      <c r="F55" s="106">
        <f t="shared" si="10"/>
        <v>8.0470000000000006</v>
      </c>
      <c r="G55" s="106">
        <f t="shared" si="11"/>
        <v>8.5549999999999997</v>
      </c>
      <c r="H55" s="106">
        <f t="shared" si="12"/>
        <v>216.27378849380412</v>
      </c>
    </row>
    <row r="56" spans="2:8">
      <c r="D56">
        <v>21.254999999999999</v>
      </c>
      <c r="E56">
        <v>16.841999999999999</v>
      </c>
      <c r="F56" s="106">
        <f t="shared" si="10"/>
        <v>10.6275</v>
      </c>
      <c r="G56" s="106">
        <f t="shared" si="11"/>
        <v>8.4209999999999994</v>
      </c>
      <c r="H56" s="106">
        <f t="shared" si="12"/>
        <v>281.15425057306089</v>
      </c>
    </row>
    <row r="57" spans="2:8">
      <c r="D57">
        <v>21.643999999999998</v>
      </c>
      <c r="E57">
        <v>14.872999999999999</v>
      </c>
      <c r="F57" s="106">
        <f t="shared" si="10"/>
        <v>10.821999999999999</v>
      </c>
      <c r="G57" s="106">
        <f t="shared" si="11"/>
        <v>7.4364999999999997</v>
      </c>
      <c r="H57" s="106">
        <f t="shared" si="12"/>
        <v>252.82847468184659</v>
      </c>
    </row>
    <row r="58" spans="2:8">
      <c r="D58">
        <v>18.864999999999998</v>
      </c>
      <c r="E58">
        <v>15.688000000000001</v>
      </c>
      <c r="F58" s="106">
        <f t="shared" si="10"/>
        <v>9.4324999999999992</v>
      </c>
      <c r="G58" s="106">
        <f t="shared" si="11"/>
        <v>7.8440000000000003</v>
      </c>
      <c r="H58" s="106">
        <f t="shared" si="12"/>
        <v>232.441822297908</v>
      </c>
    </row>
    <row r="59" spans="2:8">
      <c r="D59">
        <v>15.24</v>
      </c>
      <c r="E59">
        <v>14.074</v>
      </c>
      <c r="F59" s="106">
        <f t="shared" si="10"/>
        <v>7.62</v>
      </c>
      <c r="G59" s="106">
        <f t="shared" si="11"/>
        <v>7.0369999999999999</v>
      </c>
      <c r="H59" s="106">
        <f t="shared" si="12"/>
        <v>168.45829277523268</v>
      </c>
    </row>
    <row r="60" spans="2:8">
      <c r="D60">
        <v>14.432</v>
      </c>
      <c r="E60">
        <v>13.281000000000001</v>
      </c>
      <c r="F60" s="106">
        <f t="shared" si="10"/>
        <v>7.2160000000000002</v>
      </c>
      <c r="G60" s="106">
        <f t="shared" si="11"/>
        <v>6.6405000000000003</v>
      </c>
      <c r="H60" s="106">
        <f t="shared" si="12"/>
        <v>150.53835925263238</v>
      </c>
    </row>
    <row r="61" spans="2:8">
      <c r="D61">
        <v>21.033999999999999</v>
      </c>
      <c r="E61">
        <v>20.341999999999999</v>
      </c>
      <c r="F61" s="106">
        <f t="shared" si="10"/>
        <v>10.516999999999999</v>
      </c>
      <c r="G61" s="106">
        <f t="shared" si="11"/>
        <v>10.170999999999999</v>
      </c>
      <c r="H61" s="106">
        <f t="shared" si="12"/>
        <v>336.051161597403</v>
      </c>
    </row>
    <row r="62" spans="2:8">
      <c r="B62" s="109"/>
      <c r="C62" s="128">
        <f>COUNT(D30:D61)</f>
        <v>32</v>
      </c>
      <c r="D62" s="128">
        <f>AVERAGE(D30:D61)</f>
        <v>20.281156250000006</v>
      </c>
      <c r="E62" s="128">
        <f>AVERAGE(E30:E61)</f>
        <v>14.89378125</v>
      </c>
      <c r="F62" s="128">
        <f>AVERAGE(F30:F61)</f>
        <v>10.140578125000003</v>
      </c>
      <c r="G62" s="128">
        <f>AVERAGE(G30:G61)</f>
        <v>7.446890625</v>
      </c>
      <c r="H62" s="128">
        <f>AVERAGE(H30:H61)</f>
        <v>240.07640180138387</v>
      </c>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4"/>
  <sheetViews>
    <sheetView topLeftCell="A4" workbookViewId="0">
      <selection activeCell="G14" sqref="G14"/>
    </sheetView>
  </sheetViews>
  <sheetFormatPr baseColWidth="10" defaultRowHeight="15" x14ac:dyDescent="0"/>
  <cols>
    <col min="1" max="1" width="26.33203125" customWidth="1"/>
  </cols>
  <sheetData>
    <row r="1" spans="1:7">
      <c r="C1" s="193"/>
      <c r="D1" s="3" t="s">
        <v>237</v>
      </c>
    </row>
    <row r="2" spans="1:7">
      <c r="C2" s="194"/>
      <c r="D2" s="3" t="s">
        <v>238</v>
      </c>
    </row>
    <row r="4" spans="1:7">
      <c r="A4" t="s">
        <v>246</v>
      </c>
    </row>
    <row r="7" spans="1:7">
      <c r="A7" s="34" t="s">
        <v>143</v>
      </c>
    </row>
    <row r="8" spans="1:7">
      <c r="A8" s="47" t="s">
        <v>144</v>
      </c>
      <c r="B8" s="66"/>
      <c r="C8" s="47"/>
      <c r="D8" s="47"/>
      <c r="E8" s="47"/>
      <c r="F8" s="47"/>
      <c r="G8" s="47"/>
    </row>
    <row r="9" spans="1:7" ht="60">
      <c r="B9" s="71" t="s">
        <v>150</v>
      </c>
      <c r="C9" s="71" t="s">
        <v>151</v>
      </c>
      <c r="D9" s="71" t="s">
        <v>145</v>
      </c>
      <c r="E9" s="72" t="s">
        <v>146</v>
      </c>
      <c r="F9" s="72" t="s">
        <v>147</v>
      </c>
      <c r="G9" s="72" t="s">
        <v>148</v>
      </c>
    </row>
    <row r="10" spans="1:7">
      <c r="A10" t="str">
        <f>A21</f>
        <v>Cd-cho-19</v>
      </c>
      <c r="B10">
        <f t="shared" ref="B10:F10" si="0">B21</f>
        <v>3.379</v>
      </c>
      <c r="C10">
        <f t="shared" si="0"/>
        <v>3.379</v>
      </c>
      <c r="D10">
        <f t="shared" si="0"/>
        <v>3.379</v>
      </c>
      <c r="E10">
        <f t="shared" si="0"/>
        <v>1.6895</v>
      </c>
      <c r="F10">
        <f t="shared" si="0"/>
        <v>8.9673942717314041</v>
      </c>
    </row>
    <row r="11" spans="1:7">
      <c r="A11" t="str">
        <f>A22</f>
        <v>Cd-cho-22</v>
      </c>
      <c r="B11">
        <f t="shared" ref="B11:F11" si="1">B22</f>
        <v>4.9550000000000001</v>
      </c>
      <c r="C11">
        <f t="shared" si="1"/>
        <v>6.2190000000000003</v>
      </c>
      <c r="D11">
        <f t="shared" si="1"/>
        <v>5.5869999999999997</v>
      </c>
      <c r="E11">
        <f t="shared" si="1"/>
        <v>2.7934999999999999</v>
      </c>
      <c r="F11">
        <f t="shared" si="1"/>
        <v>24.515865163842921</v>
      </c>
    </row>
    <row r="12" spans="1:7">
      <c r="A12" t="str">
        <f>A23</f>
        <v>Cd-RR-13</v>
      </c>
      <c r="B12">
        <f t="shared" ref="B12:F12" si="2">B23</f>
        <v>3.9329999999999998</v>
      </c>
      <c r="C12">
        <f t="shared" si="2"/>
        <v>3.536</v>
      </c>
      <c r="D12">
        <f t="shared" si="2"/>
        <v>3.7344999999999997</v>
      </c>
      <c r="E12">
        <f t="shared" si="2"/>
        <v>1.8672499999999999</v>
      </c>
      <c r="F12">
        <f t="shared" si="2"/>
        <v>10.953547828190418</v>
      </c>
    </row>
    <row r="13" spans="1:7">
      <c r="A13" s="47"/>
      <c r="B13" s="47"/>
      <c r="C13" s="47"/>
      <c r="D13" s="47"/>
      <c r="E13" s="47"/>
      <c r="F13" s="47"/>
      <c r="G13" s="47"/>
    </row>
    <row r="14" spans="1:7">
      <c r="A14" s="67" t="s">
        <v>149</v>
      </c>
      <c r="B14" s="68"/>
      <c r="C14" s="69"/>
      <c r="D14" s="68">
        <f>AVERAGE(D10:D13)</f>
        <v>4.2334999999999994</v>
      </c>
      <c r="E14" s="68">
        <f>AVERAGE(E10:E13)</f>
        <v>2.1167499999999997</v>
      </c>
      <c r="F14" s="68">
        <f>AVERAGE(F10:F13)</f>
        <v>14.81226908792158</v>
      </c>
      <c r="G14" s="70">
        <f>(F14*'Choanocyte Chambers'!G13)/1000000</f>
        <v>0.52101576848277364</v>
      </c>
    </row>
    <row r="20" spans="1:7" ht="49">
      <c r="A20" t="s">
        <v>245</v>
      </c>
      <c r="B20" s="71" t="s">
        <v>150</v>
      </c>
      <c r="C20" s="71" t="s">
        <v>151</v>
      </c>
      <c r="D20" s="71" t="s">
        <v>145</v>
      </c>
      <c r="E20" s="72" t="s">
        <v>146</v>
      </c>
      <c r="F20" s="72" t="s">
        <v>147</v>
      </c>
      <c r="G20" s="72"/>
    </row>
    <row r="21" spans="1:7">
      <c r="A21" t="s">
        <v>297</v>
      </c>
      <c r="B21">
        <v>3.379</v>
      </c>
      <c r="C21">
        <v>3.379</v>
      </c>
      <c r="D21" s="106">
        <f t="shared" ref="D21:D23" si="3">(B21+C21)/2</f>
        <v>3.379</v>
      </c>
      <c r="E21" s="106">
        <f t="shared" ref="E21:E23" si="4">D21/2</f>
        <v>1.6895</v>
      </c>
      <c r="F21" s="106">
        <f t="shared" ref="F21:F23" si="5">PI()*(E21^2)</f>
        <v>8.9673942717314041</v>
      </c>
    </row>
    <row r="22" spans="1:7">
      <c r="A22" t="s">
        <v>308</v>
      </c>
      <c r="B22">
        <v>4.9550000000000001</v>
      </c>
      <c r="C22">
        <v>6.2190000000000003</v>
      </c>
      <c r="D22" s="106">
        <f t="shared" si="3"/>
        <v>5.5869999999999997</v>
      </c>
      <c r="E22" s="106">
        <f t="shared" si="4"/>
        <v>2.7934999999999999</v>
      </c>
      <c r="F22" s="106">
        <f t="shared" si="5"/>
        <v>24.515865163842921</v>
      </c>
    </row>
    <row r="23" spans="1:7">
      <c r="A23" t="s">
        <v>309</v>
      </c>
      <c r="B23" s="47">
        <v>3.9329999999999998</v>
      </c>
      <c r="C23" s="47">
        <v>3.536</v>
      </c>
      <c r="D23" s="133">
        <f t="shared" si="3"/>
        <v>3.7344999999999997</v>
      </c>
      <c r="E23" s="133">
        <f t="shared" si="4"/>
        <v>1.8672499999999999</v>
      </c>
      <c r="F23" s="133">
        <f t="shared" si="5"/>
        <v>10.953547828190418</v>
      </c>
    </row>
    <row r="24" spans="1:7">
      <c r="B24" s="106">
        <f>AVERAGE(B21:B23)</f>
        <v>4.0889999999999995</v>
      </c>
      <c r="C24" s="106">
        <f>AVERAGE(C21:C23)</f>
        <v>4.3780000000000001</v>
      </c>
      <c r="D24" s="106">
        <f>AVERAGE(D21:D23)</f>
        <v>4.2334999999999994</v>
      </c>
      <c r="E24" s="106">
        <f>AVERAGE(E21:E23)</f>
        <v>2.1167499999999997</v>
      </c>
      <c r="F24" s="106">
        <f>AVERAGE(F21:F23)</f>
        <v>14.81226908792158</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R33"/>
  <sheetViews>
    <sheetView topLeftCell="D1" workbookViewId="0">
      <selection activeCell="N23" sqref="N23"/>
    </sheetView>
  </sheetViews>
  <sheetFormatPr baseColWidth="10" defaultRowHeight="15" x14ac:dyDescent="0"/>
  <cols>
    <col min="11" max="11" width="12.1640625" customWidth="1"/>
    <col min="14" max="14" width="23.5" customWidth="1"/>
    <col min="15" max="15" width="22.33203125" customWidth="1"/>
  </cols>
  <sheetData>
    <row r="1" spans="1:18">
      <c r="E1" s="193"/>
      <c r="F1" s="3" t="s">
        <v>237</v>
      </c>
    </row>
    <row r="2" spans="1:18">
      <c r="E2" s="194"/>
      <c r="F2" s="3" t="s">
        <v>238</v>
      </c>
    </row>
    <row r="7" spans="1:18">
      <c r="D7" t="s">
        <v>291</v>
      </c>
      <c r="E7" t="s">
        <v>292</v>
      </c>
      <c r="F7" t="s">
        <v>171</v>
      </c>
      <c r="G7" t="s">
        <v>43</v>
      </c>
      <c r="H7" t="s">
        <v>170</v>
      </c>
      <c r="I7" t="s">
        <v>172</v>
      </c>
      <c r="J7" t="s">
        <v>169</v>
      </c>
      <c r="K7" t="s">
        <v>165</v>
      </c>
      <c r="L7" t="s">
        <v>166</v>
      </c>
      <c r="M7" t="s">
        <v>177</v>
      </c>
      <c r="N7" t="s">
        <v>179</v>
      </c>
      <c r="O7" t="s">
        <v>168</v>
      </c>
      <c r="P7" t="s">
        <v>173</v>
      </c>
      <c r="Q7" t="s">
        <v>174</v>
      </c>
      <c r="R7" t="s">
        <v>324</v>
      </c>
    </row>
    <row r="8" spans="1:18">
      <c r="A8" s="201" t="s">
        <v>248</v>
      </c>
      <c r="B8" s="201" t="s">
        <v>216</v>
      </c>
      <c r="C8" s="201">
        <v>1</v>
      </c>
      <c r="D8" s="201">
        <v>2.484</v>
      </c>
      <c r="E8">
        <v>2.5449999999999999</v>
      </c>
      <c r="F8" s="109">
        <f>((E8+D8)/2)*10</f>
        <v>25.145</v>
      </c>
      <c r="G8" s="106">
        <f t="shared" ref="G8:G15" si="0">F8*1000</f>
        <v>25145</v>
      </c>
      <c r="H8" s="106">
        <f>F8/2</f>
        <v>12.5725</v>
      </c>
      <c r="I8" s="106">
        <f>G8/2</f>
        <v>12572.5</v>
      </c>
      <c r="J8" s="142">
        <v>4.9651144014027198</v>
      </c>
      <c r="K8" s="106">
        <f>J8*100000000</f>
        <v>496511440.14027196</v>
      </c>
      <c r="L8" s="202">
        <v>12.465351999999999</v>
      </c>
      <c r="M8" s="106">
        <f>L8/100</f>
        <v>0.12465351999999999</v>
      </c>
      <c r="N8" s="106">
        <f>(J8*L8)</f>
        <v>61.891898733754189</v>
      </c>
      <c r="O8" s="106">
        <f t="shared" ref="O8:O15" si="1">(J8*L8)/1000*60*60</f>
        <v>222.81083544151508</v>
      </c>
      <c r="P8" s="106">
        <f>'Sponge Volume'!H38</f>
        <v>511.6717852323913</v>
      </c>
      <c r="R8">
        <v>1.2905055288338279E-2</v>
      </c>
    </row>
    <row r="9" spans="1:18">
      <c r="A9" s="201" t="s">
        <v>248</v>
      </c>
      <c r="B9" s="201" t="s">
        <v>216</v>
      </c>
      <c r="C9" s="201">
        <v>3</v>
      </c>
      <c r="D9" s="201">
        <v>2.5089999999999999</v>
      </c>
      <c r="E9">
        <v>2.1429999999999998</v>
      </c>
      <c r="F9" s="109">
        <f t="shared" ref="F9:F15" si="2">((E9+D9)/2)*10</f>
        <v>23.259999999999998</v>
      </c>
      <c r="G9" s="106">
        <f t="shared" si="0"/>
        <v>23259.999999999996</v>
      </c>
      <c r="H9" s="106">
        <f t="shared" ref="H9:H15" si="3">F9/2</f>
        <v>11.629999999999999</v>
      </c>
      <c r="I9" s="106">
        <f t="shared" ref="I9:I16" si="4">G9/2</f>
        <v>11629.999999999998</v>
      </c>
      <c r="J9" s="142">
        <v>1.673463574714211</v>
      </c>
      <c r="K9" s="106">
        <f t="shared" ref="K9:K15" si="5">J9*100000000</f>
        <v>167346357.47142109</v>
      </c>
      <c r="L9" s="202">
        <v>10.624203</v>
      </c>
      <c r="M9" s="106">
        <f t="shared" ref="M9:M15" si="6">L9/100</f>
        <v>0.10624203</v>
      </c>
      <c r="N9" s="106">
        <f t="shared" ref="N9:N15" si="7">(J9*L9)</f>
        <v>17.779216730869443</v>
      </c>
      <c r="O9" s="106">
        <f t="shared" si="1"/>
        <v>64.005180231129984</v>
      </c>
      <c r="P9" s="106">
        <f>'Sponge Volume'!H39</f>
        <v>172.45606557494267</v>
      </c>
      <c r="R9">
        <v>1.2419999999999987</v>
      </c>
    </row>
    <row r="10" spans="1:18">
      <c r="A10" s="201" t="s">
        <v>248</v>
      </c>
      <c r="B10" s="201" t="s">
        <v>216</v>
      </c>
      <c r="C10" s="201">
        <v>5</v>
      </c>
      <c r="D10" s="201">
        <v>2.17</v>
      </c>
      <c r="E10">
        <v>1.9379999999999999</v>
      </c>
      <c r="F10" s="109">
        <f t="shared" si="2"/>
        <v>20.54</v>
      </c>
      <c r="G10" s="106">
        <f t="shared" si="0"/>
        <v>20540</v>
      </c>
      <c r="H10" s="106">
        <f t="shared" si="3"/>
        <v>10.27</v>
      </c>
      <c r="I10" s="106">
        <f t="shared" si="4"/>
        <v>10270</v>
      </c>
      <c r="J10" s="142">
        <v>4.2229186347792753</v>
      </c>
      <c r="K10" s="106">
        <f t="shared" si="5"/>
        <v>422291863.47792751</v>
      </c>
      <c r="L10" s="202">
        <v>10.381098</v>
      </c>
      <c r="M10" s="106">
        <f t="shared" si="6"/>
        <v>0.10381098</v>
      </c>
      <c r="N10" s="106">
        <f t="shared" si="7"/>
        <v>43.838532193669863</v>
      </c>
      <c r="O10" s="106">
        <f t="shared" si="1"/>
        <v>157.81871589721152</v>
      </c>
      <c r="P10" s="106">
        <f>'Sponge Volume'!H40</f>
        <v>435.18600822937748</v>
      </c>
      <c r="R10">
        <v>9.185985779970915</v>
      </c>
    </row>
    <row r="11" spans="1:18">
      <c r="A11" s="201" t="s">
        <v>248</v>
      </c>
      <c r="B11" s="201" t="s">
        <v>216</v>
      </c>
      <c r="C11" s="201">
        <v>6</v>
      </c>
      <c r="D11" s="201">
        <v>1.7</v>
      </c>
      <c r="E11">
        <v>1.43</v>
      </c>
      <c r="F11" s="109">
        <f t="shared" si="2"/>
        <v>15.649999999999999</v>
      </c>
      <c r="G11" s="106">
        <f t="shared" si="0"/>
        <v>15649.999999999998</v>
      </c>
      <c r="H11" s="106">
        <f t="shared" si="3"/>
        <v>7.8249999999999993</v>
      </c>
      <c r="I11" s="106">
        <f t="shared" si="4"/>
        <v>7824.9999999999991</v>
      </c>
      <c r="J11" s="109">
        <v>3.3029605602414325</v>
      </c>
      <c r="K11" s="106">
        <f t="shared" si="5"/>
        <v>330296056.02414322</v>
      </c>
      <c r="L11" s="202">
        <v>11.900663</v>
      </c>
      <c r="M11" s="106">
        <f t="shared" si="6"/>
        <v>0.11900663</v>
      </c>
      <c r="N11" s="106">
        <f t="shared" si="7"/>
        <v>39.307420529724489</v>
      </c>
      <c r="O11" s="106">
        <f t="shared" si="1"/>
        <v>141.50671390700816</v>
      </c>
      <c r="P11" s="106">
        <f>'Sponge Volume'!H41</f>
        <v>340.38122584515952</v>
      </c>
      <c r="R11">
        <v>0.32259435900948369</v>
      </c>
    </row>
    <row r="12" spans="1:18">
      <c r="A12" s="201" t="s">
        <v>248</v>
      </c>
      <c r="B12" s="201" t="s">
        <v>216</v>
      </c>
      <c r="C12" s="201">
        <v>7</v>
      </c>
      <c r="D12" s="201">
        <v>4.077</v>
      </c>
      <c r="E12">
        <v>3.4460000000000002</v>
      </c>
      <c r="F12" s="109">
        <f t="shared" si="2"/>
        <v>37.614999999999995</v>
      </c>
      <c r="G12" s="106">
        <f t="shared" si="0"/>
        <v>37614.999999999993</v>
      </c>
      <c r="H12" s="106">
        <f t="shared" si="3"/>
        <v>18.807499999999997</v>
      </c>
      <c r="I12" s="106">
        <f t="shared" si="4"/>
        <v>18807.499999999996</v>
      </c>
      <c r="J12" s="109">
        <v>1.9093029352191966</v>
      </c>
      <c r="K12" s="106">
        <f t="shared" si="5"/>
        <v>190930293.52191967</v>
      </c>
      <c r="L12" s="202">
        <v>9.4057388</v>
      </c>
      <c r="M12" s="106">
        <f t="shared" si="6"/>
        <v>9.4057388000000006E-2</v>
      </c>
      <c r="N12" s="106">
        <f t="shared" si="7"/>
        <v>17.958404698745085</v>
      </c>
      <c r="O12" s="106">
        <f t="shared" si="1"/>
        <v>64.650256915482302</v>
      </c>
      <c r="P12" s="106">
        <f>'Sponge Volume'!H42</f>
        <v>196.76010710590108</v>
      </c>
      <c r="R12">
        <v>1.3134097775689642</v>
      </c>
    </row>
    <row r="13" spans="1:18">
      <c r="A13" s="201" t="s">
        <v>248</v>
      </c>
      <c r="B13" s="201" t="s">
        <v>216</v>
      </c>
      <c r="C13" s="201">
        <v>8</v>
      </c>
      <c r="D13" s="201">
        <v>1.327</v>
      </c>
      <c r="E13">
        <v>0.98699999999999999</v>
      </c>
      <c r="F13" s="109">
        <f t="shared" si="2"/>
        <v>11.57</v>
      </c>
      <c r="G13" s="106">
        <f t="shared" si="0"/>
        <v>11570</v>
      </c>
      <c r="H13" s="106">
        <f t="shared" si="3"/>
        <v>5.7850000000000001</v>
      </c>
      <c r="I13" s="106">
        <f t="shared" si="4"/>
        <v>5785</v>
      </c>
      <c r="J13" s="109">
        <v>11.034327403742633</v>
      </c>
      <c r="K13" s="106">
        <f t="shared" si="5"/>
        <v>1103432740.3742633</v>
      </c>
      <c r="L13" s="202">
        <v>9.3017254000000005</v>
      </c>
      <c r="M13" s="106">
        <f t="shared" si="6"/>
        <v>9.3017254000000008E-2</v>
      </c>
      <c r="N13" s="106">
        <f t="shared" si="7"/>
        <v>102.63828348330891</v>
      </c>
      <c r="O13" s="106">
        <f t="shared" si="1"/>
        <v>369.49782053991214</v>
      </c>
      <c r="P13" s="106">
        <f>'Sponge Volume'!H43</f>
        <v>1137.1246551573158</v>
      </c>
      <c r="R13">
        <v>0.70343292200381913</v>
      </c>
    </row>
    <row r="14" spans="1:18">
      <c r="A14" s="201" t="s">
        <v>248</v>
      </c>
      <c r="B14" s="201" t="s">
        <v>216</v>
      </c>
      <c r="C14" s="201">
        <v>9</v>
      </c>
      <c r="D14" s="201">
        <v>2.7160000000000002</v>
      </c>
      <c r="E14">
        <v>2.5880000000000001</v>
      </c>
      <c r="F14" s="109">
        <f t="shared" si="2"/>
        <v>26.520000000000003</v>
      </c>
      <c r="G14" s="106">
        <f t="shared" si="0"/>
        <v>26520.000000000004</v>
      </c>
      <c r="H14" s="106">
        <f t="shared" si="3"/>
        <v>13.260000000000002</v>
      </c>
      <c r="I14" s="106">
        <f t="shared" si="4"/>
        <v>13260.000000000002</v>
      </c>
      <c r="J14" s="109">
        <v>1.0286744591116446</v>
      </c>
      <c r="K14" s="106">
        <f t="shared" si="5"/>
        <v>102867445.91116446</v>
      </c>
      <c r="L14" s="202">
        <v>13.695878</v>
      </c>
      <c r="M14" s="106">
        <f t="shared" si="6"/>
        <v>0.13695878</v>
      </c>
      <c r="N14" s="106">
        <f t="shared" si="7"/>
        <v>14.088599893709073</v>
      </c>
      <c r="O14" s="106">
        <f t="shared" si="1"/>
        <v>50.718959617352667</v>
      </c>
      <c r="P14" s="106">
        <f>'Sponge Volume'!H44</f>
        <v>106.00837248944751</v>
      </c>
      <c r="R14">
        <v>2.4853463673759766</v>
      </c>
    </row>
    <row r="15" spans="1:18">
      <c r="A15" s="201" t="s">
        <v>248</v>
      </c>
      <c r="B15" s="201" t="s">
        <v>216</v>
      </c>
      <c r="C15" s="201">
        <v>10</v>
      </c>
      <c r="D15" s="201">
        <v>2.3239999999999998</v>
      </c>
      <c r="E15">
        <v>1.8819999999999999</v>
      </c>
      <c r="F15" s="109">
        <f t="shared" si="2"/>
        <v>21.029999999999998</v>
      </c>
      <c r="G15" s="106">
        <f t="shared" si="0"/>
        <v>21029.999999999996</v>
      </c>
      <c r="H15" s="106">
        <f t="shared" si="3"/>
        <v>10.514999999999999</v>
      </c>
      <c r="I15" s="106">
        <f t="shared" si="4"/>
        <v>10514.999999999998</v>
      </c>
      <c r="J15" s="109">
        <v>5.5205699737059719</v>
      </c>
      <c r="K15" s="106">
        <f t="shared" si="5"/>
        <v>552056997.37059724</v>
      </c>
      <c r="L15" s="202">
        <v>10.551163000000001</v>
      </c>
      <c r="M15" s="106">
        <f t="shared" si="6"/>
        <v>0.10551163000000001</v>
      </c>
      <c r="N15" s="106">
        <f t="shared" si="7"/>
        <v>58.248433645477427</v>
      </c>
      <c r="O15" s="106">
        <f t="shared" si="1"/>
        <v>209.69436112371875</v>
      </c>
      <c r="P15" s="106">
        <f>'Sponge Volume'!H45</f>
        <v>568.91335537977614</v>
      </c>
      <c r="R15">
        <v>2.3529126672133289</v>
      </c>
    </row>
    <row r="16" spans="1:18">
      <c r="G16" s="128">
        <f>AVERAGE(G8:G15)</f>
        <v>22666.25</v>
      </c>
      <c r="H16" s="128"/>
      <c r="I16" s="128">
        <f t="shared" si="4"/>
        <v>11333.125</v>
      </c>
      <c r="J16" s="128">
        <f t="shared" ref="J16:P16" si="8">AVERAGE(J8:J15)</f>
        <v>4.2071664928646362</v>
      </c>
      <c r="K16" s="128">
        <f t="shared" si="8"/>
        <v>420716649.28646356</v>
      </c>
      <c r="L16" s="128">
        <f t="shared" si="8"/>
        <v>11.040727650000001</v>
      </c>
      <c r="M16" s="128">
        <f t="shared" si="8"/>
        <v>0.1104072765</v>
      </c>
      <c r="N16" s="128">
        <f t="shared" si="8"/>
        <v>44.468848738657307</v>
      </c>
      <c r="O16" s="128">
        <f t="shared" si="8"/>
        <v>160.08785545916635</v>
      </c>
      <c r="P16" s="128">
        <f t="shared" si="8"/>
        <v>433.56269687678895</v>
      </c>
      <c r="Q16" s="128">
        <f>PI()*(I16^2)*B18</f>
        <v>4028193289093.729</v>
      </c>
      <c r="R16" s="128">
        <f>AVERAGE(R8:R15)</f>
        <v>2.2023233660538528</v>
      </c>
    </row>
    <row r="17" spans="1:18">
      <c r="R17">
        <f>STDEV(R8:R15)</f>
        <v>2.955873437420701</v>
      </c>
    </row>
    <row r="18" spans="1:18">
      <c r="A18" t="s">
        <v>175</v>
      </c>
      <c r="B18" s="8">
        <v>9983</v>
      </c>
      <c r="R18">
        <f>R17/SQRT(COUNT(R8:R15))</f>
        <v>1.0450590759646838</v>
      </c>
    </row>
    <row r="19" spans="1:18">
      <c r="D19" s="8"/>
      <c r="E19" s="8"/>
    </row>
    <row r="20" spans="1:18">
      <c r="A20" s="8"/>
      <c r="B20" s="8"/>
      <c r="C20" s="8"/>
      <c r="D20" s="8"/>
      <c r="E20" s="8"/>
      <c r="F20" s="8"/>
      <c r="G20" s="8"/>
    </row>
    <row r="21" spans="1:18">
      <c r="A21" s="8"/>
      <c r="B21" s="8"/>
      <c r="C21" s="8"/>
      <c r="D21" s="8"/>
      <c r="E21" s="8"/>
      <c r="F21" s="8"/>
      <c r="G21" s="8"/>
    </row>
    <row r="22" spans="1:18">
      <c r="A22" s="8"/>
      <c r="B22" s="8"/>
      <c r="C22" s="8"/>
      <c r="D22" s="8"/>
      <c r="F22" s="8"/>
      <c r="G22" s="8"/>
    </row>
    <row r="23" spans="1:18">
      <c r="A23" s="8"/>
      <c r="B23" s="8"/>
      <c r="C23" s="8"/>
      <c r="D23" s="8"/>
    </row>
    <row r="24" spans="1:18">
      <c r="A24" s="8"/>
      <c r="B24" s="8"/>
      <c r="C24" s="8"/>
      <c r="D24" s="8"/>
    </row>
    <row r="25" spans="1:18">
      <c r="A25" s="8"/>
      <c r="B25" s="8"/>
      <c r="C25" s="8"/>
      <c r="D25" s="8"/>
    </row>
    <row r="26" spans="1:18">
      <c r="A26" s="8"/>
      <c r="B26" s="8"/>
      <c r="C26" s="8"/>
      <c r="D26" s="8"/>
    </row>
    <row r="27" spans="1:18">
      <c r="A27" s="8"/>
      <c r="B27" s="8"/>
      <c r="C27" s="8"/>
      <c r="D27" s="8"/>
    </row>
    <row r="28" spans="1:18">
      <c r="A28" s="8"/>
      <c r="B28" s="8"/>
      <c r="C28" s="8"/>
      <c r="D28" s="8"/>
    </row>
    <row r="29" spans="1:18">
      <c r="A29" s="8"/>
      <c r="B29" s="8"/>
      <c r="C29" s="8"/>
      <c r="D29" s="8"/>
    </row>
    <row r="30" spans="1:18">
      <c r="A30" s="8"/>
      <c r="B30" s="8"/>
      <c r="C30" s="8"/>
      <c r="D30" s="8"/>
    </row>
    <row r="31" spans="1:18">
      <c r="A31" s="8"/>
      <c r="B31" s="8"/>
      <c r="C31" s="8"/>
      <c r="D31" s="8"/>
    </row>
    <row r="32" spans="1:18">
      <c r="A32" s="8"/>
      <c r="B32" s="8"/>
      <c r="C32" s="8"/>
      <c r="D32" s="8"/>
    </row>
    <row r="33" spans="1:3">
      <c r="A33" s="8"/>
      <c r="B33" s="8"/>
      <c r="C33" s="8"/>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4"/>
  <sheetViews>
    <sheetView topLeftCell="A8" workbookViewId="0">
      <selection activeCell="E8" sqref="E8"/>
    </sheetView>
  </sheetViews>
  <sheetFormatPr baseColWidth="10" defaultRowHeight="15" x14ac:dyDescent="0"/>
  <cols>
    <col min="6" max="6" width="12.5" customWidth="1"/>
  </cols>
  <sheetData>
    <row r="1" spans="1:15">
      <c r="A1" t="s">
        <v>352</v>
      </c>
    </row>
    <row r="3" spans="1:15">
      <c r="A3" t="s">
        <v>276</v>
      </c>
    </row>
    <row r="4" spans="1:15">
      <c r="A4" t="s">
        <v>272</v>
      </c>
      <c r="C4" s="17"/>
      <c r="D4" s="205"/>
      <c r="E4" s="205"/>
    </row>
    <row r="5" spans="1:15">
      <c r="A5" t="s">
        <v>273</v>
      </c>
      <c r="C5" s="17"/>
      <c r="D5" s="205"/>
      <c r="E5" s="205"/>
    </row>
    <row r="6" spans="1:15">
      <c r="C6" s="17"/>
      <c r="D6" s="17"/>
      <c r="E6" s="17"/>
    </row>
    <row r="7" spans="1:15">
      <c r="A7" t="s">
        <v>249</v>
      </c>
    </row>
    <row r="8" spans="1:15">
      <c r="A8" t="s">
        <v>253</v>
      </c>
    </row>
    <row r="9" spans="1:15">
      <c r="A9" t="s">
        <v>219</v>
      </c>
      <c r="B9" t="s">
        <v>220</v>
      </c>
      <c r="C9" t="s">
        <v>250</v>
      </c>
    </row>
    <row r="10" spans="1:15">
      <c r="B10" t="s">
        <v>251</v>
      </c>
      <c r="C10" t="s">
        <v>252</v>
      </c>
    </row>
    <row r="11" spans="1:15">
      <c r="B11" t="s">
        <v>254</v>
      </c>
      <c r="C11" t="s">
        <v>255</v>
      </c>
    </row>
    <row r="13" spans="1:15">
      <c r="A13" t="s">
        <v>277</v>
      </c>
    </row>
    <row r="14" spans="1:15">
      <c r="A14" t="s">
        <v>265</v>
      </c>
      <c r="B14" t="s">
        <v>267</v>
      </c>
      <c r="C14" t="s">
        <v>268</v>
      </c>
      <c r="D14" t="s">
        <v>222</v>
      </c>
      <c r="E14" t="s">
        <v>223</v>
      </c>
      <c r="F14" t="s">
        <v>221</v>
      </c>
      <c r="G14" t="s">
        <v>283</v>
      </c>
      <c r="H14" t="s">
        <v>284</v>
      </c>
      <c r="I14" t="s">
        <v>275</v>
      </c>
      <c r="O14" t="s">
        <v>280</v>
      </c>
    </row>
    <row r="15" spans="1:15">
      <c r="A15" t="s">
        <v>279</v>
      </c>
      <c r="B15">
        <v>19.481000000000002</v>
      </c>
      <c r="C15">
        <v>18.28</v>
      </c>
      <c r="D15">
        <f>B15/2</f>
        <v>9.7405000000000008</v>
      </c>
      <c r="E15">
        <f>C15/2</f>
        <v>9.14</v>
      </c>
    </row>
    <row r="16" spans="1:15">
      <c r="A16" s="47" t="s">
        <v>281</v>
      </c>
      <c r="B16" s="47"/>
      <c r="C16" s="47"/>
      <c r="D16" s="47"/>
      <c r="E16" s="47"/>
      <c r="F16" s="47">
        <v>13.773</v>
      </c>
      <c r="G16" s="47">
        <f>F16/2</f>
        <v>6.8864999999999998</v>
      </c>
      <c r="H16" s="47"/>
      <c r="I16" s="47"/>
    </row>
    <row r="17" spans="1:9">
      <c r="D17">
        <f>AVERAGE(D15:D16)</f>
        <v>9.7405000000000008</v>
      </c>
      <c r="E17">
        <f t="shared" ref="E17:G17" si="0">AVERAGE(E15:E16)</f>
        <v>9.14</v>
      </c>
      <c r="F17">
        <f t="shared" si="0"/>
        <v>13.773</v>
      </c>
      <c r="G17">
        <f t="shared" si="0"/>
        <v>6.8864999999999998</v>
      </c>
      <c r="H17">
        <f>(4/3)*PI()*D17*E17*G17</f>
        <v>2568.1158280707764</v>
      </c>
      <c r="I17">
        <f>(4*PI()*(((D17*E17)^1.6+(D17*F17)^1.6+(E17*F17)^1.6)/3)^(1/1.6))-(PI()*D17*E17)</f>
        <v>1195.1223952761575</v>
      </c>
    </row>
    <row r="19" spans="1:9">
      <c r="A19" t="s">
        <v>278</v>
      </c>
    </row>
    <row r="20" spans="1:9">
      <c r="A20" t="s">
        <v>265</v>
      </c>
      <c r="B20" t="s">
        <v>267</v>
      </c>
      <c r="C20" t="s">
        <v>268</v>
      </c>
      <c r="D20" t="s">
        <v>269</v>
      </c>
      <c r="E20" t="s">
        <v>270</v>
      </c>
      <c r="F20" t="s">
        <v>266</v>
      </c>
      <c r="G20" t="s">
        <v>282</v>
      </c>
      <c r="H20" t="s">
        <v>274</v>
      </c>
      <c r="I20" t="s">
        <v>275</v>
      </c>
    </row>
    <row r="21" spans="1:9">
      <c r="A21" t="s">
        <v>279</v>
      </c>
      <c r="B21">
        <v>24.266999999999999</v>
      </c>
      <c r="C21">
        <v>13.058</v>
      </c>
      <c r="D21">
        <f>B21/2</f>
        <v>12.1335</v>
      </c>
      <c r="E21">
        <f>C21/2</f>
        <v>6.5289999999999999</v>
      </c>
    </row>
    <row r="22" spans="1:9">
      <c r="A22" s="47" t="s">
        <v>281</v>
      </c>
      <c r="B22" s="47"/>
      <c r="C22" s="47"/>
      <c r="D22" s="47"/>
      <c r="E22" s="47"/>
      <c r="F22" s="47">
        <v>13.773</v>
      </c>
      <c r="G22" s="47">
        <f>F22/2</f>
        <v>6.8864999999999998</v>
      </c>
      <c r="H22" s="47"/>
      <c r="I22" s="47"/>
    </row>
    <row r="23" spans="1:9">
      <c r="A23" s="8"/>
      <c r="B23" s="8"/>
      <c r="C23" s="8"/>
      <c r="D23">
        <f>AVERAGE(D21:D22)</f>
        <v>12.1335</v>
      </c>
      <c r="E23">
        <f t="shared" ref="E23:G23" si="1">AVERAGE(E21:E22)</f>
        <v>6.5289999999999999</v>
      </c>
      <c r="F23">
        <f t="shared" si="1"/>
        <v>13.773</v>
      </c>
      <c r="G23">
        <f t="shared" si="1"/>
        <v>6.8864999999999998</v>
      </c>
      <c r="H23">
        <f>(4/3)*PI()*D23*E23*G23</f>
        <v>2285.1774204493468</v>
      </c>
      <c r="I23">
        <f>(4*PI()*(((D23*E23)^1.6+(D23*F23)^1.6+(E23*F23)^1.6)/3)^(1/1.6))-(PI()*D23*E23)</f>
        <v>1209.4554660329345</v>
      </c>
    </row>
    <row r="24" spans="1:9">
      <c r="A24" s="52" t="s">
        <v>285</v>
      </c>
      <c r="B24" s="52"/>
      <c r="C24" s="52"/>
      <c r="D24" s="8"/>
      <c r="E24" s="8"/>
      <c r="F24" s="8"/>
      <c r="G24" s="8"/>
      <c r="H24" s="8"/>
    </row>
    <row r="25" spans="1:9">
      <c r="A25" s="51"/>
      <c r="B25" s="52" t="s">
        <v>224</v>
      </c>
      <c r="C25" s="52" t="s">
        <v>286</v>
      </c>
      <c r="E25" s="8"/>
      <c r="F25" s="8"/>
      <c r="G25" s="8"/>
      <c r="H25" s="8"/>
    </row>
    <row r="26" spans="1:9">
      <c r="A26" s="52" t="s">
        <v>289</v>
      </c>
      <c r="B26" s="52">
        <f>H17+H23</f>
        <v>4853.2932485201236</v>
      </c>
      <c r="C26" s="52">
        <f>I17+I23</f>
        <v>2404.577861309092</v>
      </c>
      <c r="E26" s="8"/>
      <c r="F26" s="8" t="s">
        <v>310</v>
      </c>
      <c r="G26" s="8"/>
      <c r="H26" s="8"/>
    </row>
    <row r="27" spans="1:9">
      <c r="A27" s="52" t="s">
        <v>290</v>
      </c>
      <c r="B27" s="6">
        <f>B26*H29</f>
        <v>3822.5053019317797</v>
      </c>
      <c r="C27" s="6">
        <f>C26</f>
        <v>2404.577861309092</v>
      </c>
      <c r="D27" s="8"/>
      <c r="E27" s="8"/>
      <c r="F27" s="8" t="s">
        <v>311</v>
      </c>
      <c r="G27" s="8"/>
      <c r="H27" s="8">
        <v>4.5199999999999996</v>
      </c>
    </row>
    <row r="28" spans="1:9">
      <c r="A28" s="11"/>
      <c r="B28" s="8"/>
      <c r="C28" s="8"/>
      <c r="D28" s="8"/>
      <c r="E28" s="8"/>
      <c r="F28" s="8" t="s">
        <v>312</v>
      </c>
      <c r="G28" s="8"/>
      <c r="H28" s="8">
        <f>(2.24-1)+(2.07-0.98)+(1.7-1)+0.53</f>
        <v>3.5600000000000005</v>
      </c>
    </row>
    <row r="29" spans="1:9">
      <c r="A29" s="52" t="s">
        <v>325</v>
      </c>
      <c r="B29" s="8"/>
      <c r="C29" s="8"/>
      <c r="D29" s="8"/>
      <c r="E29" s="8"/>
      <c r="F29" s="11" t="s">
        <v>313</v>
      </c>
      <c r="G29" s="8"/>
      <c r="H29" s="8">
        <f>H28/H27</f>
        <v>0.78761061946902677</v>
      </c>
    </row>
    <row r="30" spans="1:9">
      <c r="A30" s="52"/>
      <c r="B30" s="52" t="s">
        <v>224</v>
      </c>
      <c r="C30" s="52" t="s">
        <v>286</v>
      </c>
      <c r="D30" s="8"/>
      <c r="E30" s="8"/>
      <c r="F30" s="11"/>
      <c r="G30" s="8"/>
      <c r="H30" s="8"/>
    </row>
    <row r="31" spans="1:9">
      <c r="A31" s="52" t="s">
        <v>289</v>
      </c>
      <c r="B31" s="8">
        <f>B26/10</f>
        <v>485.32932485201235</v>
      </c>
      <c r="C31" s="8">
        <f>C26/10</f>
        <v>240.4577861309092</v>
      </c>
      <c r="D31" s="8"/>
      <c r="E31" s="8"/>
      <c r="F31" s="8"/>
      <c r="G31" s="8"/>
      <c r="H31" s="8"/>
    </row>
    <row r="32" spans="1:9">
      <c r="A32" s="52" t="s">
        <v>290</v>
      </c>
      <c r="B32" s="8">
        <f>B27/10</f>
        <v>382.25053019317795</v>
      </c>
      <c r="C32" s="8">
        <f>C27/10</f>
        <v>240.4577861309092</v>
      </c>
      <c r="D32" t="s">
        <v>354</v>
      </c>
    </row>
    <row r="33" spans="1:9">
      <c r="A33" s="11"/>
      <c r="B33" s="8"/>
      <c r="C33" s="8"/>
    </row>
    <row r="34" spans="1:9">
      <c r="A34" s="11"/>
      <c r="B34" s="8"/>
      <c r="C34" s="8"/>
    </row>
    <row r="35" spans="1:9">
      <c r="A35" s="11" t="s">
        <v>353</v>
      </c>
      <c r="B35" s="8"/>
      <c r="C35" s="8"/>
    </row>
    <row r="36" spans="1:9">
      <c r="A36" s="11"/>
      <c r="B36" s="8"/>
      <c r="C36" s="8"/>
    </row>
    <row r="37" spans="1:9">
      <c r="D37" t="s">
        <v>218</v>
      </c>
      <c r="E37" t="s">
        <v>315</v>
      </c>
      <c r="F37" t="s">
        <v>316</v>
      </c>
      <c r="G37" s="196" t="s">
        <v>271</v>
      </c>
      <c r="H37" s="196" t="s">
        <v>224</v>
      </c>
      <c r="I37" s="196" t="s">
        <v>288</v>
      </c>
    </row>
    <row r="38" spans="1:9">
      <c r="A38" s="7" t="s">
        <v>248</v>
      </c>
      <c r="B38" s="195" t="s">
        <v>216</v>
      </c>
      <c r="C38" s="7">
        <v>1</v>
      </c>
      <c r="D38" s="7" t="s">
        <v>256</v>
      </c>
      <c r="E38" s="197">
        <v>4.9651144014027198</v>
      </c>
      <c r="F38" s="106">
        <f>E38*100000000</f>
        <v>496511440.14027196</v>
      </c>
      <c r="G38" s="109">
        <f>E38/$E$48</f>
        <v>0.13385770452007162</v>
      </c>
      <c r="H38" s="109">
        <f>$B$27*G38</f>
        <v>511.6717852323913</v>
      </c>
      <c r="I38" s="109">
        <f>($C$26*G38-E38)</f>
        <v>316.90615845321548</v>
      </c>
    </row>
    <row r="39" spans="1:9">
      <c r="A39" s="8" t="s">
        <v>248</v>
      </c>
      <c r="B39" s="96" t="s">
        <v>216</v>
      </c>
      <c r="C39">
        <v>2</v>
      </c>
      <c r="D39" t="s">
        <v>257</v>
      </c>
      <c r="E39" s="60">
        <v>1.673463574714211</v>
      </c>
      <c r="F39" s="106">
        <f t="shared" ref="F39:F46" si="2">E39*100000000</f>
        <v>167346357.47142109</v>
      </c>
      <c r="G39" s="109">
        <f t="shared" ref="G39:G46" si="3">E39/$E$48</f>
        <v>4.51159781224603E-2</v>
      </c>
      <c r="H39" s="109">
        <f t="shared" ref="H39:H46" si="4">$B$27*G39</f>
        <v>172.45606557494267</v>
      </c>
      <c r="I39" s="109">
        <f t="shared" ref="I39:I46" si="5">($C$26*G39-E39)</f>
        <v>106.81141860985916</v>
      </c>
    </row>
    <row r="40" spans="1:9">
      <c r="A40" s="8" t="s">
        <v>248</v>
      </c>
      <c r="B40" s="96" t="s">
        <v>216</v>
      </c>
      <c r="C40">
        <v>3</v>
      </c>
      <c r="D40" t="s">
        <v>258</v>
      </c>
      <c r="E40" s="60">
        <v>4.2229186347792753</v>
      </c>
      <c r="F40" s="106">
        <f t="shared" si="2"/>
        <v>422291863.47792751</v>
      </c>
      <c r="G40" s="109">
        <f t="shared" si="3"/>
        <v>0.11384837269145121</v>
      </c>
      <c r="H40" s="109">
        <f t="shared" si="4"/>
        <v>435.18600822937748</v>
      </c>
      <c r="I40" s="109">
        <f t="shared" si="5"/>
        <v>269.53435788515088</v>
      </c>
    </row>
    <row r="41" spans="1:9">
      <c r="A41" s="8" t="s">
        <v>248</v>
      </c>
      <c r="B41" s="96" t="s">
        <v>216</v>
      </c>
      <c r="C41">
        <v>4</v>
      </c>
      <c r="D41" t="s">
        <v>259</v>
      </c>
      <c r="E41" s="60">
        <v>3.3029605602414325</v>
      </c>
      <c r="F41" s="106">
        <f t="shared" si="2"/>
        <v>330296056.02414322</v>
      </c>
      <c r="G41" s="109">
        <f t="shared" si="3"/>
        <v>8.9046632760232156E-2</v>
      </c>
      <c r="H41" s="109">
        <f t="shared" si="4"/>
        <v>340.38122584515952</v>
      </c>
      <c r="I41" s="109">
        <f t="shared" si="5"/>
        <v>210.81660119913371</v>
      </c>
    </row>
    <row r="42" spans="1:9">
      <c r="A42" s="8" t="s">
        <v>248</v>
      </c>
      <c r="B42" s="96" t="s">
        <v>216</v>
      </c>
      <c r="C42">
        <v>5</v>
      </c>
      <c r="D42" t="s">
        <v>260</v>
      </c>
      <c r="E42" s="60">
        <v>1.9093029352191966</v>
      </c>
      <c r="F42" s="106">
        <f t="shared" si="2"/>
        <v>190930293.52191967</v>
      </c>
      <c r="G42" s="109">
        <f t="shared" si="3"/>
        <v>5.1474122745222728E-2</v>
      </c>
      <c r="H42" s="109">
        <f t="shared" si="4"/>
        <v>196.76010710590108</v>
      </c>
      <c r="I42" s="109">
        <f t="shared" si="5"/>
        <v>121.86423304825016</v>
      </c>
    </row>
    <row r="43" spans="1:9">
      <c r="A43" s="8" t="s">
        <v>248</v>
      </c>
      <c r="B43" s="96" t="s">
        <v>216</v>
      </c>
      <c r="C43">
        <v>6</v>
      </c>
      <c r="D43" t="s">
        <v>261</v>
      </c>
      <c r="E43" s="60">
        <v>11.034327403742633</v>
      </c>
      <c r="F43" s="106">
        <f t="shared" si="2"/>
        <v>1103432740.3742633</v>
      </c>
      <c r="G43" s="109">
        <f t="shared" si="3"/>
        <v>0.29748151155804731</v>
      </c>
      <c r="H43" s="109">
        <f t="shared" si="4"/>
        <v>1137.1246551573158</v>
      </c>
      <c r="I43" s="109">
        <f>($C$26*G43-E43)</f>
        <v>704.28312943750268</v>
      </c>
    </row>
    <row r="44" spans="1:9">
      <c r="A44" s="8" t="s">
        <v>248</v>
      </c>
      <c r="B44" s="96" t="s">
        <v>216</v>
      </c>
      <c r="C44">
        <v>7</v>
      </c>
      <c r="D44" t="s">
        <v>262</v>
      </c>
      <c r="E44" s="60">
        <v>1.0286744591116446</v>
      </c>
      <c r="F44" s="106">
        <f t="shared" si="2"/>
        <v>102867445.91116446</v>
      </c>
      <c r="G44" s="109">
        <f t="shared" si="3"/>
        <v>2.773269469001758E-2</v>
      </c>
      <c r="H44" s="109">
        <f t="shared" si="4"/>
        <v>106.00837248944751</v>
      </c>
      <c r="I44" s="109">
        <f t="shared" si="5"/>
        <v>65.656749226948847</v>
      </c>
    </row>
    <row r="45" spans="1:9">
      <c r="A45" s="8" t="s">
        <v>248</v>
      </c>
      <c r="B45" s="96" t="s">
        <v>216</v>
      </c>
      <c r="C45">
        <v>8</v>
      </c>
      <c r="D45" t="s">
        <v>263</v>
      </c>
      <c r="E45" s="60">
        <v>5.5205699737059719</v>
      </c>
      <c r="F45" s="106">
        <f t="shared" si="2"/>
        <v>552056997.37059724</v>
      </c>
      <c r="G45" s="109">
        <f t="shared" si="3"/>
        <v>0.14883258764671023</v>
      </c>
      <c r="H45" s="109">
        <f t="shared" si="4"/>
        <v>568.91335537977614</v>
      </c>
      <c r="I45" s="109">
        <f t="shared" si="5"/>
        <v>352.35897532291852</v>
      </c>
    </row>
    <row r="46" spans="1:9">
      <c r="A46" s="8" t="s">
        <v>248</v>
      </c>
      <c r="B46" s="96" t="s">
        <v>216</v>
      </c>
      <c r="C46">
        <v>9</v>
      </c>
      <c r="D46" s="8" t="s">
        <v>264</v>
      </c>
      <c r="E46" s="198">
        <v>3.4351493543265303</v>
      </c>
      <c r="F46" s="106">
        <f t="shared" si="2"/>
        <v>343514935.43265301</v>
      </c>
      <c r="G46" s="109">
        <f t="shared" si="3"/>
        <v>9.2610395265786641E-2</v>
      </c>
      <c r="H46" s="109">
        <f t="shared" si="4"/>
        <v>354.00372691746725</v>
      </c>
      <c r="I46" s="109">
        <f t="shared" si="5"/>
        <v>219.25375682886835</v>
      </c>
    </row>
    <row r="47" spans="1:9">
      <c r="D47" s="11" t="s">
        <v>128</v>
      </c>
      <c r="E47" s="106">
        <f>AVERAGE(E38:E46)</f>
        <v>4.1213868108048466</v>
      </c>
      <c r="F47" s="106">
        <f>AVERAGE(F38:F46)</f>
        <v>412138681.08048463</v>
      </c>
      <c r="G47" s="106">
        <f>AVERAGE(G38:G46)</f>
        <v>0.11111111111111109</v>
      </c>
      <c r="H47" s="106">
        <f>AVERAGE(H38:H46)</f>
        <v>424.72281132575318</v>
      </c>
      <c r="I47" s="106">
        <f>AVERAGE(I38:I46)</f>
        <v>263.05393111242756</v>
      </c>
    </row>
    <row r="48" spans="1:9">
      <c r="D48" s="11" t="s">
        <v>287</v>
      </c>
      <c r="E48" s="106">
        <f>SUM(E38:E46)</f>
        <v>37.092481297243623</v>
      </c>
      <c r="F48" s="106">
        <f>SUM(F38:F46)</f>
        <v>3709248129.7243614</v>
      </c>
      <c r="G48" s="106">
        <f>SUM(G38:G46)</f>
        <v>0.99999999999999978</v>
      </c>
    </row>
    <row r="51" spans="10:11">
      <c r="K51" s="61"/>
    </row>
    <row r="53" spans="10:11">
      <c r="J53" s="61"/>
      <c r="K53" s="61"/>
    </row>
    <row r="54" spans="10:11">
      <c r="J54" s="61"/>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7:P24"/>
  <sheetViews>
    <sheetView topLeftCell="A2" workbookViewId="0">
      <selection activeCell="I8" sqref="I8"/>
    </sheetView>
  </sheetViews>
  <sheetFormatPr baseColWidth="10" defaultColWidth="8.83203125" defaultRowHeight="15" x14ac:dyDescent="0"/>
  <cols>
    <col min="1" max="1" width="22.6640625" customWidth="1"/>
    <col min="2" max="8" width="9.5" customWidth="1"/>
    <col min="9" max="10" width="11.6640625" customWidth="1"/>
    <col min="11" max="14" width="9.5" customWidth="1"/>
  </cols>
  <sheetData>
    <row r="7" spans="1:16" s="1" customFormat="1">
      <c r="A7" s="177"/>
      <c r="B7" s="207" t="s">
        <v>73</v>
      </c>
      <c r="C7" s="208"/>
      <c r="D7" s="209"/>
      <c r="E7" s="208" t="s">
        <v>74</v>
      </c>
      <c r="F7" s="208"/>
      <c r="G7" s="208"/>
      <c r="H7" s="210" t="s">
        <v>130</v>
      </c>
      <c r="I7" s="211"/>
      <c r="J7" s="212"/>
      <c r="K7" s="210" t="s">
        <v>247</v>
      </c>
      <c r="L7" s="211"/>
      <c r="M7" s="212"/>
      <c r="N7" s="213">
        <f>Summary!B1</f>
        <v>0</v>
      </c>
      <c r="O7" s="214"/>
      <c r="P7" s="215"/>
    </row>
    <row r="8" spans="1:16" s="18" customFormat="1" ht="61" thickBot="1">
      <c r="A8" s="176" t="s">
        <v>68</v>
      </c>
      <c r="B8" s="19" t="s">
        <v>18</v>
      </c>
      <c r="C8" s="168" t="s">
        <v>72</v>
      </c>
      <c r="D8" s="20" t="s">
        <v>167</v>
      </c>
      <c r="E8" s="168" t="s">
        <v>18</v>
      </c>
      <c r="F8" s="168" t="s">
        <v>72</v>
      </c>
      <c r="G8" s="168" t="s">
        <v>167</v>
      </c>
      <c r="H8" s="27" t="s">
        <v>18</v>
      </c>
      <c r="I8" s="166" t="s">
        <v>72</v>
      </c>
      <c r="J8" s="28" t="s">
        <v>167</v>
      </c>
      <c r="K8" s="190" t="s">
        <v>18</v>
      </c>
      <c r="L8" s="191" t="s">
        <v>72</v>
      </c>
      <c r="M8" s="178" t="s">
        <v>167</v>
      </c>
      <c r="N8" s="188" t="s">
        <v>18</v>
      </c>
      <c r="O8" s="183" t="s">
        <v>72</v>
      </c>
      <c r="P8" s="189" t="s">
        <v>167</v>
      </c>
    </row>
    <row r="9" spans="1:16" ht="16" thickTop="1">
      <c r="A9" s="174" t="s">
        <v>12</v>
      </c>
      <c r="B9" s="21" t="s">
        <v>69</v>
      </c>
      <c r="C9" s="169">
        <v>0.3</v>
      </c>
      <c r="D9" s="22">
        <v>0.56999999999999995</v>
      </c>
      <c r="E9" s="171">
        <v>3.8879539623796582</v>
      </c>
      <c r="F9" s="171">
        <v>0.25862424662605926</v>
      </c>
      <c r="G9" s="179">
        <v>1.1000000000000001</v>
      </c>
      <c r="H9" s="41">
        <v>24.460004166666668</v>
      </c>
      <c r="I9" s="167">
        <v>0.16644318026435792</v>
      </c>
      <c r="J9" s="181">
        <v>1.544</v>
      </c>
      <c r="K9" s="41">
        <v>31.19580952380953</v>
      </c>
      <c r="L9" s="167">
        <v>0.38471454201444044</v>
      </c>
      <c r="M9" s="181">
        <v>1.2569669583475758</v>
      </c>
      <c r="N9" s="184">
        <f>Summary!C23</f>
        <v>37.251791666666669</v>
      </c>
      <c r="O9" s="131">
        <f>Summary!H23</f>
        <v>0.13934571176914021</v>
      </c>
      <c r="P9" s="185">
        <f>Summary!K23*1000</f>
        <v>6.5658271785869848</v>
      </c>
    </row>
    <row r="10" spans="1:16">
      <c r="A10" s="174" t="s">
        <v>87</v>
      </c>
      <c r="B10" s="21"/>
      <c r="C10" s="169">
        <v>0.95</v>
      </c>
      <c r="D10" s="22">
        <v>0.18</v>
      </c>
      <c r="E10" s="171">
        <v>90</v>
      </c>
      <c r="F10" s="171">
        <v>0.92773995849848556</v>
      </c>
      <c r="G10" s="179">
        <v>0.309</v>
      </c>
      <c r="H10" s="41">
        <v>242.38515789473686</v>
      </c>
      <c r="I10" s="167">
        <v>0.97358395335857462</v>
      </c>
      <c r="J10" s="181">
        <v>0.26400000000000001</v>
      </c>
      <c r="K10" s="41">
        <v>168.233125</v>
      </c>
      <c r="L10" s="167">
        <v>0.65513089040080996</v>
      </c>
      <c r="M10" s="181">
        <v>0.73813260036039652</v>
      </c>
      <c r="N10" s="184" t="e">
        <f>Summary!#REF!</f>
        <v>#REF!</v>
      </c>
      <c r="O10" s="131" t="e">
        <f>Summary!#REF!</f>
        <v>#REF!</v>
      </c>
      <c r="P10" s="185" t="e">
        <f>Summary!#REF!*1000</f>
        <v>#REF!</v>
      </c>
    </row>
    <row r="11" spans="1:16">
      <c r="A11" s="174" t="s">
        <v>88</v>
      </c>
      <c r="B11" s="21" t="s">
        <v>70</v>
      </c>
      <c r="C11" s="169">
        <v>0.1</v>
      </c>
      <c r="D11" s="22">
        <v>1.7</v>
      </c>
      <c r="E11" s="171">
        <v>365.56999999999994</v>
      </c>
      <c r="F11" s="171">
        <v>0.17116292933983332</v>
      </c>
      <c r="G11" s="179">
        <v>1.673</v>
      </c>
      <c r="H11" s="41">
        <v>383.33430000000004</v>
      </c>
      <c r="I11" s="167">
        <v>0.15930061140334367</v>
      </c>
      <c r="J11" s="181">
        <v>0.32700000000000001</v>
      </c>
      <c r="K11" s="41">
        <v>406.50412499999999</v>
      </c>
      <c r="L11" s="167">
        <v>0.1405165127072632</v>
      </c>
      <c r="M11" s="181">
        <v>1.1471331930821922</v>
      </c>
      <c r="N11" s="184">
        <f>Summary!C24</f>
        <v>294.14950000000005</v>
      </c>
      <c r="O11" s="131">
        <f>Summary!H24</f>
        <v>3.3092437600061794E-2</v>
      </c>
      <c r="P11" s="185">
        <f>Summary!K24*1000</f>
        <v>5.5985985137647072</v>
      </c>
    </row>
    <row r="12" spans="1:16">
      <c r="A12" s="174" t="s">
        <v>89</v>
      </c>
      <c r="B12" s="23" t="s">
        <v>71</v>
      </c>
      <c r="C12" s="169">
        <v>2.0699999999999998</v>
      </c>
      <c r="D12" s="22">
        <v>8.3000000000000004E-2</v>
      </c>
      <c r="E12" s="171">
        <v>2.1482265858213245</v>
      </c>
      <c r="F12" s="171">
        <v>2.7506314646668373</v>
      </c>
      <c r="G12" s="179">
        <v>1.9E-2</v>
      </c>
      <c r="H12" s="41">
        <v>3.5972208333333331</v>
      </c>
      <c r="I12" s="167">
        <v>4.9412146396773808</v>
      </c>
      <c r="J12" s="181">
        <v>0.01</v>
      </c>
      <c r="K12" s="41">
        <v>1.6144999999999998</v>
      </c>
      <c r="L12" s="167">
        <v>55.157698793055047</v>
      </c>
      <c r="M12" s="181">
        <v>2.9223691239808032E-3</v>
      </c>
      <c r="N12" s="184">
        <f>Summary!C27</f>
        <v>2.5878333333333332</v>
      </c>
      <c r="O12" s="165">
        <f>Summary!H27</f>
        <v>0.17730164349874769</v>
      </c>
      <c r="P12" s="185">
        <f>Summary!K27*1000</f>
        <v>1.0449495464821557</v>
      </c>
    </row>
    <row r="13" spans="1:16">
      <c r="A13" s="174" t="s">
        <v>90</v>
      </c>
      <c r="B13" s="23"/>
      <c r="C13" s="169">
        <v>35</v>
      </c>
      <c r="D13" s="22">
        <v>4.8999999999999998E-3</v>
      </c>
      <c r="E13" s="171">
        <v>2</v>
      </c>
      <c r="F13" s="171">
        <v>1.609844768035297</v>
      </c>
      <c r="G13" s="179">
        <v>3.2000000000000001E-2</v>
      </c>
      <c r="H13" s="41">
        <v>1.2760526315789473</v>
      </c>
      <c r="I13" s="167">
        <v>2.5498667124662227</v>
      </c>
      <c r="J13" s="181">
        <v>0.02</v>
      </c>
      <c r="K13" s="41">
        <v>2.6087499999999997</v>
      </c>
      <c r="L13" s="167">
        <v>5.7528573689460343</v>
      </c>
      <c r="M13" s="181">
        <v>2.8019320759240154E-2</v>
      </c>
      <c r="N13" s="184">
        <f>Summary!C28</f>
        <v>0.68558333333333332</v>
      </c>
      <c r="O13" s="165">
        <f>Summary!H28</f>
        <v>2.6380851101804397</v>
      </c>
      <c r="P13" s="185">
        <f>Summary!K28*1000</f>
        <v>7.0229452131620226E-2</v>
      </c>
    </row>
    <row r="14" spans="1:16">
      <c r="A14" s="174" t="s">
        <v>91</v>
      </c>
      <c r="B14" s="24"/>
      <c r="C14" s="169"/>
      <c r="D14" s="22"/>
      <c r="E14" s="171">
        <v>4.4999999999999998E-2</v>
      </c>
      <c r="F14" s="171">
        <v>2.5133091651266217</v>
      </c>
      <c r="G14" s="179">
        <v>2.1000000000000001E-2</v>
      </c>
      <c r="H14" s="41"/>
      <c r="I14" s="167"/>
      <c r="J14" s="181"/>
      <c r="K14" s="192"/>
      <c r="L14" s="52"/>
      <c r="M14" s="181"/>
      <c r="N14" s="106"/>
      <c r="O14" s="131"/>
      <c r="P14" s="185"/>
    </row>
    <row r="15" spans="1:16">
      <c r="A15" s="174" t="s">
        <v>92</v>
      </c>
      <c r="B15" s="24">
        <v>0.12</v>
      </c>
      <c r="C15" s="169">
        <v>56</v>
      </c>
      <c r="D15" s="22">
        <v>3.0999999999999999E-3</v>
      </c>
      <c r="E15" s="171">
        <v>0.11857142857142856</v>
      </c>
      <c r="F15" s="171">
        <v>7.2195660635325174</v>
      </c>
      <c r="G15" s="179">
        <v>7.0000000000000001E-3</v>
      </c>
      <c r="H15" s="41">
        <v>6.9399999999999989E-2</v>
      </c>
      <c r="I15" s="167">
        <v>4.4513100841898385</v>
      </c>
      <c r="J15" s="181">
        <v>1.2E-2</v>
      </c>
      <c r="K15" s="41">
        <v>5.1818181818181812E-2</v>
      </c>
      <c r="L15" s="167">
        <v>1.6603737790364401</v>
      </c>
      <c r="M15" s="181">
        <v>9.7081246366225366E-2</v>
      </c>
      <c r="N15" s="184">
        <f>Summary!C29</f>
        <v>0.11799999999999999</v>
      </c>
      <c r="O15" s="131">
        <f>Summary!H29</f>
        <v>10.954715971923845</v>
      </c>
      <c r="P15" s="185">
        <f>Summary!K29*1000</f>
        <v>1.6912466963031655E-2</v>
      </c>
    </row>
    <row r="16" spans="1:16">
      <c r="A16" s="174" t="s">
        <v>91</v>
      </c>
      <c r="B16" s="24"/>
      <c r="C16" s="169"/>
      <c r="D16" s="22"/>
      <c r="E16" s="171">
        <v>4.4999999999999998E-2</v>
      </c>
      <c r="F16" s="171">
        <v>2.5133091651266217</v>
      </c>
      <c r="G16" s="179">
        <v>2.1000000000000001E-2</v>
      </c>
      <c r="H16" s="41"/>
      <c r="I16" s="167"/>
      <c r="J16" s="181"/>
      <c r="K16" s="41"/>
      <c r="L16" s="167"/>
      <c r="M16" s="181"/>
      <c r="N16" s="184"/>
      <c r="O16" s="131"/>
      <c r="P16" s="185"/>
    </row>
    <row r="17" spans="1:16">
      <c r="A17" s="174" t="s">
        <v>93</v>
      </c>
      <c r="B17" s="24"/>
      <c r="C17" s="169"/>
      <c r="D17" s="22"/>
      <c r="E17" s="171">
        <v>2</v>
      </c>
      <c r="F17" s="171">
        <v>1.609844768035297</v>
      </c>
      <c r="G17" s="179">
        <v>3.2000000000000001E-2</v>
      </c>
      <c r="H17" s="41">
        <v>2.550782608695652</v>
      </c>
      <c r="I17" s="167">
        <v>4.1245456912780689</v>
      </c>
      <c r="J17" s="181">
        <v>1.26E-2</v>
      </c>
      <c r="K17" s="41">
        <v>1.6603737790364401</v>
      </c>
      <c r="L17" s="167">
        <v>1.216038825256609</v>
      </c>
      <c r="M17" s="181">
        <v>0.13255428408598932</v>
      </c>
      <c r="N17" s="184">
        <f>Summary!C30</f>
        <v>2.1879090909090908</v>
      </c>
      <c r="O17" s="165">
        <f>Summary!H30</f>
        <v>10.186785921990062</v>
      </c>
      <c r="P17" s="185">
        <f>Summary!K30*1000</f>
        <v>1.8187411945569106E-2</v>
      </c>
    </row>
    <row r="18" spans="1:16">
      <c r="A18" s="174" t="s">
        <v>94</v>
      </c>
      <c r="B18" s="24"/>
      <c r="C18" s="169">
        <v>8.1</v>
      </c>
      <c r="D18" s="22">
        <v>2.1000000000000001E-2</v>
      </c>
      <c r="E18" s="171">
        <v>2</v>
      </c>
      <c r="F18" s="171">
        <v>4.010226371080833</v>
      </c>
      <c r="G18" s="179">
        <v>1.2999999999999999E-2</v>
      </c>
      <c r="H18" s="41"/>
      <c r="I18" s="167"/>
      <c r="J18" s="181"/>
      <c r="K18" s="41"/>
      <c r="L18" s="167"/>
      <c r="M18" s="181"/>
      <c r="N18" s="184"/>
      <c r="O18" s="131"/>
      <c r="P18" s="185"/>
    </row>
    <row r="19" spans="1:16">
      <c r="A19" s="174" t="s">
        <v>95</v>
      </c>
      <c r="B19" s="24"/>
      <c r="C19" s="169"/>
      <c r="D19" s="22"/>
      <c r="E19" s="171">
        <v>56.027845995869619</v>
      </c>
      <c r="F19" s="171">
        <v>4.3925029124997206</v>
      </c>
      <c r="G19" s="179">
        <v>1.2E-2</v>
      </c>
      <c r="H19" s="41">
        <v>23.319566583953684</v>
      </c>
      <c r="I19" s="167">
        <v>4.0769445401425921</v>
      </c>
      <c r="J19" s="181">
        <v>1.2800000000000001E-2</v>
      </c>
      <c r="K19" s="41">
        <v>19.748556565656564</v>
      </c>
      <c r="L19" s="167">
        <v>4.0598912443223591</v>
      </c>
      <c r="M19" s="181">
        <v>3.9703318685710733E-2</v>
      </c>
      <c r="N19" s="184">
        <f>Summary!C31</f>
        <v>15.969515625000001</v>
      </c>
      <c r="O19" s="131">
        <f>Summary!H31</f>
        <v>6.7382600367918002</v>
      </c>
      <c r="P19" s="185">
        <f>Summary!K31*1000</f>
        <v>2.7495417355957077E-2</v>
      </c>
    </row>
    <row r="20" spans="1:16">
      <c r="A20" s="174" t="s">
        <v>96</v>
      </c>
      <c r="B20" s="24">
        <v>14</v>
      </c>
      <c r="C20" s="169">
        <v>4.2</v>
      </c>
      <c r="D20" s="22">
        <v>4.1000000000000002E-2</v>
      </c>
      <c r="E20" s="171">
        <v>26.370000000000005</v>
      </c>
      <c r="F20" s="171">
        <v>2.0427982377908287</v>
      </c>
      <c r="G20" s="179">
        <v>2.5000000000000001E-2</v>
      </c>
      <c r="H20" s="41">
        <v>16.045883333333332</v>
      </c>
      <c r="I20" s="167">
        <v>2.0794945546303398</v>
      </c>
      <c r="J20" s="181">
        <v>2.5000000000000001E-2</v>
      </c>
      <c r="K20" s="41">
        <v>5.9745000000000008</v>
      </c>
      <c r="L20" s="167">
        <v>0.40252842858589472</v>
      </c>
      <c r="M20" s="181">
        <v>0.40044663794040836</v>
      </c>
      <c r="N20" s="184">
        <f>Summary!C32</f>
        <v>4.2334999999999994</v>
      </c>
      <c r="O20" s="131">
        <f>Summary!H32</f>
        <v>0.52101576848277364</v>
      </c>
      <c r="P20" s="185">
        <f>Summary!K32*1000</f>
        <v>0.35559628550989414</v>
      </c>
    </row>
    <row r="21" spans="1:16">
      <c r="A21" s="174" t="s">
        <v>97</v>
      </c>
      <c r="B21" s="24"/>
      <c r="C21" s="169">
        <v>0.03</v>
      </c>
      <c r="D21" s="22">
        <v>5.7</v>
      </c>
      <c r="E21" s="171">
        <v>405</v>
      </c>
      <c r="F21" s="171">
        <v>0.21007707382627713</v>
      </c>
      <c r="G21" s="179">
        <v>4.7060000000000004</v>
      </c>
      <c r="H21" s="41">
        <v>282.42599999999999</v>
      </c>
      <c r="I21" s="167">
        <v>1.2128013291497442E-2</v>
      </c>
      <c r="J21" s="181">
        <v>1.117</v>
      </c>
      <c r="K21" s="41">
        <v>339.41449999999998</v>
      </c>
      <c r="L21" s="167">
        <v>3.0390099043091943E-2</v>
      </c>
      <c r="M21" s="181">
        <v>5.3040681333119277</v>
      </c>
      <c r="N21" s="184">
        <f>Summary!C35</f>
        <v>294.14950000000005</v>
      </c>
      <c r="O21" s="131">
        <f>Summary!H35</f>
        <v>3.3092437600061794E-2</v>
      </c>
      <c r="P21" s="185">
        <f>Summary!K35*1000</f>
        <v>5.5985985137647072</v>
      </c>
    </row>
    <row r="22" spans="1:16">
      <c r="A22" s="174" t="s">
        <v>98</v>
      </c>
      <c r="B22" s="24"/>
      <c r="C22" s="169"/>
      <c r="D22" s="22"/>
      <c r="E22" s="171">
        <v>80</v>
      </c>
      <c r="F22" s="171">
        <v>0.8</v>
      </c>
      <c r="G22" s="179">
        <v>1.363</v>
      </c>
      <c r="H22" s="41"/>
      <c r="I22" s="167"/>
      <c r="J22" s="181"/>
      <c r="K22" s="41"/>
      <c r="L22" s="167"/>
      <c r="M22" s="181"/>
      <c r="N22" s="184"/>
      <c r="O22" s="131"/>
      <c r="P22" s="185"/>
    </row>
    <row r="23" spans="1:16">
      <c r="A23" s="174" t="s">
        <v>99</v>
      </c>
      <c r="B23" s="24"/>
      <c r="C23" s="169"/>
      <c r="D23" s="22"/>
      <c r="E23" s="171">
        <v>62000</v>
      </c>
      <c r="F23" s="171"/>
      <c r="G23" s="179">
        <v>0.35799999999999998</v>
      </c>
      <c r="H23" s="41"/>
      <c r="I23" s="167"/>
      <c r="J23" s="181"/>
      <c r="K23" s="41"/>
      <c r="L23" s="167"/>
      <c r="M23" s="181"/>
      <c r="N23" s="184"/>
      <c r="O23" s="131"/>
      <c r="P23" s="185"/>
    </row>
    <row r="24" spans="1:16">
      <c r="A24" s="175" t="s">
        <v>56</v>
      </c>
      <c r="B24" s="25">
        <v>2100</v>
      </c>
      <c r="C24" s="170">
        <v>3.3E-3</v>
      </c>
      <c r="D24" s="26">
        <v>51.3</v>
      </c>
      <c r="E24" s="172">
        <v>44733.679854839022</v>
      </c>
      <c r="F24" s="172">
        <v>2.8434672977959635E-2</v>
      </c>
      <c r="G24" s="180">
        <v>5.8</v>
      </c>
      <c r="H24" s="42">
        <v>3464.3125</v>
      </c>
      <c r="I24" s="173">
        <v>2.2668430706369097E-3</v>
      </c>
      <c r="J24" s="182">
        <v>22.96</v>
      </c>
      <c r="K24" s="42">
        <v>15779.5</v>
      </c>
      <c r="L24" s="173">
        <v>1.4944636351737106E-3</v>
      </c>
      <c r="M24" s="182">
        <v>107.85886796363637</v>
      </c>
      <c r="N24" s="186">
        <f>Summary!C36</f>
        <v>22666.25</v>
      </c>
      <c r="O24" s="133">
        <f>Summary!H36</f>
        <v>1.6780712090525777E-3</v>
      </c>
      <c r="P24" s="187">
        <f>Summary!K36*1000</f>
        <v>110.40727649999999</v>
      </c>
    </row>
  </sheetData>
  <mergeCells count="5">
    <mergeCell ref="B7:D7"/>
    <mergeCell ref="E7:G7"/>
    <mergeCell ref="H7:J7"/>
    <mergeCell ref="K7:M7"/>
    <mergeCell ref="N7:P7"/>
  </mergeCells>
  <pageMargins left="0.7" right="0.7" top="0.75" bottom="0.75" header="0.3" footer="0.3"/>
  <pageSetup orientation="portrait" horizontalDpi="4294967292" verticalDpi="4294967292"/>
  <legacy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11</vt:i4>
      </vt:variant>
    </vt:vector>
  </HeadingPairs>
  <TitlesOfParts>
    <vt:vector size="11" baseType="lpstr">
      <vt:lpstr>Summary</vt:lpstr>
      <vt:lpstr>Ostia</vt:lpstr>
      <vt:lpstr>Subdermal space</vt:lpstr>
      <vt:lpstr>Canals</vt:lpstr>
      <vt:lpstr>Prosopyles</vt:lpstr>
      <vt:lpstr>Collars</vt:lpstr>
      <vt:lpstr>Choanocyte Chambers</vt:lpstr>
      <vt:lpstr>Apopyle</vt:lpstr>
      <vt:lpstr>Osculum</vt:lpstr>
      <vt:lpstr>Sponge Volume</vt:lpstr>
      <vt:lpstr>Comparison table</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Danielle Ludeman</dc:creator>
  <cp:lastModifiedBy>Danielle Ludeman</cp:lastModifiedBy>
  <dcterms:created xsi:type="dcterms:W3CDTF">2012-04-20T20:53:22Z</dcterms:created>
  <dcterms:modified xsi:type="dcterms:W3CDTF">2014-11-16T23:06:46Z</dcterms:modified>
</cp:coreProperties>
</file>