
<file path=[Content_Types].xml><?xml version="1.0" encoding="utf-8"?>
<Types xmlns="http://schemas.openxmlformats.org/package/2006/content-types">
  <Default Extension="xml" ContentType="application/xml"/>
  <Default Extension="tif" ContentType="image/tiff"/>
  <Default Extension="vml" ContentType="application/vnd.openxmlformats-officedocument.vmlDrawing"/>
  <Default Extension="png" ContentType="image/pn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drawings/drawing3.xml" ContentType="application/vnd.openxmlformats-officedocument.drawing+xml"/>
  <Override PartName="/xl/comments4.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omments5.xml" ContentType="application/vnd.openxmlformats-officedocument.spreadsheetml.comments+xml"/>
  <Override PartName="/xl/drawings/drawing6.xml" ContentType="application/vnd.openxmlformats-officedocument.drawing+xml"/>
  <Override PartName="/xl/comments6.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5306"/>
  <workbookPr showInkAnnotation="0" autoCompressPictures="0"/>
  <bookViews>
    <workbookView xWindow="2320" yWindow="300" windowWidth="23260" windowHeight="13320" tabRatio="1000" activeTab="5"/>
  </bookViews>
  <sheets>
    <sheet name="Callyspongia" sheetId="13" r:id="rId1"/>
    <sheet name="Ostia" sheetId="1" r:id="rId2"/>
    <sheet name="Subdermal space" sheetId="8" r:id="rId3"/>
    <sheet name="Incurrent Canals" sheetId="2" r:id="rId4"/>
    <sheet name="Prosopyles" sheetId="3" r:id="rId5"/>
    <sheet name="Collars" sheetId="5" r:id="rId6"/>
    <sheet name="Choanocyte Chambers" sheetId="4" r:id="rId7"/>
    <sheet name="Excurrent Canals" sheetId="10" r:id="rId8"/>
    <sheet name="Apopyle" sheetId="9" r:id="rId9"/>
    <sheet name="Osculum" sheetId="11" r:id="rId10"/>
    <sheet name="Sponge Volume" sheetId="12" r:id="rId11"/>
    <sheet name="Comparison table" sheetId="7" r:id="rId12"/>
  </sheets>
  <externalReferences>
    <externalReference r:id="rId13"/>
    <externalReference r:id="rId14"/>
  </externalReferences>
  <definedNames>
    <definedName name="Density" localSheetId="0">Callyspongia!$E$19</definedName>
    <definedName name="Density">[1]Callyspongia!$E$8</definedName>
    <definedName name="ExCurrentFlowRate" localSheetId="0">Callyspongia!$C$19</definedName>
    <definedName name="ExCurrentFlowRate">[1]Callyspongia!$C$8</definedName>
    <definedName name="ExcurrentSpeed" localSheetId="0">Callyspongia!$B$19</definedName>
    <definedName name="ExcurrentSpeed">[1]Callyspongia!$B$8</definedName>
    <definedName name="gamma" localSheetId="0">Callyspongia!$G$16</definedName>
    <definedName name="gamma">[1]Callyspongia!$G$5</definedName>
    <definedName name="OscDiam">'[2]Sup. Table 2. Sponge sizes'!$E$17</definedName>
    <definedName name="SpVol">'[2]Sup. Table 2. Sponge sizes'!$F$17</definedName>
    <definedName name="Viscosity" localSheetId="0">Callyspongia!$H$16</definedName>
    <definedName name="Viscosity">[1]Callyspongia!$H$5</definedName>
  </definedNames>
  <calcPr calcId="14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F50" i="13" l="1"/>
  <c r="F49" i="13"/>
  <c r="N38" i="13"/>
  <c r="N37" i="13"/>
  <c r="M37" i="13"/>
  <c r="L37" i="13"/>
  <c r="L28" i="13"/>
  <c r="L23" i="13"/>
  <c r="M23" i="13"/>
  <c r="N23" i="13"/>
  <c r="L24" i="13"/>
  <c r="M24" i="13"/>
  <c r="N24" i="13"/>
  <c r="L25" i="13"/>
  <c r="M25" i="13"/>
  <c r="N25" i="13"/>
  <c r="L26" i="13"/>
  <c r="M26" i="13"/>
  <c r="N26" i="13"/>
  <c r="L27" i="13"/>
  <c r="M27" i="13"/>
  <c r="N27" i="13"/>
  <c r="M28" i="13"/>
  <c r="N28" i="13"/>
  <c r="L29" i="13"/>
  <c r="M29" i="13"/>
  <c r="N29" i="13"/>
  <c r="L30" i="13"/>
  <c r="M30" i="13"/>
  <c r="N30" i="13"/>
  <c r="L31" i="13"/>
  <c r="M31" i="13"/>
  <c r="N31" i="13"/>
  <c r="L32" i="13"/>
  <c r="M32" i="13"/>
  <c r="N32" i="13"/>
  <c r="L33" i="13"/>
  <c r="M33" i="13"/>
  <c r="N33" i="13"/>
  <c r="L34" i="13"/>
  <c r="M34" i="13"/>
  <c r="N34" i="13"/>
  <c r="L35" i="13"/>
  <c r="M35" i="13"/>
  <c r="N35" i="13"/>
  <c r="L36" i="13"/>
  <c r="M36" i="13"/>
  <c r="N36" i="13"/>
  <c r="K37" i="13"/>
  <c r="K23" i="13"/>
  <c r="Q23" i="13"/>
  <c r="R23" i="13"/>
  <c r="S23" i="13"/>
  <c r="R24" i="13"/>
  <c r="S24" i="13"/>
  <c r="K24" i="13"/>
  <c r="Q24" i="13"/>
  <c r="R25" i="13"/>
  <c r="S25" i="13"/>
  <c r="K25" i="13"/>
  <c r="Q25" i="13"/>
  <c r="R26" i="13"/>
  <c r="S26" i="13"/>
  <c r="K26" i="13"/>
  <c r="Q26" i="13"/>
  <c r="R27" i="13"/>
  <c r="S27" i="13"/>
  <c r="K27" i="13"/>
  <c r="R28" i="13"/>
  <c r="S28" i="13"/>
  <c r="K28" i="13"/>
  <c r="Q28" i="13"/>
  <c r="R29" i="13"/>
  <c r="S29" i="13"/>
  <c r="K29" i="13"/>
  <c r="Q29" i="13"/>
  <c r="V27" i="13"/>
  <c r="V28" i="13"/>
  <c r="V29" i="13"/>
  <c r="V32" i="13"/>
  <c r="V31" i="13"/>
  <c r="V30" i="13"/>
  <c r="V33" i="13"/>
  <c r="R30" i="13"/>
  <c r="S30" i="13"/>
  <c r="K30" i="13"/>
  <c r="Q30" i="13"/>
  <c r="R31" i="13"/>
  <c r="S31" i="13"/>
  <c r="K31" i="13"/>
  <c r="Q31" i="13"/>
  <c r="R32" i="13"/>
  <c r="S32" i="13"/>
  <c r="K32" i="13"/>
  <c r="R33" i="13"/>
  <c r="S33" i="13"/>
  <c r="K33" i="13"/>
  <c r="Q33" i="13"/>
  <c r="R34" i="13"/>
  <c r="S34" i="13"/>
  <c r="K34" i="13"/>
  <c r="Q34" i="13"/>
  <c r="R35" i="13"/>
  <c r="S35" i="13"/>
  <c r="K35" i="13"/>
  <c r="Q35" i="13"/>
  <c r="R36" i="13"/>
  <c r="S36" i="13"/>
  <c r="Q37" i="13"/>
  <c r="R37" i="13"/>
  <c r="S37" i="13"/>
  <c r="S38" i="13"/>
  <c r="C49" i="13"/>
  <c r="C50" i="13"/>
  <c r="C43" i="13"/>
  <c r="Q20" i="11"/>
  <c r="Q19" i="11"/>
  <c r="Q18" i="11"/>
  <c r="F9" i="11"/>
  <c r="F10" i="11"/>
  <c r="F11" i="11"/>
  <c r="F12" i="11"/>
  <c r="F13" i="11"/>
  <c r="F14" i="11"/>
  <c r="F15" i="11"/>
  <c r="F16" i="11"/>
  <c r="F17" i="11"/>
  <c r="F8" i="11"/>
  <c r="G8" i="11"/>
  <c r="H8" i="11"/>
  <c r="G9" i="11"/>
  <c r="H9" i="11"/>
  <c r="G10" i="11"/>
  <c r="H10" i="11"/>
  <c r="G11" i="11"/>
  <c r="H11" i="11"/>
  <c r="G12" i="11"/>
  <c r="H12" i="11"/>
  <c r="G13" i="11"/>
  <c r="H13" i="11"/>
  <c r="G14" i="11"/>
  <c r="H14" i="11"/>
  <c r="G15" i="11"/>
  <c r="H15" i="11"/>
  <c r="G16" i="11"/>
  <c r="H16" i="11"/>
  <c r="G17" i="11"/>
  <c r="H17" i="11"/>
  <c r="E60" i="5"/>
  <c r="G60" i="5"/>
  <c r="H60" i="5"/>
  <c r="J60" i="5"/>
  <c r="J13" i="5"/>
  <c r="J12" i="4"/>
  <c r="H23" i="13"/>
  <c r="D16" i="13"/>
  <c r="I23" i="13"/>
  <c r="J23" i="13"/>
  <c r="M8" i="11"/>
  <c r="M9" i="11"/>
  <c r="M10" i="11"/>
  <c r="M11" i="11"/>
  <c r="M12" i="11"/>
  <c r="M13" i="11"/>
  <c r="M14" i="11"/>
  <c r="M15" i="11"/>
  <c r="M16" i="11"/>
  <c r="M17" i="11"/>
  <c r="M18" i="11"/>
  <c r="B16" i="13"/>
  <c r="G18" i="11"/>
  <c r="C37" i="13"/>
  <c r="J16" i="13"/>
  <c r="A16" i="13"/>
  <c r="H37" i="13"/>
  <c r="I37" i="13"/>
  <c r="J37" i="13"/>
  <c r="C24" i="13"/>
  <c r="D24" i="13"/>
  <c r="C23" i="13"/>
  <c r="L13" i="5"/>
  <c r="M13" i="5"/>
  <c r="H30" i="13"/>
  <c r="I30" i="13"/>
  <c r="J30" i="13"/>
  <c r="E13" i="5"/>
  <c r="C20" i="5"/>
  <c r="D31" i="13"/>
  <c r="C31" i="13"/>
  <c r="D20" i="5"/>
  <c r="E20" i="5"/>
  <c r="F20" i="5"/>
  <c r="G20" i="5"/>
  <c r="H31" i="13"/>
  <c r="I31" i="13"/>
  <c r="J31" i="13"/>
  <c r="C32" i="13"/>
  <c r="D32" i="13"/>
  <c r="H24" i="13"/>
  <c r="I24" i="13"/>
  <c r="J24" i="13"/>
  <c r="D25" i="13"/>
  <c r="C25" i="13"/>
  <c r="H25" i="13"/>
  <c r="I25" i="13"/>
  <c r="J25" i="13"/>
  <c r="D26" i="13"/>
  <c r="C26" i="13"/>
  <c r="H26" i="13"/>
  <c r="I26" i="13"/>
  <c r="J26" i="13"/>
  <c r="D27" i="13"/>
  <c r="C27" i="13"/>
  <c r="I27" i="13"/>
  <c r="J27" i="13"/>
  <c r="C28" i="13"/>
  <c r="H28" i="13"/>
  <c r="I28" i="13"/>
  <c r="J28" i="13"/>
  <c r="D29" i="13"/>
  <c r="C29" i="13"/>
  <c r="H29" i="13"/>
  <c r="I29" i="13"/>
  <c r="J29" i="13"/>
  <c r="H32" i="13"/>
  <c r="I32" i="13"/>
  <c r="J32" i="13"/>
  <c r="C33" i="13"/>
  <c r="H33" i="13"/>
  <c r="I33" i="13"/>
  <c r="J33" i="13"/>
  <c r="D34" i="13"/>
  <c r="C34" i="13"/>
  <c r="H34" i="13"/>
  <c r="I34" i="13"/>
  <c r="J34" i="13"/>
  <c r="D35" i="13"/>
  <c r="C35" i="13"/>
  <c r="H35" i="13"/>
  <c r="I35" i="13"/>
  <c r="J35" i="13"/>
  <c r="D36" i="13"/>
  <c r="C36" i="13"/>
  <c r="N8" i="11"/>
  <c r="N9" i="11"/>
  <c r="N10" i="11"/>
  <c r="N11" i="11"/>
  <c r="N12" i="11"/>
  <c r="N13" i="11"/>
  <c r="N14" i="11"/>
  <c r="N15" i="11"/>
  <c r="N16" i="11"/>
  <c r="N17" i="11"/>
  <c r="N18" i="11"/>
  <c r="C16" i="13"/>
  <c r="C17" i="13"/>
  <c r="C44" i="13"/>
  <c r="C45" i="13"/>
  <c r="C46" i="13"/>
  <c r="C30" i="13"/>
  <c r="D30" i="13"/>
  <c r="H36" i="13"/>
  <c r="I36" i="13"/>
  <c r="J36" i="13"/>
  <c r="K36" i="13"/>
  <c r="D37" i="13"/>
  <c r="Q36" i="13"/>
  <c r="Q32" i="13"/>
  <c r="Q27" i="13"/>
  <c r="K16" i="12"/>
  <c r="L16" i="12"/>
  <c r="M16" i="12"/>
  <c r="F16" i="12"/>
  <c r="T8" i="11"/>
  <c r="T9" i="11"/>
  <c r="T10" i="11"/>
  <c r="T11" i="11"/>
  <c r="T12" i="11"/>
  <c r="T13" i="11"/>
  <c r="T14" i="11"/>
  <c r="T15" i="11"/>
  <c r="T16" i="11"/>
  <c r="T17" i="11"/>
  <c r="T18" i="11"/>
  <c r="K14" i="12"/>
  <c r="M14" i="12"/>
  <c r="K15" i="12"/>
  <c r="L15" i="12"/>
  <c r="M15" i="12"/>
  <c r="K17" i="12"/>
  <c r="L17" i="12"/>
  <c r="M17" i="12"/>
  <c r="K18" i="12"/>
  <c r="L18" i="12"/>
  <c r="M18" i="12"/>
  <c r="K19" i="12"/>
  <c r="L19" i="12"/>
  <c r="M19" i="12"/>
  <c r="K20" i="12"/>
  <c r="L20" i="12"/>
  <c r="M20" i="12"/>
  <c r="K21" i="12"/>
  <c r="L21" i="12"/>
  <c r="M21" i="12"/>
  <c r="M26" i="12"/>
  <c r="S8" i="11"/>
  <c r="S9" i="11"/>
  <c r="S10" i="11"/>
  <c r="S11" i="11"/>
  <c r="S12" i="11"/>
  <c r="S13" i="11"/>
  <c r="S14" i="11"/>
  <c r="S15" i="11"/>
  <c r="S16" i="11"/>
  <c r="S17" i="11"/>
  <c r="S18" i="11"/>
  <c r="F15" i="12"/>
  <c r="F17" i="12"/>
  <c r="F18" i="12"/>
  <c r="F19" i="12"/>
  <c r="F20" i="12"/>
  <c r="F21" i="12"/>
  <c r="F22" i="12"/>
  <c r="F23" i="12"/>
  <c r="F24" i="12"/>
  <c r="F25" i="12"/>
  <c r="F26" i="12"/>
  <c r="B18" i="13"/>
  <c r="O8" i="11"/>
  <c r="O9" i="11"/>
  <c r="O10" i="11"/>
  <c r="O11" i="11"/>
  <c r="O12" i="11"/>
  <c r="O13" i="11"/>
  <c r="O14" i="11"/>
  <c r="O15" i="11"/>
  <c r="O16" i="11"/>
  <c r="O17" i="11"/>
  <c r="O18" i="11"/>
  <c r="P8" i="11"/>
  <c r="P9" i="11"/>
  <c r="P10" i="11"/>
  <c r="P11" i="11"/>
  <c r="P12" i="11"/>
  <c r="P13" i="11"/>
  <c r="P14" i="11"/>
  <c r="P15" i="11"/>
  <c r="P16" i="11"/>
  <c r="P17" i="11"/>
  <c r="P18" i="11"/>
  <c r="L18" i="11"/>
  <c r="B20" i="5"/>
  <c r="B19" i="5"/>
  <c r="G16" i="13"/>
  <c r="D28" i="13"/>
  <c r="E24" i="13"/>
  <c r="E25" i="13"/>
  <c r="E26" i="13"/>
  <c r="E27" i="13"/>
  <c r="E28" i="13"/>
  <c r="E29" i="13"/>
  <c r="E30" i="13"/>
  <c r="E31" i="13"/>
  <c r="E32" i="13"/>
  <c r="E33" i="13"/>
  <c r="E34" i="13"/>
  <c r="E35" i="13"/>
  <c r="E36" i="13"/>
  <c r="E37" i="13"/>
  <c r="F37" i="13"/>
  <c r="G37" i="13"/>
  <c r="F36" i="13"/>
  <c r="G36" i="13"/>
  <c r="F35" i="13"/>
  <c r="G35" i="13"/>
  <c r="F34" i="13"/>
  <c r="G34" i="13"/>
  <c r="F33" i="13"/>
  <c r="G33" i="13"/>
  <c r="F32" i="13"/>
  <c r="G32" i="13"/>
  <c r="F31" i="13"/>
  <c r="G31" i="13"/>
  <c r="F30" i="13"/>
  <c r="G30" i="13"/>
  <c r="F29" i="13"/>
  <c r="G29" i="13"/>
  <c r="F28" i="13"/>
  <c r="G28" i="13"/>
  <c r="H27" i="13"/>
  <c r="F27" i="13"/>
  <c r="G27" i="13"/>
  <c r="F26" i="13"/>
  <c r="G26" i="13"/>
  <c r="F25" i="13"/>
  <c r="G25" i="13"/>
  <c r="F24" i="13"/>
  <c r="G24" i="13"/>
  <c r="F23" i="13"/>
  <c r="G23" i="13"/>
  <c r="L20" i="13"/>
  <c r="L19" i="13"/>
  <c r="L17" i="13"/>
  <c r="L18" i="13"/>
  <c r="M16" i="13"/>
  <c r="K16" i="13"/>
  <c r="L16" i="13"/>
  <c r="C19" i="5"/>
  <c r="D15" i="8"/>
  <c r="D16" i="8"/>
  <c r="D17" i="8"/>
  <c r="D18" i="8"/>
  <c r="C29" i="3"/>
  <c r="L7" i="7"/>
  <c r="D19" i="5"/>
  <c r="E19" i="5"/>
  <c r="F19" i="5"/>
  <c r="G19" i="5"/>
  <c r="D29" i="3"/>
  <c r="E29" i="3"/>
  <c r="D11" i="8"/>
  <c r="D12" i="8"/>
  <c r="D13" i="8"/>
  <c r="D14" i="8"/>
  <c r="D19" i="8"/>
  <c r="F19" i="8"/>
  <c r="G19" i="8"/>
  <c r="H19" i="8"/>
  <c r="D7" i="8"/>
  <c r="N9" i="7"/>
  <c r="M24" i="7"/>
  <c r="M21" i="7"/>
  <c r="M20" i="7"/>
  <c r="M19" i="7"/>
  <c r="M17" i="7"/>
  <c r="M15" i="7"/>
  <c r="M13" i="7"/>
  <c r="M12" i="7"/>
  <c r="M11" i="7"/>
  <c r="M10" i="7"/>
  <c r="M9" i="7"/>
  <c r="L24" i="7"/>
  <c r="L21" i="7"/>
  <c r="L20" i="7"/>
  <c r="L19" i="7"/>
  <c r="L17" i="7"/>
  <c r="L15" i="7"/>
  <c r="L13" i="7"/>
  <c r="L12" i="7"/>
  <c r="C19" i="8"/>
  <c r="C7" i="8"/>
  <c r="L10" i="7"/>
  <c r="L11" i="7"/>
  <c r="L9" i="7"/>
  <c r="B19" i="8"/>
  <c r="B7" i="8"/>
  <c r="K13" i="5"/>
  <c r="I57" i="10"/>
  <c r="G26" i="12"/>
  <c r="H26" i="12"/>
  <c r="I26" i="12"/>
  <c r="J26" i="12"/>
  <c r="K26" i="12"/>
  <c r="L26" i="12"/>
  <c r="E26" i="12"/>
  <c r="K22" i="12"/>
  <c r="L22" i="12"/>
  <c r="M22" i="12"/>
  <c r="K23" i="12"/>
  <c r="L23" i="12"/>
  <c r="M23" i="12"/>
  <c r="K24" i="12"/>
  <c r="L24" i="12"/>
  <c r="M24" i="12"/>
  <c r="K25" i="12"/>
  <c r="L25" i="12"/>
  <c r="M25" i="12"/>
  <c r="E17" i="12"/>
  <c r="E15" i="12"/>
  <c r="J21" i="12"/>
  <c r="J20" i="12"/>
  <c r="J19" i="12"/>
  <c r="J18" i="12"/>
  <c r="J17" i="12"/>
  <c r="J15" i="12"/>
  <c r="J14" i="12"/>
  <c r="I25" i="12"/>
  <c r="I24" i="12"/>
  <c r="I23" i="12"/>
  <c r="I22" i="12"/>
  <c r="I21" i="12"/>
  <c r="I20" i="12"/>
  <c r="I19" i="12"/>
  <c r="I18" i="12"/>
  <c r="I17" i="12"/>
  <c r="I15" i="12"/>
  <c r="I14" i="12"/>
  <c r="H21" i="12"/>
  <c r="H20" i="12"/>
  <c r="H19" i="12"/>
  <c r="H18" i="12"/>
  <c r="H17" i="12"/>
  <c r="H15" i="12"/>
  <c r="H14" i="12"/>
  <c r="G21" i="12"/>
  <c r="G20" i="12"/>
  <c r="G19" i="12"/>
  <c r="G18" i="12"/>
  <c r="G17" i="12"/>
  <c r="G15" i="12"/>
  <c r="G14" i="12"/>
  <c r="F14" i="12"/>
  <c r="E14" i="12"/>
  <c r="L14" i="12"/>
  <c r="I10" i="11"/>
  <c r="I11" i="11"/>
  <c r="I12" i="11"/>
  <c r="I13" i="11"/>
  <c r="B8" i="9"/>
  <c r="C8" i="9"/>
  <c r="D8" i="9"/>
  <c r="E8" i="9"/>
  <c r="F8" i="9"/>
  <c r="A8" i="9"/>
  <c r="F19" i="9"/>
  <c r="E19" i="9"/>
  <c r="D19" i="9"/>
  <c r="D28" i="10"/>
  <c r="E28" i="10"/>
  <c r="F28" i="10"/>
  <c r="G28" i="10"/>
  <c r="H28" i="10"/>
  <c r="I28" i="10"/>
  <c r="J28" i="10"/>
  <c r="K28" i="10"/>
  <c r="L28" i="10"/>
  <c r="M28" i="10"/>
  <c r="D29" i="10"/>
  <c r="E29" i="10"/>
  <c r="F29" i="10"/>
  <c r="G29" i="10"/>
  <c r="H29" i="10"/>
  <c r="I29" i="10"/>
  <c r="J29" i="10"/>
  <c r="K29" i="10"/>
  <c r="L29" i="10"/>
  <c r="M29" i="10"/>
  <c r="D30" i="10"/>
  <c r="E30" i="10"/>
  <c r="F30" i="10"/>
  <c r="G30" i="10"/>
  <c r="H30" i="10"/>
  <c r="I30" i="10"/>
  <c r="J30" i="10"/>
  <c r="K30" i="10"/>
  <c r="L30" i="10"/>
  <c r="M30" i="10"/>
  <c r="C30" i="10"/>
  <c r="C29" i="10"/>
  <c r="C28" i="10"/>
  <c r="M18" i="10"/>
  <c r="M19" i="10"/>
  <c r="M20" i="10"/>
  <c r="D18" i="10"/>
  <c r="E18" i="10"/>
  <c r="F18" i="10"/>
  <c r="G18" i="10"/>
  <c r="H18" i="10"/>
  <c r="I18" i="10"/>
  <c r="J18" i="10"/>
  <c r="K18" i="10"/>
  <c r="L18" i="10"/>
  <c r="D19" i="10"/>
  <c r="E19" i="10"/>
  <c r="F19" i="10"/>
  <c r="G19" i="10"/>
  <c r="H19" i="10"/>
  <c r="I19" i="10"/>
  <c r="J19" i="10"/>
  <c r="K19" i="10"/>
  <c r="L19" i="10"/>
  <c r="D20" i="10"/>
  <c r="E20" i="10"/>
  <c r="F20" i="10"/>
  <c r="G20" i="10"/>
  <c r="H20" i="10"/>
  <c r="I20" i="10"/>
  <c r="J20" i="10"/>
  <c r="K20" i="10"/>
  <c r="L20" i="10"/>
  <c r="C19" i="10"/>
  <c r="C20" i="10"/>
  <c r="C18" i="10"/>
  <c r="A18" i="10"/>
  <c r="R21" i="10"/>
  <c r="Q21" i="10"/>
  <c r="P16" i="10"/>
  <c r="P14" i="10"/>
  <c r="M16" i="10"/>
  <c r="M17" i="10"/>
  <c r="D16" i="10"/>
  <c r="E16" i="10"/>
  <c r="F16" i="10"/>
  <c r="G16" i="10"/>
  <c r="H16" i="10"/>
  <c r="I16" i="10"/>
  <c r="J90" i="10"/>
  <c r="J16" i="10"/>
  <c r="K90" i="10"/>
  <c r="K16" i="10"/>
  <c r="L90" i="10"/>
  <c r="L16" i="10"/>
  <c r="D17" i="10"/>
  <c r="E17" i="10"/>
  <c r="F17" i="10"/>
  <c r="G17" i="10"/>
  <c r="H17" i="10"/>
  <c r="I17" i="10"/>
  <c r="J91" i="10"/>
  <c r="J17" i="10"/>
  <c r="K91" i="10"/>
  <c r="K17" i="10"/>
  <c r="L91" i="10"/>
  <c r="L17" i="10"/>
  <c r="C17" i="10"/>
  <c r="C16" i="10"/>
  <c r="A16" i="10"/>
  <c r="E74" i="10"/>
  <c r="F74" i="10"/>
  <c r="G74" i="10"/>
  <c r="E75" i="10"/>
  <c r="F75" i="10"/>
  <c r="G75" i="10"/>
  <c r="E76" i="10"/>
  <c r="F76" i="10"/>
  <c r="G76" i="10"/>
  <c r="E77" i="10"/>
  <c r="F77" i="10"/>
  <c r="G77" i="10"/>
  <c r="E78" i="10"/>
  <c r="F78" i="10"/>
  <c r="G78" i="10"/>
  <c r="E79" i="10"/>
  <c r="F79" i="10"/>
  <c r="G79" i="10"/>
  <c r="E80" i="10"/>
  <c r="F80" i="10"/>
  <c r="G80" i="10"/>
  <c r="B117" i="10"/>
  <c r="H117" i="10"/>
  <c r="E99" i="10"/>
  <c r="F99" i="10"/>
  <c r="G99" i="10"/>
  <c r="E100" i="10"/>
  <c r="F100" i="10"/>
  <c r="G100" i="10"/>
  <c r="E104" i="10"/>
  <c r="F104" i="10"/>
  <c r="G104" i="10"/>
  <c r="E105" i="10"/>
  <c r="F105" i="10"/>
  <c r="G105" i="10"/>
  <c r="E110" i="10"/>
  <c r="F110" i="10"/>
  <c r="G110" i="10"/>
  <c r="E111" i="10"/>
  <c r="F111" i="10"/>
  <c r="G111" i="10"/>
  <c r="E112" i="10"/>
  <c r="F112" i="10"/>
  <c r="G112" i="10"/>
  <c r="E113" i="10"/>
  <c r="F113" i="10"/>
  <c r="G113" i="10"/>
  <c r="G117" i="10"/>
  <c r="I117" i="10"/>
  <c r="J117" i="10"/>
  <c r="K117" i="10"/>
  <c r="L117" i="10"/>
  <c r="F117" i="10"/>
  <c r="E117" i="10"/>
  <c r="D117" i="10"/>
  <c r="C117" i="10"/>
  <c r="B116" i="10"/>
  <c r="H116" i="10"/>
  <c r="E101" i="10"/>
  <c r="F101" i="10"/>
  <c r="G101" i="10"/>
  <c r="E102" i="10"/>
  <c r="F102" i="10"/>
  <c r="G102" i="10"/>
  <c r="E103" i="10"/>
  <c r="F103" i="10"/>
  <c r="G103" i="10"/>
  <c r="E106" i="10"/>
  <c r="F106" i="10"/>
  <c r="G106" i="10"/>
  <c r="G116" i="10"/>
  <c r="I116" i="10"/>
  <c r="J116" i="10"/>
  <c r="K116" i="10"/>
  <c r="L116" i="10"/>
  <c r="F116" i="10"/>
  <c r="E116" i="10"/>
  <c r="D116" i="10"/>
  <c r="C116" i="10"/>
  <c r="B115" i="10"/>
  <c r="H115" i="10"/>
  <c r="E96" i="10"/>
  <c r="F96" i="10"/>
  <c r="G96" i="10"/>
  <c r="E97" i="10"/>
  <c r="F97" i="10"/>
  <c r="G97" i="10"/>
  <c r="E98" i="10"/>
  <c r="F98" i="10"/>
  <c r="G98" i="10"/>
  <c r="E107" i="10"/>
  <c r="F107" i="10"/>
  <c r="G107" i="10"/>
  <c r="E108" i="10"/>
  <c r="F108" i="10"/>
  <c r="G108" i="10"/>
  <c r="E109" i="10"/>
  <c r="F109" i="10"/>
  <c r="G109" i="10"/>
  <c r="G115" i="10"/>
  <c r="I115" i="10"/>
  <c r="J115" i="10"/>
  <c r="K115" i="10"/>
  <c r="L115" i="10"/>
  <c r="F115" i="10"/>
  <c r="E115" i="10"/>
  <c r="D115" i="10"/>
  <c r="C115" i="10"/>
  <c r="B114" i="10"/>
  <c r="H114" i="10"/>
  <c r="G114" i="10"/>
  <c r="I114" i="10"/>
  <c r="K114" i="10"/>
  <c r="L114" i="10"/>
  <c r="F114" i="10"/>
  <c r="E114" i="10"/>
  <c r="D114" i="10"/>
  <c r="C114" i="10"/>
  <c r="B91" i="10"/>
  <c r="H91" i="10"/>
  <c r="E66" i="10"/>
  <c r="F66" i="10"/>
  <c r="G66" i="10"/>
  <c r="E67" i="10"/>
  <c r="F67" i="10"/>
  <c r="G67" i="10"/>
  <c r="E68" i="10"/>
  <c r="F68" i="10"/>
  <c r="G68" i="10"/>
  <c r="E69" i="10"/>
  <c r="F69" i="10"/>
  <c r="G69" i="10"/>
  <c r="E63" i="10"/>
  <c r="F63" i="10"/>
  <c r="G63" i="10"/>
  <c r="E64" i="10"/>
  <c r="F64" i="10"/>
  <c r="G64" i="10"/>
  <c r="E65" i="10"/>
  <c r="F65" i="10"/>
  <c r="G65" i="10"/>
  <c r="E70" i="10"/>
  <c r="F70" i="10"/>
  <c r="G70" i="10"/>
  <c r="E71" i="10"/>
  <c r="F71" i="10"/>
  <c r="G71" i="10"/>
  <c r="E72" i="10"/>
  <c r="F72" i="10"/>
  <c r="G72" i="10"/>
  <c r="E73" i="10"/>
  <c r="F73" i="10"/>
  <c r="G73" i="10"/>
  <c r="E81" i="10"/>
  <c r="F81" i="10"/>
  <c r="G81" i="10"/>
  <c r="E82" i="10"/>
  <c r="F82" i="10"/>
  <c r="G82" i="10"/>
  <c r="E83" i="10"/>
  <c r="F83" i="10"/>
  <c r="G83" i="10"/>
  <c r="E84" i="10"/>
  <c r="F84" i="10"/>
  <c r="G84" i="10"/>
  <c r="E85" i="10"/>
  <c r="F85" i="10"/>
  <c r="G85" i="10"/>
  <c r="E86" i="10"/>
  <c r="F86" i="10"/>
  <c r="G86" i="10"/>
  <c r="E87" i="10"/>
  <c r="F87" i="10"/>
  <c r="G87" i="10"/>
  <c r="G91" i="10"/>
  <c r="I91" i="10"/>
  <c r="F91" i="10"/>
  <c r="E91" i="10"/>
  <c r="D91" i="10"/>
  <c r="C91" i="10"/>
  <c r="B90" i="10"/>
  <c r="H90" i="10"/>
  <c r="G90" i="10"/>
  <c r="I90" i="10"/>
  <c r="F90" i="10"/>
  <c r="E90" i="10"/>
  <c r="D90" i="10"/>
  <c r="C90" i="10"/>
  <c r="B89" i="10"/>
  <c r="H89" i="10"/>
  <c r="G89" i="10"/>
  <c r="I89" i="10"/>
  <c r="J89" i="10"/>
  <c r="K89" i="10"/>
  <c r="L89" i="10"/>
  <c r="F89" i="10"/>
  <c r="E89" i="10"/>
  <c r="D89" i="10"/>
  <c r="C89" i="10"/>
  <c r="B88" i="10"/>
  <c r="H88" i="10"/>
  <c r="G88" i="10"/>
  <c r="I88" i="10"/>
  <c r="K88" i="10"/>
  <c r="L88" i="10"/>
  <c r="F88" i="10"/>
  <c r="E88" i="10"/>
  <c r="D88" i="10"/>
  <c r="C88" i="10"/>
  <c r="J18" i="11"/>
  <c r="K9" i="11"/>
  <c r="K10" i="11"/>
  <c r="K11" i="11"/>
  <c r="K12" i="11"/>
  <c r="K13" i="11"/>
  <c r="K14" i="11"/>
  <c r="K15" i="11"/>
  <c r="K16" i="11"/>
  <c r="K17" i="11"/>
  <c r="K8" i="11"/>
  <c r="K14" i="10"/>
  <c r="M14" i="10"/>
  <c r="K15" i="10"/>
  <c r="M15" i="10"/>
  <c r="D14" i="10"/>
  <c r="E14" i="10"/>
  <c r="F14" i="10"/>
  <c r="G14" i="10"/>
  <c r="H14" i="10"/>
  <c r="I14" i="10"/>
  <c r="J14" i="10"/>
  <c r="L14" i="10"/>
  <c r="D15" i="10"/>
  <c r="E15" i="10"/>
  <c r="F15" i="10"/>
  <c r="G15" i="10"/>
  <c r="H15" i="10"/>
  <c r="I15" i="10"/>
  <c r="J15" i="10"/>
  <c r="L15" i="10"/>
  <c r="C15" i="10"/>
  <c r="C14" i="10"/>
  <c r="M13" i="10"/>
  <c r="D13" i="10"/>
  <c r="E13" i="10"/>
  <c r="F13" i="10"/>
  <c r="G13" i="10"/>
  <c r="H13" i="10"/>
  <c r="I13" i="10"/>
  <c r="J13" i="10"/>
  <c r="K13" i="10"/>
  <c r="L13" i="10"/>
  <c r="C13" i="10"/>
  <c r="A13" i="10"/>
  <c r="P13" i="10"/>
  <c r="J59" i="10"/>
  <c r="J58" i="10"/>
  <c r="J57" i="10"/>
  <c r="E48" i="10"/>
  <c r="F48" i="10"/>
  <c r="G48" i="10"/>
  <c r="E49" i="10"/>
  <c r="F49" i="10"/>
  <c r="G49" i="10"/>
  <c r="E50" i="10"/>
  <c r="F50" i="10"/>
  <c r="G50" i="10"/>
  <c r="E38" i="10"/>
  <c r="E40" i="10"/>
  <c r="E51" i="10"/>
  <c r="E58" i="10"/>
  <c r="D57" i="10"/>
  <c r="G10" i="4"/>
  <c r="G11" i="4"/>
  <c r="G9" i="4"/>
  <c r="F9" i="4"/>
  <c r="E11" i="4"/>
  <c r="E10" i="4"/>
  <c r="E9" i="4"/>
  <c r="F11" i="4"/>
  <c r="P11" i="4"/>
  <c r="J11" i="4"/>
  <c r="K11" i="4"/>
  <c r="L11" i="4"/>
  <c r="M11" i="4"/>
  <c r="N11" i="4"/>
  <c r="O11" i="4"/>
  <c r="I11" i="4"/>
  <c r="H11" i="4"/>
  <c r="C11" i="4"/>
  <c r="D11" i="4"/>
  <c r="B11" i="4"/>
  <c r="A11" i="4"/>
  <c r="F70" i="4"/>
  <c r="E70" i="4"/>
  <c r="D70" i="4"/>
  <c r="C70" i="4"/>
  <c r="E51" i="4"/>
  <c r="F51" i="4"/>
  <c r="E52" i="4"/>
  <c r="F52" i="4"/>
  <c r="E53" i="4"/>
  <c r="F53" i="4"/>
  <c r="E54" i="4"/>
  <c r="F54" i="4"/>
  <c r="E55" i="4"/>
  <c r="F55" i="4"/>
  <c r="E56" i="4"/>
  <c r="F56" i="4"/>
  <c r="E57" i="4"/>
  <c r="F57" i="4"/>
  <c r="E58" i="4"/>
  <c r="F58" i="4"/>
  <c r="E59" i="4"/>
  <c r="F59" i="4"/>
  <c r="E60" i="4"/>
  <c r="F60" i="4"/>
  <c r="E61" i="4"/>
  <c r="F61" i="4"/>
  <c r="E62" i="4"/>
  <c r="F62" i="4"/>
  <c r="E63" i="4"/>
  <c r="F63" i="4"/>
  <c r="E64" i="4"/>
  <c r="F64" i="4"/>
  <c r="E65" i="4"/>
  <c r="F65" i="4"/>
  <c r="E66" i="4"/>
  <c r="F66" i="4"/>
  <c r="E67" i="4"/>
  <c r="F67" i="4"/>
  <c r="E68" i="4"/>
  <c r="F68" i="4"/>
  <c r="E69" i="4"/>
  <c r="F69" i="4"/>
  <c r="E50" i="4"/>
  <c r="F50" i="4"/>
  <c r="H10" i="4"/>
  <c r="M10" i="4"/>
  <c r="M12" i="4"/>
  <c r="B25" i="3"/>
  <c r="F12" i="9"/>
  <c r="B24" i="3"/>
  <c r="B26" i="3"/>
  <c r="C10" i="4"/>
  <c r="B10" i="4"/>
  <c r="F10" i="4"/>
  <c r="P10" i="4"/>
  <c r="N10" i="4"/>
  <c r="O10" i="4"/>
  <c r="I10" i="4"/>
  <c r="D10" i="4"/>
  <c r="A10" i="4"/>
  <c r="E46" i="4"/>
  <c r="F46" i="4"/>
  <c r="D46" i="4"/>
  <c r="C46" i="4"/>
  <c r="E32" i="4"/>
  <c r="F32" i="4"/>
  <c r="E33" i="4"/>
  <c r="F33" i="4"/>
  <c r="E34" i="4"/>
  <c r="F34" i="4"/>
  <c r="E35" i="4"/>
  <c r="F35" i="4"/>
  <c r="E36" i="4"/>
  <c r="F36" i="4"/>
  <c r="E37" i="4"/>
  <c r="F37" i="4"/>
  <c r="E38" i="4"/>
  <c r="F38" i="4"/>
  <c r="E39" i="4"/>
  <c r="F39" i="4"/>
  <c r="E40" i="4"/>
  <c r="F40" i="4"/>
  <c r="E41" i="4"/>
  <c r="F41" i="4"/>
  <c r="E42" i="4"/>
  <c r="F42" i="4"/>
  <c r="E43" i="4"/>
  <c r="F43" i="4"/>
  <c r="E44" i="4"/>
  <c r="F44" i="4"/>
  <c r="E45" i="4"/>
  <c r="F45" i="4"/>
  <c r="E31" i="4"/>
  <c r="F31" i="4"/>
  <c r="F17" i="4"/>
  <c r="F28" i="4"/>
  <c r="I9" i="4"/>
  <c r="E28" i="4"/>
  <c r="H9" i="4"/>
  <c r="C9" i="4"/>
  <c r="D9" i="4"/>
  <c r="B9" i="4"/>
  <c r="A9" i="4"/>
  <c r="F18" i="4"/>
  <c r="F19" i="4"/>
  <c r="F20" i="4"/>
  <c r="F21" i="4"/>
  <c r="F22" i="4"/>
  <c r="F23" i="4"/>
  <c r="F24" i="4"/>
  <c r="F25" i="4"/>
  <c r="F26" i="4"/>
  <c r="F27" i="4"/>
  <c r="D28" i="4"/>
  <c r="C28" i="4"/>
  <c r="E18" i="4"/>
  <c r="E19" i="4"/>
  <c r="E20" i="4"/>
  <c r="E21" i="4"/>
  <c r="E22" i="4"/>
  <c r="E23" i="4"/>
  <c r="E24" i="4"/>
  <c r="E25" i="4"/>
  <c r="E26" i="4"/>
  <c r="E27" i="4"/>
  <c r="E17" i="4"/>
  <c r="O13" i="5"/>
  <c r="N13" i="5"/>
  <c r="C13" i="5"/>
  <c r="D13" i="5"/>
  <c r="F13" i="5"/>
  <c r="G13" i="5"/>
  <c r="H13" i="5"/>
  <c r="I13" i="5"/>
  <c r="B13" i="5"/>
  <c r="I60" i="5"/>
  <c r="N60" i="5"/>
  <c r="O60" i="5"/>
  <c r="C60" i="5"/>
  <c r="D60" i="5"/>
  <c r="F60" i="5"/>
  <c r="B60" i="5"/>
  <c r="B30" i="5"/>
  <c r="B29" i="5"/>
  <c r="B28" i="5"/>
  <c r="A20" i="3"/>
  <c r="B21" i="3"/>
  <c r="C16" i="3"/>
  <c r="D16" i="3"/>
  <c r="B16" i="3"/>
  <c r="C37" i="3"/>
  <c r="D37" i="3"/>
  <c r="B37" i="3"/>
  <c r="A16" i="3"/>
  <c r="D34" i="3"/>
  <c r="D35" i="3"/>
  <c r="D36" i="3"/>
  <c r="D33" i="3"/>
  <c r="G53" i="3"/>
  <c r="D53" i="3"/>
  <c r="M28" i="2"/>
  <c r="D28" i="2"/>
  <c r="E28" i="2"/>
  <c r="F28" i="2"/>
  <c r="G28" i="2"/>
  <c r="H28" i="2"/>
  <c r="I28" i="2"/>
  <c r="J28" i="2"/>
  <c r="K28" i="2"/>
  <c r="L28" i="2"/>
  <c r="C28" i="2"/>
  <c r="M22" i="2"/>
  <c r="D22" i="2"/>
  <c r="E22" i="2"/>
  <c r="F22" i="2"/>
  <c r="G22" i="2"/>
  <c r="H22" i="2"/>
  <c r="I22" i="2"/>
  <c r="J22" i="2"/>
  <c r="K22" i="2"/>
  <c r="L22" i="2"/>
  <c r="C22" i="2"/>
  <c r="A22" i="2"/>
  <c r="M13" i="2"/>
  <c r="M14" i="2"/>
  <c r="M15" i="2"/>
  <c r="M16" i="2"/>
  <c r="M17" i="2"/>
  <c r="M18" i="2"/>
  <c r="M19" i="2"/>
  <c r="M20" i="2"/>
  <c r="M21" i="2"/>
  <c r="M12" i="2"/>
  <c r="M26" i="2"/>
  <c r="M27" i="2"/>
  <c r="B123" i="2"/>
  <c r="H123" i="2"/>
  <c r="E119" i="2"/>
  <c r="F119" i="2"/>
  <c r="G119" i="2"/>
  <c r="E117" i="2"/>
  <c r="F117" i="2"/>
  <c r="G117" i="2"/>
  <c r="E118" i="2"/>
  <c r="F118" i="2"/>
  <c r="G118" i="2"/>
  <c r="G123" i="2"/>
  <c r="I123" i="2"/>
  <c r="J123" i="2"/>
  <c r="K123" i="2"/>
  <c r="L123" i="2"/>
  <c r="F123" i="2"/>
  <c r="E123" i="2"/>
  <c r="D123" i="2"/>
  <c r="C123" i="2"/>
  <c r="B122" i="2"/>
  <c r="H122" i="2"/>
  <c r="G122" i="2"/>
  <c r="I122" i="2"/>
  <c r="J122" i="2"/>
  <c r="K122" i="2"/>
  <c r="L122" i="2"/>
  <c r="F122" i="2"/>
  <c r="E122" i="2"/>
  <c r="D122" i="2"/>
  <c r="C122" i="2"/>
  <c r="B121" i="2"/>
  <c r="H121" i="2"/>
  <c r="G121" i="2"/>
  <c r="I121" i="2"/>
  <c r="J121" i="2"/>
  <c r="K121" i="2"/>
  <c r="L121" i="2"/>
  <c r="F121" i="2"/>
  <c r="E121" i="2"/>
  <c r="D121" i="2"/>
  <c r="C121" i="2"/>
  <c r="B120" i="2"/>
  <c r="H120" i="2"/>
  <c r="G120" i="2"/>
  <c r="I120" i="2"/>
  <c r="K120" i="2"/>
  <c r="L120" i="2"/>
  <c r="F120" i="2"/>
  <c r="E120" i="2"/>
  <c r="D120" i="2"/>
  <c r="C120" i="2"/>
  <c r="D43" i="2"/>
  <c r="D12" i="2"/>
  <c r="D60" i="2"/>
  <c r="D15" i="2"/>
  <c r="D89" i="2"/>
  <c r="D17" i="2"/>
  <c r="D110" i="2"/>
  <c r="D19" i="2"/>
  <c r="D26" i="2"/>
  <c r="E34" i="2"/>
  <c r="E36" i="2"/>
  <c r="E43" i="2"/>
  <c r="E12" i="2"/>
  <c r="E50" i="2"/>
  <c r="E51" i="2"/>
  <c r="E52" i="2"/>
  <c r="E60" i="2"/>
  <c r="E15" i="2"/>
  <c r="E81" i="2"/>
  <c r="E89" i="2"/>
  <c r="E17" i="2"/>
  <c r="E96" i="2"/>
  <c r="E110" i="2"/>
  <c r="E19" i="2"/>
  <c r="E26" i="2"/>
  <c r="F34" i="2"/>
  <c r="F36" i="2"/>
  <c r="F43" i="2"/>
  <c r="F12" i="2"/>
  <c r="F50" i="2"/>
  <c r="F51" i="2"/>
  <c r="F52" i="2"/>
  <c r="F60" i="2"/>
  <c r="F15" i="2"/>
  <c r="F81" i="2"/>
  <c r="F89" i="2"/>
  <c r="F17" i="2"/>
  <c r="F96" i="2"/>
  <c r="F110" i="2"/>
  <c r="F19" i="2"/>
  <c r="F26" i="2"/>
  <c r="G34" i="2"/>
  <c r="G36" i="2"/>
  <c r="G43" i="2"/>
  <c r="G12" i="2"/>
  <c r="G50" i="2"/>
  <c r="G51" i="2"/>
  <c r="G52" i="2"/>
  <c r="G60" i="2"/>
  <c r="G15" i="2"/>
  <c r="G81" i="2"/>
  <c r="G89" i="2"/>
  <c r="G17" i="2"/>
  <c r="G96" i="2"/>
  <c r="G110" i="2"/>
  <c r="G19" i="2"/>
  <c r="G26" i="2"/>
  <c r="B43" i="2"/>
  <c r="H43" i="2"/>
  <c r="H12" i="2"/>
  <c r="B60" i="2"/>
  <c r="H60" i="2"/>
  <c r="H15" i="2"/>
  <c r="B89" i="2"/>
  <c r="H89" i="2"/>
  <c r="H17" i="2"/>
  <c r="B110" i="2"/>
  <c r="H110" i="2"/>
  <c r="H19" i="2"/>
  <c r="H26" i="2"/>
  <c r="I43" i="2"/>
  <c r="I12" i="2"/>
  <c r="I60" i="2"/>
  <c r="I15" i="2"/>
  <c r="I89" i="2"/>
  <c r="I17" i="2"/>
  <c r="I110" i="2"/>
  <c r="I19" i="2"/>
  <c r="I26" i="2"/>
  <c r="J43" i="2"/>
  <c r="J12" i="2"/>
  <c r="J60" i="2"/>
  <c r="J15" i="2"/>
  <c r="J89" i="2"/>
  <c r="J17" i="2"/>
  <c r="J110" i="2"/>
  <c r="J19" i="2"/>
  <c r="J26" i="2"/>
  <c r="K43" i="2"/>
  <c r="K12" i="2"/>
  <c r="K60" i="2"/>
  <c r="K15" i="2"/>
  <c r="K89" i="2"/>
  <c r="K17" i="2"/>
  <c r="K110" i="2"/>
  <c r="K19" i="2"/>
  <c r="K26" i="2"/>
  <c r="L43" i="2"/>
  <c r="L12" i="2"/>
  <c r="L60" i="2"/>
  <c r="L15" i="2"/>
  <c r="L89" i="2"/>
  <c r="L17" i="2"/>
  <c r="L110" i="2"/>
  <c r="L19" i="2"/>
  <c r="L26" i="2"/>
  <c r="D44" i="2"/>
  <c r="D13" i="2"/>
  <c r="D111" i="2"/>
  <c r="D20" i="2"/>
  <c r="D27" i="2"/>
  <c r="E35" i="2"/>
  <c r="E37" i="2"/>
  <c r="E38" i="2"/>
  <c r="E44" i="2"/>
  <c r="E13" i="2"/>
  <c r="E95" i="2"/>
  <c r="E108" i="2"/>
  <c r="E111" i="2"/>
  <c r="E20" i="2"/>
  <c r="E27" i="2"/>
  <c r="F35" i="2"/>
  <c r="F37" i="2"/>
  <c r="F38" i="2"/>
  <c r="F44" i="2"/>
  <c r="F13" i="2"/>
  <c r="F95" i="2"/>
  <c r="F108" i="2"/>
  <c r="F111" i="2"/>
  <c r="F20" i="2"/>
  <c r="F27" i="2"/>
  <c r="G35" i="2"/>
  <c r="G37" i="2"/>
  <c r="G38" i="2"/>
  <c r="G44" i="2"/>
  <c r="G13" i="2"/>
  <c r="G95" i="2"/>
  <c r="G108" i="2"/>
  <c r="G111" i="2"/>
  <c r="G20" i="2"/>
  <c r="G27" i="2"/>
  <c r="B44" i="2"/>
  <c r="H44" i="2"/>
  <c r="H13" i="2"/>
  <c r="B111" i="2"/>
  <c r="H111" i="2"/>
  <c r="H20" i="2"/>
  <c r="H27" i="2"/>
  <c r="I44" i="2"/>
  <c r="I13" i="2"/>
  <c r="I111" i="2"/>
  <c r="I20" i="2"/>
  <c r="I27" i="2"/>
  <c r="J44" i="2"/>
  <c r="J13" i="2"/>
  <c r="J111" i="2"/>
  <c r="J20" i="2"/>
  <c r="J27" i="2"/>
  <c r="K44" i="2"/>
  <c r="K13" i="2"/>
  <c r="K111" i="2"/>
  <c r="K20" i="2"/>
  <c r="K27" i="2"/>
  <c r="L44" i="2"/>
  <c r="L13" i="2"/>
  <c r="L111" i="2"/>
  <c r="L20" i="2"/>
  <c r="L27" i="2"/>
  <c r="D45" i="2"/>
  <c r="D14" i="2"/>
  <c r="D62" i="2"/>
  <c r="D16" i="2"/>
  <c r="D91" i="2"/>
  <c r="D18" i="2"/>
  <c r="D112" i="2"/>
  <c r="D21" i="2"/>
  <c r="E39" i="2"/>
  <c r="E40" i="2"/>
  <c r="E41" i="2"/>
  <c r="E45" i="2"/>
  <c r="E14" i="2"/>
  <c r="E53" i="2"/>
  <c r="E54" i="2"/>
  <c r="E55" i="2"/>
  <c r="E56" i="2"/>
  <c r="E57" i="2"/>
  <c r="E58" i="2"/>
  <c r="E62" i="2"/>
  <c r="E16" i="2"/>
  <c r="E67" i="2"/>
  <c r="E68" i="2"/>
  <c r="E69" i="2"/>
  <c r="E70" i="2"/>
  <c r="E71" i="2"/>
  <c r="E72" i="2"/>
  <c r="E73" i="2"/>
  <c r="E74" i="2"/>
  <c r="E75" i="2"/>
  <c r="E76" i="2"/>
  <c r="E77" i="2"/>
  <c r="E78" i="2"/>
  <c r="E79" i="2"/>
  <c r="E80" i="2"/>
  <c r="E82" i="2"/>
  <c r="E83" i="2"/>
  <c r="E84" i="2"/>
  <c r="E85" i="2"/>
  <c r="E86" i="2"/>
  <c r="E87" i="2"/>
  <c r="E91" i="2"/>
  <c r="E18" i="2"/>
  <c r="E97" i="2"/>
  <c r="E98" i="2"/>
  <c r="E99" i="2"/>
  <c r="E100" i="2"/>
  <c r="E101" i="2"/>
  <c r="E102" i="2"/>
  <c r="E103" i="2"/>
  <c r="E104" i="2"/>
  <c r="E105" i="2"/>
  <c r="E106" i="2"/>
  <c r="E107" i="2"/>
  <c r="E112" i="2"/>
  <c r="E21" i="2"/>
  <c r="F39" i="2"/>
  <c r="F40" i="2"/>
  <c r="F41" i="2"/>
  <c r="F45" i="2"/>
  <c r="F14" i="2"/>
  <c r="F53" i="2"/>
  <c r="F54" i="2"/>
  <c r="F55" i="2"/>
  <c r="F56" i="2"/>
  <c r="F57" i="2"/>
  <c r="F58" i="2"/>
  <c r="F62" i="2"/>
  <c r="F16" i="2"/>
  <c r="F67" i="2"/>
  <c r="F68" i="2"/>
  <c r="F69" i="2"/>
  <c r="F70" i="2"/>
  <c r="F71" i="2"/>
  <c r="F72" i="2"/>
  <c r="F73" i="2"/>
  <c r="F74" i="2"/>
  <c r="F75" i="2"/>
  <c r="F76" i="2"/>
  <c r="F77" i="2"/>
  <c r="F78" i="2"/>
  <c r="F79" i="2"/>
  <c r="F80" i="2"/>
  <c r="F82" i="2"/>
  <c r="F83" i="2"/>
  <c r="F84" i="2"/>
  <c r="F85" i="2"/>
  <c r="F86" i="2"/>
  <c r="F87" i="2"/>
  <c r="F91" i="2"/>
  <c r="F18" i="2"/>
  <c r="F97" i="2"/>
  <c r="F98" i="2"/>
  <c r="F99" i="2"/>
  <c r="F100" i="2"/>
  <c r="F101" i="2"/>
  <c r="F102" i="2"/>
  <c r="F103" i="2"/>
  <c r="F104" i="2"/>
  <c r="F105" i="2"/>
  <c r="F106" i="2"/>
  <c r="F107" i="2"/>
  <c r="F112" i="2"/>
  <c r="F21" i="2"/>
  <c r="G39" i="2"/>
  <c r="G40" i="2"/>
  <c r="G41" i="2"/>
  <c r="G45" i="2"/>
  <c r="G14" i="2"/>
  <c r="G53" i="2"/>
  <c r="G54" i="2"/>
  <c r="G55" i="2"/>
  <c r="G56" i="2"/>
  <c r="G57" i="2"/>
  <c r="G58" i="2"/>
  <c r="G62" i="2"/>
  <c r="G16" i="2"/>
  <c r="G67" i="2"/>
  <c r="G68" i="2"/>
  <c r="G69" i="2"/>
  <c r="G70" i="2"/>
  <c r="G71" i="2"/>
  <c r="G72" i="2"/>
  <c r="G73" i="2"/>
  <c r="G74" i="2"/>
  <c r="G75" i="2"/>
  <c r="G76" i="2"/>
  <c r="G77" i="2"/>
  <c r="G78" i="2"/>
  <c r="G79" i="2"/>
  <c r="G80" i="2"/>
  <c r="G82" i="2"/>
  <c r="G83" i="2"/>
  <c r="G84" i="2"/>
  <c r="G85" i="2"/>
  <c r="G86" i="2"/>
  <c r="G87" i="2"/>
  <c r="G91" i="2"/>
  <c r="G18" i="2"/>
  <c r="G97" i="2"/>
  <c r="G98" i="2"/>
  <c r="G99" i="2"/>
  <c r="G100" i="2"/>
  <c r="G101" i="2"/>
  <c r="G102" i="2"/>
  <c r="G103" i="2"/>
  <c r="G104" i="2"/>
  <c r="G105" i="2"/>
  <c r="G106" i="2"/>
  <c r="G107" i="2"/>
  <c r="G112" i="2"/>
  <c r="G21" i="2"/>
  <c r="B45" i="2"/>
  <c r="H45" i="2"/>
  <c r="H14" i="2"/>
  <c r="B62" i="2"/>
  <c r="H62" i="2"/>
  <c r="H16" i="2"/>
  <c r="B91" i="2"/>
  <c r="H91" i="2"/>
  <c r="H18" i="2"/>
  <c r="B112" i="2"/>
  <c r="H112" i="2"/>
  <c r="H21" i="2"/>
  <c r="I45" i="2"/>
  <c r="I14" i="2"/>
  <c r="I62" i="2"/>
  <c r="I16" i="2"/>
  <c r="I91" i="2"/>
  <c r="I18" i="2"/>
  <c r="I112" i="2"/>
  <c r="I21" i="2"/>
  <c r="J45" i="2"/>
  <c r="J14" i="2"/>
  <c r="J62" i="2"/>
  <c r="J16" i="2"/>
  <c r="J91" i="2"/>
  <c r="J18" i="2"/>
  <c r="J112" i="2"/>
  <c r="J21" i="2"/>
  <c r="K45" i="2"/>
  <c r="K14" i="2"/>
  <c r="K62" i="2"/>
  <c r="K16" i="2"/>
  <c r="K91" i="2"/>
  <c r="K18" i="2"/>
  <c r="K112" i="2"/>
  <c r="K21" i="2"/>
  <c r="L45" i="2"/>
  <c r="L14" i="2"/>
  <c r="L62" i="2"/>
  <c r="L16" i="2"/>
  <c r="L91" i="2"/>
  <c r="L18" i="2"/>
  <c r="L112" i="2"/>
  <c r="L21" i="2"/>
  <c r="C45" i="2"/>
  <c r="C14" i="2"/>
  <c r="C62" i="2"/>
  <c r="C16" i="2"/>
  <c r="C91" i="2"/>
  <c r="C18" i="2"/>
  <c r="C112" i="2"/>
  <c r="C21" i="2"/>
  <c r="C43" i="2"/>
  <c r="C12" i="2"/>
  <c r="C60" i="2"/>
  <c r="C15" i="2"/>
  <c r="C89" i="2"/>
  <c r="C17" i="2"/>
  <c r="C110" i="2"/>
  <c r="C19" i="2"/>
  <c r="C26" i="2"/>
  <c r="C44" i="2"/>
  <c r="C13" i="2"/>
  <c r="C111" i="2"/>
  <c r="C20" i="2"/>
  <c r="C27" i="2"/>
  <c r="A19" i="2"/>
  <c r="B109" i="2"/>
  <c r="H109" i="2"/>
  <c r="G109" i="2"/>
  <c r="I109" i="2"/>
  <c r="K109" i="2"/>
  <c r="L109" i="2"/>
  <c r="F109" i="2"/>
  <c r="E109" i="2"/>
  <c r="D109" i="2"/>
  <c r="C109" i="2"/>
  <c r="A17" i="2"/>
  <c r="A15" i="2"/>
  <c r="A12" i="2"/>
  <c r="P14" i="2"/>
  <c r="J90" i="2"/>
  <c r="J61" i="2"/>
  <c r="B90" i="2"/>
  <c r="H90" i="2"/>
  <c r="G90" i="2"/>
  <c r="I90" i="2"/>
  <c r="K90" i="2"/>
  <c r="L90" i="2"/>
  <c r="F90" i="2"/>
  <c r="E90" i="2"/>
  <c r="D90" i="2"/>
  <c r="C90" i="2"/>
  <c r="B88" i="2"/>
  <c r="H88" i="2"/>
  <c r="G88" i="2"/>
  <c r="I88" i="2"/>
  <c r="K88" i="2"/>
  <c r="L88" i="2"/>
  <c r="F88" i="2"/>
  <c r="E88" i="2"/>
  <c r="D88" i="2"/>
  <c r="C88" i="2"/>
  <c r="J19" i="8"/>
  <c r="L83" i="1"/>
  <c r="L65" i="1"/>
  <c r="L45" i="1"/>
  <c r="P12" i="2"/>
  <c r="B59" i="10"/>
  <c r="H59" i="10"/>
  <c r="E41" i="10"/>
  <c r="F41" i="10"/>
  <c r="G41" i="10"/>
  <c r="E42" i="10"/>
  <c r="F42" i="10"/>
  <c r="G42" i="10"/>
  <c r="E43" i="10"/>
  <c r="F43" i="10"/>
  <c r="G43" i="10"/>
  <c r="E44" i="10"/>
  <c r="F44" i="10"/>
  <c r="G44" i="10"/>
  <c r="F38" i="10"/>
  <c r="G38" i="10"/>
  <c r="E39" i="10"/>
  <c r="F39" i="10"/>
  <c r="G39" i="10"/>
  <c r="F40" i="10"/>
  <c r="G40" i="10"/>
  <c r="E45" i="10"/>
  <c r="F45" i="10"/>
  <c r="G45" i="10"/>
  <c r="E46" i="10"/>
  <c r="F46" i="10"/>
  <c r="G46" i="10"/>
  <c r="E47" i="10"/>
  <c r="F47" i="10"/>
  <c r="G47" i="10"/>
  <c r="F51" i="10"/>
  <c r="G51" i="10"/>
  <c r="E52" i="10"/>
  <c r="F52" i="10"/>
  <c r="G52" i="10"/>
  <c r="E53" i="10"/>
  <c r="F53" i="10"/>
  <c r="G53" i="10"/>
  <c r="E54" i="10"/>
  <c r="F54" i="10"/>
  <c r="G54" i="10"/>
  <c r="E55" i="10"/>
  <c r="F55" i="10"/>
  <c r="G55" i="10"/>
  <c r="G59" i="10"/>
  <c r="I59" i="10"/>
  <c r="K59" i="10"/>
  <c r="L59" i="10"/>
  <c r="F59" i="10"/>
  <c r="E59" i="10"/>
  <c r="D59" i="10"/>
  <c r="C59" i="10"/>
  <c r="B58" i="10"/>
  <c r="H58" i="10"/>
  <c r="G58" i="10"/>
  <c r="I58" i="10"/>
  <c r="K58" i="10"/>
  <c r="L58" i="10"/>
  <c r="F58" i="10"/>
  <c r="D58" i="10"/>
  <c r="C58" i="10"/>
  <c r="B57" i="10"/>
  <c r="H57" i="10"/>
  <c r="G57" i="10"/>
  <c r="K57" i="10"/>
  <c r="L57" i="10"/>
  <c r="F57" i="10"/>
  <c r="E57" i="10"/>
  <c r="C57" i="10"/>
  <c r="B56" i="10"/>
  <c r="H56" i="10"/>
  <c r="G56" i="10"/>
  <c r="I56" i="10"/>
  <c r="K56" i="10"/>
  <c r="L56" i="10"/>
  <c r="F56" i="10"/>
  <c r="E56" i="10"/>
  <c r="D56" i="10"/>
  <c r="C56" i="10"/>
  <c r="B61" i="2"/>
  <c r="H61" i="2"/>
  <c r="G61" i="2"/>
  <c r="I61" i="2"/>
  <c r="K61" i="2"/>
  <c r="L61" i="2"/>
  <c r="F61" i="2"/>
  <c r="E61" i="2"/>
  <c r="D61" i="2"/>
  <c r="C61" i="2"/>
  <c r="B59" i="2"/>
  <c r="H59" i="2"/>
  <c r="G59" i="2"/>
  <c r="I59" i="2"/>
  <c r="K59" i="2"/>
  <c r="L59" i="2"/>
  <c r="F59" i="2"/>
  <c r="E59" i="2"/>
  <c r="D59" i="2"/>
  <c r="C59" i="2"/>
  <c r="G42" i="2"/>
  <c r="F42" i="2"/>
  <c r="E42" i="2"/>
  <c r="D42" i="2"/>
  <c r="C42" i="2"/>
  <c r="I19" i="8"/>
  <c r="E7" i="8"/>
  <c r="F7" i="8"/>
  <c r="K19" i="8"/>
  <c r="G7" i="8"/>
  <c r="B17" i="1"/>
  <c r="C17" i="1"/>
  <c r="D17" i="1"/>
  <c r="E17" i="1"/>
  <c r="F17" i="1"/>
  <c r="G17" i="1"/>
  <c r="H17" i="1"/>
  <c r="I17" i="1"/>
  <c r="J17" i="1"/>
  <c r="K17" i="1"/>
  <c r="L17" i="1"/>
  <c r="M17" i="1"/>
  <c r="A17" i="1"/>
  <c r="J83" i="1"/>
  <c r="K83" i="1"/>
  <c r="M83" i="1"/>
  <c r="H83" i="1"/>
  <c r="C83" i="1"/>
  <c r="D83" i="1"/>
  <c r="E83" i="1"/>
  <c r="F83" i="1"/>
  <c r="B83" i="1"/>
  <c r="D70" i="1"/>
  <c r="E70" i="1"/>
  <c r="F70" i="1"/>
  <c r="D71" i="1"/>
  <c r="E71" i="1"/>
  <c r="F71" i="1"/>
  <c r="D72" i="1"/>
  <c r="E72" i="1"/>
  <c r="F72" i="1"/>
  <c r="D73" i="1"/>
  <c r="E73" i="1"/>
  <c r="F73" i="1"/>
  <c r="D74" i="1"/>
  <c r="E74" i="1"/>
  <c r="F74" i="1"/>
  <c r="D75" i="1"/>
  <c r="E75" i="1"/>
  <c r="F75" i="1"/>
  <c r="D76" i="1"/>
  <c r="E76" i="1"/>
  <c r="F76" i="1"/>
  <c r="D77" i="1"/>
  <c r="E77" i="1"/>
  <c r="F77" i="1"/>
  <c r="D78" i="1"/>
  <c r="E78" i="1"/>
  <c r="F78" i="1"/>
  <c r="D79" i="1"/>
  <c r="E79" i="1"/>
  <c r="F79" i="1"/>
  <c r="D80" i="1"/>
  <c r="E80" i="1"/>
  <c r="F80" i="1"/>
  <c r="D81" i="1"/>
  <c r="E81" i="1"/>
  <c r="F81" i="1"/>
  <c r="D82" i="1"/>
  <c r="E82" i="1"/>
  <c r="F82" i="1"/>
  <c r="D69" i="1"/>
  <c r="E69" i="1"/>
  <c r="F69" i="1"/>
  <c r="B16" i="1"/>
  <c r="C16" i="1"/>
  <c r="D16" i="1"/>
  <c r="E16" i="1"/>
  <c r="F16" i="1"/>
  <c r="G16" i="1"/>
  <c r="H65" i="1"/>
  <c r="H16" i="1"/>
  <c r="I16" i="1"/>
  <c r="J65" i="1"/>
  <c r="J16" i="1"/>
  <c r="K65" i="1"/>
  <c r="K16" i="1"/>
  <c r="L16" i="1"/>
  <c r="M65" i="1"/>
  <c r="M16" i="1"/>
  <c r="A16" i="1"/>
  <c r="B65" i="1"/>
  <c r="F65" i="1"/>
  <c r="E65" i="1"/>
  <c r="D65" i="1"/>
  <c r="C65" i="1"/>
  <c r="D50" i="1"/>
  <c r="E50" i="1"/>
  <c r="F50" i="1"/>
  <c r="D51" i="1"/>
  <c r="E51" i="1"/>
  <c r="F51" i="1"/>
  <c r="D52" i="1"/>
  <c r="E52" i="1"/>
  <c r="F52" i="1"/>
  <c r="D53" i="1"/>
  <c r="E53" i="1"/>
  <c r="F53" i="1"/>
  <c r="D54" i="1"/>
  <c r="E54" i="1"/>
  <c r="F54" i="1"/>
  <c r="D55" i="1"/>
  <c r="E55" i="1"/>
  <c r="F55" i="1"/>
  <c r="D56" i="1"/>
  <c r="E56" i="1"/>
  <c r="F56" i="1"/>
  <c r="D57" i="1"/>
  <c r="E57" i="1"/>
  <c r="F57" i="1"/>
  <c r="D58" i="1"/>
  <c r="E58" i="1"/>
  <c r="F58" i="1"/>
  <c r="D59" i="1"/>
  <c r="E59" i="1"/>
  <c r="F59" i="1"/>
  <c r="D60" i="1"/>
  <c r="E60" i="1"/>
  <c r="F60" i="1"/>
  <c r="D61" i="1"/>
  <c r="E61" i="1"/>
  <c r="F61" i="1"/>
  <c r="D62" i="1"/>
  <c r="E62" i="1"/>
  <c r="F62" i="1"/>
  <c r="D63" i="1"/>
  <c r="E63" i="1"/>
  <c r="F63" i="1"/>
  <c r="D64" i="1"/>
  <c r="E64" i="1"/>
  <c r="F64" i="1"/>
  <c r="D49" i="1"/>
  <c r="E49" i="1"/>
  <c r="F49" i="1"/>
  <c r="B23" i="1"/>
  <c r="B15" i="1"/>
  <c r="C15" i="1"/>
  <c r="D15" i="1"/>
  <c r="E15" i="1"/>
  <c r="F15" i="1"/>
  <c r="G15" i="1"/>
  <c r="H15" i="1"/>
  <c r="I15" i="1"/>
  <c r="J15" i="1"/>
  <c r="K15" i="1"/>
  <c r="L15" i="1"/>
  <c r="M15" i="1"/>
  <c r="A15" i="1"/>
  <c r="M45" i="1"/>
  <c r="K45" i="1"/>
  <c r="J45" i="1"/>
  <c r="H45" i="1"/>
  <c r="C45" i="1"/>
  <c r="D45" i="1"/>
  <c r="E45" i="1"/>
  <c r="F45" i="1"/>
  <c r="B45" i="1"/>
  <c r="F30" i="1"/>
  <c r="F31" i="1"/>
  <c r="F32" i="1"/>
  <c r="F33" i="1"/>
  <c r="F34" i="1"/>
  <c r="F35" i="1"/>
  <c r="F36" i="1"/>
  <c r="F37" i="1"/>
  <c r="F38" i="1"/>
  <c r="F39" i="1"/>
  <c r="F40" i="1"/>
  <c r="F41" i="1"/>
  <c r="F42" i="1"/>
  <c r="F43" i="1"/>
  <c r="F44" i="1"/>
  <c r="F29" i="1"/>
  <c r="D31" i="1"/>
  <c r="E31" i="1"/>
  <c r="D32" i="1"/>
  <c r="E32" i="1"/>
  <c r="D33" i="1"/>
  <c r="E33" i="1"/>
  <c r="D34" i="1"/>
  <c r="E34" i="1"/>
  <c r="D35" i="1"/>
  <c r="E35" i="1"/>
  <c r="D36" i="1"/>
  <c r="E36" i="1"/>
  <c r="D37" i="1"/>
  <c r="E37" i="1"/>
  <c r="D38" i="1"/>
  <c r="E38" i="1"/>
  <c r="D39" i="1"/>
  <c r="E39" i="1"/>
  <c r="D40" i="1"/>
  <c r="E40" i="1"/>
  <c r="D41" i="1"/>
  <c r="E41" i="1"/>
  <c r="D42" i="1"/>
  <c r="E42" i="1"/>
  <c r="D43" i="1"/>
  <c r="E43" i="1"/>
  <c r="D44" i="1"/>
  <c r="E44" i="1"/>
  <c r="E30" i="1"/>
  <c r="D30" i="1"/>
  <c r="E29" i="1"/>
  <c r="D29" i="1"/>
  <c r="B42" i="2"/>
  <c r="H42" i="2"/>
  <c r="I42" i="2"/>
  <c r="K42" i="2"/>
  <c r="L42" i="2"/>
  <c r="J23" i="1"/>
  <c r="Q20" i="2"/>
  <c r="R20" i="2"/>
  <c r="G12" i="4"/>
  <c r="B29" i="3"/>
  <c r="E20" i="3"/>
  <c r="E21" i="3"/>
  <c r="M9" i="4"/>
  <c r="C21" i="3"/>
  <c r="J9" i="4"/>
  <c r="J10" i="4"/>
  <c r="D12" i="4"/>
  <c r="G12" i="9"/>
  <c r="D12" i="9"/>
  <c r="D21" i="3"/>
  <c r="M23" i="1"/>
  <c r="D15" i="5"/>
  <c r="I8" i="11"/>
  <c r="I15" i="11"/>
  <c r="I16" i="11"/>
  <c r="I17" i="11"/>
  <c r="I18" i="11"/>
  <c r="I9" i="11"/>
  <c r="I14" i="11"/>
  <c r="K18" i="11"/>
  <c r="G24" i="7"/>
  <c r="F24" i="7"/>
  <c r="G21" i="7"/>
  <c r="F21" i="7"/>
  <c r="G20" i="7"/>
  <c r="F20" i="7"/>
  <c r="E12" i="9"/>
  <c r="G15" i="7"/>
  <c r="F15" i="7"/>
  <c r="G19" i="7"/>
  <c r="F19" i="7"/>
  <c r="G12" i="7"/>
  <c r="F12" i="7"/>
  <c r="G11" i="7"/>
  <c r="F11" i="7"/>
  <c r="G10" i="7"/>
  <c r="F10" i="7"/>
  <c r="G9" i="7"/>
  <c r="F9" i="7"/>
  <c r="P9" i="4"/>
  <c r="P12" i="4"/>
  <c r="N9" i="4"/>
  <c r="O9" i="4"/>
  <c r="O12" i="4"/>
  <c r="N12" i="4"/>
  <c r="K9" i="4"/>
  <c r="L9" i="4"/>
  <c r="K10" i="4"/>
  <c r="L10" i="4"/>
  <c r="L12" i="4"/>
  <c r="K12" i="4"/>
  <c r="H12" i="4"/>
  <c r="I12" i="4"/>
  <c r="F12" i="4"/>
  <c r="C12" i="4"/>
  <c r="E12" i="4"/>
  <c r="B12" i="4"/>
  <c r="L23" i="1"/>
  <c r="G23" i="1"/>
  <c r="H23" i="1"/>
  <c r="I23" i="1"/>
  <c r="K23" i="1"/>
  <c r="F23" i="1"/>
  <c r="D23" i="1"/>
  <c r="N10" i="7"/>
  <c r="N11" i="7"/>
  <c r="N12" i="7"/>
  <c r="N13" i="7"/>
  <c r="N15" i="7"/>
  <c r="N17" i="7"/>
  <c r="N19" i="7"/>
  <c r="N20" i="7"/>
  <c r="N21" i="7"/>
  <c r="N24" i="7"/>
</calcChain>
</file>

<file path=xl/comments1.xml><?xml version="1.0" encoding="utf-8"?>
<comments xmlns="http://schemas.openxmlformats.org/spreadsheetml/2006/main">
  <authors>
    <author>Danielle Ludeman</author>
    <author>Gitai Yahel</author>
  </authors>
  <commentList>
    <comment ref="D15" authorId="0">
      <text>
        <r>
          <rPr>
            <b/>
            <sz val="9"/>
            <color indexed="81"/>
            <rFont val="Calibri"/>
            <family val="2"/>
          </rPr>
          <t>Danielle Ludeman:</t>
        </r>
        <r>
          <rPr>
            <sz val="9"/>
            <color indexed="81"/>
            <rFont val="Calibri"/>
            <family val="2"/>
          </rPr>
          <t xml:space="preserve">
Wall thickness is 3mm.  Therefore the cube dimensions are 5.77x5.77x3mm</t>
        </r>
      </text>
    </comment>
    <comment ref="E15" authorId="1">
      <text>
        <r>
          <rPr>
            <b/>
            <sz val="9"/>
            <color indexed="81"/>
            <rFont val="Tahoma"/>
            <family val="2"/>
          </rPr>
          <t>Danielle:</t>
        </r>
        <r>
          <rPr>
            <sz val="9"/>
            <color indexed="81"/>
            <rFont val="Tahoma"/>
            <family val="2"/>
          </rPr>
          <t xml:space="preserve">
Seawater at 30 psu, 30 degC</t>
        </r>
      </text>
    </comment>
    <comment ref="H15" authorId="0">
      <text>
        <r>
          <rPr>
            <b/>
            <sz val="9"/>
            <color indexed="81"/>
            <rFont val="Calibri"/>
            <family val="2"/>
          </rPr>
          <t>Danielle Ludeman:</t>
        </r>
        <r>
          <rPr>
            <sz val="9"/>
            <color indexed="81"/>
            <rFont val="Calibri"/>
            <family val="2"/>
          </rPr>
          <t xml:space="preserve">
For seawater at 30
 degrees
</t>
        </r>
      </text>
    </comment>
    <comment ref="I16" authorId="1">
      <text>
        <r>
          <rPr>
            <b/>
            <sz val="9"/>
            <color indexed="81"/>
            <rFont val="Tahoma"/>
            <family val="2"/>
          </rPr>
          <t>Gitai Yahel:</t>
        </r>
        <r>
          <rPr>
            <sz val="9"/>
            <color indexed="81"/>
            <rFont val="Tahoma"/>
            <family val="2"/>
          </rPr>
          <t xml:space="preserve">
From inactive sponge in figures 5D. We amy change this number later</t>
        </r>
      </text>
    </comment>
    <comment ref="K22" authorId="0">
      <text>
        <r>
          <rPr>
            <b/>
            <sz val="9"/>
            <color indexed="81"/>
            <rFont val="Calibri"/>
            <family val="2"/>
          </rPr>
          <t>Danielle Ludeman:</t>
        </r>
        <r>
          <rPr>
            <sz val="9"/>
            <color indexed="81"/>
            <rFont val="Calibri"/>
            <family val="2"/>
          </rPr>
          <t xml:space="preserve">
Using equation by Reiswig 1975:
Effective Excurrent velocity / (fraction inhalent surface of region/fraction inhalent surface of osculum)
</t>
        </r>
      </text>
    </comment>
    <comment ref="D32" authorId="0">
      <text>
        <r>
          <rPr>
            <b/>
            <sz val="9"/>
            <color indexed="81"/>
            <rFont val="Calibri"/>
            <family val="2"/>
          </rPr>
          <t>Danielle Ludeman:</t>
        </r>
        <r>
          <rPr>
            <sz val="9"/>
            <color indexed="81"/>
            <rFont val="Calibri"/>
            <family val="2"/>
          </rPr>
          <t xml:space="preserve">
Path length is diameter in chambers
</t>
        </r>
      </text>
    </comment>
    <comment ref="K37" authorId="0">
      <text>
        <r>
          <rPr>
            <b/>
            <sz val="9"/>
            <color indexed="81"/>
            <rFont val="Calibri"/>
            <family val="2"/>
          </rPr>
          <t>Danielle Ludeman:</t>
        </r>
        <r>
          <rPr>
            <sz val="9"/>
            <color indexed="81"/>
            <rFont val="Calibri"/>
            <family val="2"/>
          </rPr>
          <t xml:space="preserve">
Effective oscular plane is 58% of velocity as per Reiswig 1975</t>
        </r>
      </text>
    </comment>
    <comment ref="A45" authorId="0">
      <text>
        <r>
          <rPr>
            <b/>
            <sz val="9"/>
            <color indexed="81"/>
            <rFont val="Calibri"/>
            <family val="2"/>
          </rPr>
          <t>Danielle Ludeman:</t>
        </r>
        <r>
          <rPr>
            <sz val="9"/>
            <color indexed="81"/>
            <rFont val="Calibri"/>
            <family val="2"/>
          </rPr>
          <t xml:space="preserve">
From Riisgard et al 1993 MEPS 96, pg 185.  Also in Riisgard 1988 - The ascidian pump
</t>
        </r>
      </text>
    </comment>
  </commentList>
</comments>
</file>

<file path=xl/comments2.xml><?xml version="1.0" encoding="utf-8"?>
<comments xmlns="http://schemas.openxmlformats.org/spreadsheetml/2006/main">
  <authors>
    <author>Danielle Ludeman</author>
  </authors>
  <commentList>
    <comment ref="L14"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28"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L48"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 ref="I65" authorId="0">
      <text>
        <r>
          <rPr>
            <b/>
            <sz val="9"/>
            <color indexed="81"/>
            <rFont val="Calibri"/>
            <family val="2"/>
          </rPr>
          <t>Danielle Ludeman:</t>
        </r>
        <r>
          <rPr>
            <sz val="9"/>
            <color indexed="81"/>
            <rFont val="Calibri"/>
            <family val="2"/>
          </rPr>
          <t xml:space="preserve">
Calculated area of sponge in image</t>
        </r>
      </text>
    </comment>
    <comment ref="L68"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List>
</comments>
</file>

<file path=xl/comments3.xml><?xml version="1.0" encoding="utf-8"?>
<comments xmlns="http://schemas.openxmlformats.org/spreadsheetml/2006/main">
  <authors>
    <author>Sally</author>
  </authors>
  <commentList>
    <comment ref="B10" authorId="0">
      <text>
        <r>
          <rPr>
            <b/>
            <sz val="9"/>
            <color indexed="81"/>
            <rFont val="Tahoma"/>
            <family val="2"/>
          </rPr>
          <t>Sally:</t>
        </r>
        <r>
          <rPr>
            <sz val="9"/>
            <color indexed="81"/>
            <rFont val="Tahoma"/>
            <family val="2"/>
          </rPr>
          <t xml:space="preserve">
(dist from dermal membrane to incurrent canal)</t>
        </r>
      </text>
    </comment>
    <comment ref="H10" authorId="0">
      <text>
        <r>
          <rPr>
            <b/>
            <sz val="9"/>
            <color indexed="81"/>
            <rFont val="Tahoma"/>
            <family val="2"/>
          </rPr>
          <t>Sally:</t>
        </r>
        <r>
          <rPr>
            <sz val="9"/>
            <color indexed="81"/>
            <rFont val="Tahoma"/>
            <family val="2"/>
          </rPr>
          <t xml:space="preserve">
this is in 1mm^2</t>
        </r>
      </text>
    </comment>
    <comment ref="J10" authorId="0">
      <text>
        <r>
          <rPr>
            <b/>
            <sz val="9"/>
            <color indexed="81"/>
            <rFont val="Tahoma"/>
            <family val="2"/>
          </rPr>
          <t>Sally:</t>
        </r>
        <r>
          <rPr>
            <sz val="9"/>
            <color indexed="81"/>
            <rFont val="Tahoma"/>
            <family val="2"/>
          </rPr>
          <t xml:space="preserve">
this is in 20.25mm^2</t>
        </r>
      </text>
    </comment>
    <comment ref="K10" authorId="0">
      <text>
        <r>
          <rPr>
            <b/>
            <sz val="9"/>
            <color indexed="81"/>
            <rFont val="Tahoma"/>
            <family val="2"/>
          </rPr>
          <t>Sally:</t>
        </r>
        <r>
          <rPr>
            <sz val="9"/>
            <color indexed="81"/>
            <rFont val="Tahoma"/>
            <family val="2"/>
          </rPr>
          <t xml:space="preserve">
this is in effect in 1mm^2</t>
        </r>
      </text>
    </comment>
  </commentList>
</comments>
</file>

<file path=xl/comments4.xml><?xml version="1.0" encoding="utf-8"?>
<comments xmlns="http://schemas.openxmlformats.org/spreadsheetml/2006/main">
  <authors>
    <author>Danielle Ludeman</author>
  </authors>
  <commentList>
    <comment ref="S20" authorId="0">
      <text>
        <r>
          <rPr>
            <b/>
            <sz val="9"/>
            <color indexed="81"/>
            <rFont val="Calibri"/>
            <family val="2"/>
          </rPr>
          <t>Danielle Ludeman:</t>
        </r>
        <r>
          <rPr>
            <sz val="9"/>
            <color indexed="81"/>
            <rFont val="Calibri"/>
            <family val="2"/>
          </rPr>
          <t xml:space="preserve">
Small excurrent canals are more like apertures that open right up into the lacunar spaces
</t>
        </r>
      </text>
    </comment>
    <comment ref="M28" authorId="0">
      <text>
        <r>
          <rPr>
            <b/>
            <sz val="9"/>
            <color indexed="81"/>
            <rFont val="Calibri"/>
            <family val="2"/>
          </rPr>
          <t>Danielle Ludeman:</t>
        </r>
        <r>
          <rPr>
            <sz val="9"/>
            <color indexed="81"/>
            <rFont val="Calibri"/>
            <family val="2"/>
          </rPr>
          <t xml:space="preserve">
Cv-bw-22 overestimates the percent of canals but including in the analysis anyways because the other images greatly underestimate (most I cannot see the smallest incurent enough to measure</t>
        </r>
      </text>
    </comment>
    <comment ref="I43" authorId="0">
      <text>
        <r>
          <rPr>
            <b/>
            <sz val="9"/>
            <color indexed="81"/>
            <rFont val="Calibri"/>
            <family val="2"/>
          </rPr>
          <t>Danielle Ludeman:</t>
        </r>
        <r>
          <rPr>
            <sz val="9"/>
            <color indexed="81"/>
            <rFont val="Calibri"/>
            <family val="2"/>
          </rPr>
          <t xml:space="preserve">
To account for canals running along the image
</t>
        </r>
      </text>
    </comment>
    <comment ref="I44" authorId="0">
      <text>
        <r>
          <rPr>
            <b/>
            <sz val="9"/>
            <color indexed="81"/>
            <rFont val="Calibri"/>
            <family val="2"/>
          </rPr>
          <t>Danielle Ludeman:</t>
        </r>
        <r>
          <rPr>
            <sz val="9"/>
            <color indexed="81"/>
            <rFont val="Calibri"/>
            <family val="2"/>
          </rPr>
          <t xml:space="preserve">
To account for canals running along the image</t>
        </r>
      </text>
    </comment>
    <comment ref="I60" authorId="0">
      <text>
        <r>
          <rPr>
            <b/>
            <sz val="9"/>
            <color indexed="81"/>
            <rFont val="Calibri"/>
            <family val="2"/>
          </rPr>
          <t>Danielle Ludeman:</t>
        </r>
        <r>
          <rPr>
            <sz val="9"/>
            <color indexed="81"/>
            <rFont val="Calibri"/>
            <family val="2"/>
          </rPr>
          <t xml:space="preserve">
accouting for large path length in the image
</t>
        </r>
      </text>
    </comment>
    <comment ref="L123" authorId="0">
      <text>
        <r>
          <rPr>
            <b/>
            <sz val="9"/>
            <color indexed="81"/>
            <rFont val="Calibri"/>
            <family val="2"/>
          </rPr>
          <t>Danielle Ludeman:</t>
        </r>
        <r>
          <rPr>
            <sz val="9"/>
            <color indexed="81"/>
            <rFont val="Calibri"/>
            <family val="2"/>
          </rPr>
          <t xml:space="preserve">
Of surface of large and medium incurrent canals
</t>
        </r>
      </text>
    </comment>
  </commentList>
</comments>
</file>

<file path=xl/comments5.xml><?xml version="1.0" encoding="utf-8"?>
<comments xmlns="http://schemas.openxmlformats.org/spreadsheetml/2006/main">
  <authors>
    <author>Danielle Ludeman</author>
  </authors>
  <commentList>
    <comment ref="I13" authorId="0">
      <text>
        <r>
          <rPr>
            <b/>
            <sz val="9"/>
            <color indexed="81"/>
            <rFont val="Calibri"/>
            <family val="2"/>
          </rPr>
          <t>Danielle Ludeman:</t>
        </r>
        <r>
          <rPr>
            <sz val="9"/>
            <color indexed="81"/>
            <rFont val="Calibri"/>
            <family val="2"/>
          </rPr>
          <t xml:space="preserve">
Approximation based on counts of partial chambers</t>
        </r>
      </text>
    </comment>
    <comment ref="B28" authorId="0">
      <text>
        <r>
          <rPr>
            <b/>
            <sz val="9"/>
            <color indexed="81"/>
            <rFont val="Calibri"/>
            <family val="2"/>
          </rPr>
          <t>Danielle Ludeman:</t>
        </r>
        <r>
          <rPr>
            <sz val="9"/>
            <color indexed="81"/>
            <rFont val="Calibri"/>
            <family val="2"/>
          </rPr>
          <t xml:space="preserve">
Do not have any images where I can see every micorvilli, so counted the microvilli I could see on half of the choanocte and multiplied by 2
</t>
        </r>
      </text>
    </comment>
    <comment ref="I56" authorId="0">
      <text>
        <r>
          <rPr>
            <b/>
            <sz val="9"/>
            <color indexed="81"/>
            <rFont val="Calibri"/>
            <family val="2"/>
          </rPr>
          <t>Danielle Ludeman:</t>
        </r>
        <r>
          <rPr>
            <sz val="9"/>
            <color indexed="81"/>
            <rFont val="Calibri"/>
            <family val="2"/>
          </rPr>
          <t xml:space="preserve">
All of these are counts looking at only half of the chamber
</t>
        </r>
      </text>
    </comment>
  </commentList>
</comments>
</file>

<file path=xl/comments6.xml><?xml version="1.0" encoding="utf-8"?>
<comments xmlns="http://schemas.openxmlformats.org/spreadsheetml/2006/main">
  <authors>
    <author>Sally</author>
    <author>Danielle Ludeman</author>
  </authors>
  <commentList>
    <comment ref="F8" authorId="0">
      <text>
        <r>
          <rPr>
            <b/>
            <sz val="9"/>
            <color indexed="81"/>
            <rFont val="Tahoma"/>
            <family val="2"/>
          </rPr>
          <t xml:space="preserve">Danielle:
</t>
        </r>
        <r>
          <rPr>
            <sz val="9"/>
            <color indexed="81"/>
            <rFont val="Tahoma"/>
            <family val="2"/>
          </rPr>
          <t xml:space="preserve">the average chamber diameter is 23um and the proportion of the sponge that is choanosome is 75%
</t>
        </r>
      </text>
    </comment>
    <comment ref="O8" authorId="1">
      <text>
        <r>
          <rPr>
            <b/>
            <sz val="9"/>
            <color indexed="81"/>
            <rFont val="Calibri"/>
            <family val="2"/>
          </rPr>
          <t>Danielle Ludeman:</t>
        </r>
        <r>
          <rPr>
            <sz val="9"/>
            <color indexed="81"/>
            <rFont val="Calibri"/>
            <family val="2"/>
          </rPr>
          <t xml:space="preserve">
1mm^3 = 1,000,000,000 um^3</t>
        </r>
      </text>
    </comment>
  </commentList>
</comments>
</file>

<file path=xl/comments7.xml><?xml version="1.0" encoding="utf-8"?>
<comments xmlns="http://schemas.openxmlformats.org/spreadsheetml/2006/main">
  <authors>
    <author>Danielle Ludeman</author>
  </authors>
  <commentList>
    <comment ref="B20" authorId="0">
      <text>
        <r>
          <rPr>
            <b/>
            <sz val="9"/>
            <color indexed="81"/>
            <rFont val="Calibri"/>
            <family val="2"/>
          </rPr>
          <t>Danielle Ludeman:</t>
        </r>
        <r>
          <rPr>
            <sz val="9"/>
            <color indexed="81"/>
            <rFont val="Calibri"/>
            <family val="2"/>
          </rPr>
          <t xml:space="preserve">
calculated from image
P1060588</t>
        </r>
      </text>
    </comment>
  </commentList>
</comments>
</file>

<file path=xl/comments8.xml><?xml version="1.0" encoding="utf-8"?>
<comments xmlns="http://schemas.openxmlformats.org/spreadsheetml/2006/main">
  <authors>
    <author>Danielle Ludeman</author>
  </authors>
  <commentList>
    <comment ref="G13" authorId="0">
      <text>
        <r>
          <rPr>
            <b/>
            <sz val="9"/>
            <color indexed="81"/>
            <rFont val="Calibri"/>
            <family val="2"/>
          </rPr>
          <t>Danielle Ludeman:</t>
        </r>
        <r>
          <rPr>
            <sz val="9"/>
            <color indexed="81"/>
            <rFont val="Calibri"/>
            <family val="2"/>
          </rPr>
          <t xml:space="preserve">
Osculum + Tissue (so different than diameter of osculum measurements)
</t>
        </r>
      </text>
    </comment>
    <comment ref="K13" authorId="0">
      <text>
        <r>
          <rPr>
            <b/>
            <sz val="9"/>
            <color indexed="81"/>
            <rFont val="Calibri"/>
            <family val="2"/>
          </rPr>
          <t>Danielle Ludeman:</t>
        </r>
        <r>
          <rPr>
            <sz val="9"/>
            <color indexed="81"/>
            <rFont val="Calibri"/>
            <family val="2"/>
          </rPr>
          <t xml:space="preserve">
Radius from centre of sponge to the outer edge of the sponge (diameter/2)
</t>
        </r>
      </text>
    </comment>
    <comment ref="L13" authorId="0">
      <text>
        <r>
          <rPr>
            <b/>
            <sz val="9"/>
            <color indexed="81"/>
            <rFont val="Calibri"/>
            <family val="2"/>
          </rPr>
          <t>Danielle Ludeman:</t>
        </r>
        <r>
          <rPr>
            <sz val="9"/>
            <color indexed="81"/>
            <rFont val="Calibri"/>
            <family val="2"/>
          </rPr>
          <t xml:space="preserve">
Radius of osculum only (centre of sponge to inner edge)
</t>
        </r>
      </text>
    </comment>
  </commentList>
</comments>
</file>

<file path=xl/sharedStrings.xml><?xml version="1.0" encoding="utf-8"?>
<sst xmlns="http://schemas.openxmlformats.org/spreadsheetml/2006/main" count="693" uniqueCount="345">
  <si>
    <t>OSTIA</t>
  </si>
  <si>
    <t xml:space="preserve">method: </t>
  </si>
  <si>
    <t>total area of the image was also calculated, to get area of oscula in 1mm^2, and % ostia in 1mm^2</t>
  </si>
  <si>
    <t>Summary:</t>
  </si>
  <si>
    <t>Image</t>
  </si>
  <si>
    <t>diameter</t>
  </si>
  <si>
    <t>area (pi r^2)</t>
  </si>
  <si>
    <t>#ostia (count)</t>
  </si>
  <si>
    <t>area of image</t>
  </si>
  <si>
    <t>% of ostia in 1mm^2</t>
  </si>
  <si>
    <t>radius (d/2)</t>
  </si>
  <si>
    <t>area of ostia in 1mm^2</t>
  </si>
  <si>
    <t>Ostia</t>
  </si>
  <si>
    <t>area of ostia(um^2)</t>
  </si>
  <si>
    <t>area of image (um^2)</t>
  </si>
  <si>
    <t>INCURRENT CANALS</t>
  </si>
  <si>
    <t>method:</t>
  </si>
  <si>
    <t>Summary</t>
  </si>
  <si>
    <t>Image #</t>
  </si>
  <si>
    <t>diameter (um)</t>
  </si>
  <si>
    <t>radius</t>
  </si>
  <si>
    <t>#canals</t>
  </si>
  <si>
    <t xml:space="preserve">area of canals </t>
  </si>
  <si>
    <t>area of canals in 1mm^3</t>
  </si>
  <si>
    <t>percent of canals</t>
  </si>
  <si>
    <t>Medium</t>
  </si>
  <si>
    <t>Small</t>
  </si>
  <si>
    <t>PROSOPYLES</t>
  </si>
  <si>
    <t>COLLARS</t>
  </si>
  <si>
    <t>#microvilli per collar</t>
  </si>
  <si>
    <t>collar microvilli diameter (um)</t>
  </si>
  <si>
    <t>collar slit width (um)</t>
  </si>
  <si>
    <t>height of collar (to gasket)</t>
  </si>
  <si>
    <t xml:space="preserve">area between the collar mv </t>
  </si>
  <si>
    <t>XS area of collar slits for one collar (um^2)</t>
  </si>
  <si>
    <t>xs area of collar slits per chamber (um^2)</t>
  </si>
  <si>
    <t># chambers per 1mm3</t>
  </si>
  <si>
    <t>xs area per 1mm^3</t>
  </si>
  <si>
    <t>xs area of collar slits per 1mm^3</t>
  </si>
  <si>
    <t># collars per chamber</t>
  </si>
  <si>
    <t>diameter of collar (um)</t>
  </si>
  <si>
    <t>distance between collars (um)</t>
  </si>
  <si>
    <t>Diameter (um)</t>
  </si>
  <si>
    <t>Prosopyles</t>
  </si>
  <si>
    <t>Osculum</t>
  </si>
  <si>
    <t>Sponge region name from summary sheet</t>
  </si>
  <si>
    <t>4.5 (20.6) 44</t>
  </si>
  <si>
    <t>50-340</t>
  </si>
  <si>
    <t>1 to 5</t>
  </si>
  <si>
    <t>xs area in 1ul piece (mm^2)</t>
  </si>
  <si>
    <t>Haliclona permollis</t>
  </si>
  <si>
    <t>Aphrocallistes vastus</t>
  </si>
  <si>
    <t>Geodia baretti</t>
  </si>
  <si>
    <t># of cham per image area</t>
  </si>
  <si>
    <t>average chamber diameter</t>
  </si>
  <si>
    <t>chamber radius (um)</t>
  </si>
  <si>
    <t>xs area of a chamber (pi(r^2))</t>
  </si>
  <si>
    <t>XS area of all chambers in 1mm^3 (mm^2)</t>
  </si>
  <si>
    <t>xs area of chambers (um^2) in each image</t>
  </si>
  <si>
    <t>percent xs cover of chambers in the choanosome/image</t>
  </si>
  <si>
    <t>surface area of a chamber (um^2)</t>
  </si>
  <si>
    <t>chamber volume (um^3)</t>
  </si>
  <si>
    <t>chamber volume (mm^3)</t>
  </si>
  <si>
    <t>chamber #</t>
  </si>
  <si>
    <t>chamber diameter</t>
  </si>
  <si>
    <t>Subdermal space</t>
  </si>
  <si>
    <t>Large incurrent canal</t>
  </si>
  <si>
    <t xml:space="preserve">Prosopyles </t>
  </si>
  <si>
    <t>Pre-collar space</t>
  </si>
  <si>
    <t>Glycocalyx mesh pores</t>
  </si>
  <si>
    <t>Collar slit</t>
  </si>
  <si>
    <t>Post-collar space</t>
  </si>
  <si>
    <t xml:space="preserve">Collar apertures </t>
  </si>
  <si>
    <t xml:space="preserve">Chamber </t>
  </si>
  <si>
    <t>Apopyle</t>
  </si>
  <si>
    <t>Large excurrent canals</t>
  </si>
  <si>
    <t>Subatrial space</t>
  </si>
  <si>
    <t>Atrial cavity</t>
  </si>
  <si>
    <t>Measurements of Neopetrosia problematica ultrastructure for flow calculations</t>
  </si>
  <si>
    <t>diameter2</t>
  </si>
  <si>
    <t>radius2 (d/2)</t>
  </si>
  <si>
    <t>Total</t>
  </si>
  <si>
    <t>manual counts of the number of small, medium and large ostia in each SEM image (colored using photoshop)</t>
  </si>
  <si>
    <t>diameter of ten ostia of each size range was measured using Image J, and the area calculated,then  multiplied by the total number of ostia (for area of ostia in the image).</t>
  </si>
  <si>
    <t>all ostia took two diameters (oval) to calculate the area</t>
  </si>
  <si>
    <t>Length (taken from Leys et al)</t>
  </si>
  <si>
    <t>0.5 um</t>
  </si>
  <si>
    <t>Path Lengths</t>
  </si>
  <si>
    <t>Large</t>
  </si>
  <si>
    <t>diameter2 (um)</t>
  </si>
  <si>
    <t>radius2</t>
  </si>
  <si>
    <t>area of ostia in 1mm^3</t>
  </si>
  <si>
    <t>% of ostia in 1mm^3</t>
  </si>
  <si>
    <t>SUBDERMAL SPACE (SDS)</t>
  </si>
  <si>
    <t>Summary SDS</t>
  </si>
  <si>
    <t>height (path length; um)</t>
  </si>
  <si>
    <t>SDS</t>
  </si>
  <si>
    <t>inner subdermal space</t>
  </si>
  <si>
    <t>height  (um)</t>
  </si>
  <si>
    <t>length (um)</t>
  </si>
  <si>
    <t>area of one space (um2)</t>
  </si>
  <si>
    <t>area of all spaces (um2)</t>
  </si>
  <si>
    <t xml:space="preserve">area of spaces in 1 mm^3 </t>
  </si>
  <si>
    <t>% cover 1mm^2</t>
  </si>
  <si>
    <t>area in 100mm^3</t>
  </si>
  <si>
    <t>% cover in 1mm^3</t>
  </si>
  <si>
    <t>The region below the Dermal membrane is a space, called the Subdermal Space</t>
  </si>
  <si>
    <t>*** The height is the path length</t>
  </si>
  <si>
    <t>area of spaces in 1mm^3</t>
  </si>
  <si>
    <t>% cover in 1mm^2</t>
  </si>
  <si>
    <t>% cover in 100mm^3</t>
  </si>
  <si>
    <t>Average</t>
  </si>
  <si>
    <t>area of canals in 100mm^3</t>
  </si>
  <si>
    <t xml:space="preserve">Suberites </t>
  </si>
  <si>
    <t xml:space="preserve">Neopetrosia </t>
  </si>
  <si>
    <t>diameter 1 (um)</t>
  </si>
  <si>
    <t>diameter 2 (um)</t>
  </si>
  <si>
    <t>Area of one prosopyle (um)</t>
  </si>
  <si>
    <t># prosopyles per image</t>
  </si>
  <si>
    <t>Incurrent canals</t>
  </si>
  <si>
    <t>Number of canals</t>
  </si>
  <si>
    <t>Large canals</t>
  </si>
  <si>
    <t>diameter of chamber</t>
  </si>
  <si>
    <t>% prosopyle per area chamber</t>
  </si>
  <si>
    <t>#chambers/mm3</t>
  </si>
  <si>
    <t>SA of prosopyles/chamber</t>
  </si>
  <si>
    <t>SA of prosopyles in 1mm^3 (um^2)</t>
  </si>
  <si>
    <t>SA of prosopyles in mm^3 (mm^2)</t>
  </si>
  <si>
    <t>number of equivalent areas that fit in 1,000,000um^2</t>
  </si>
  <si>
    <t>Surface area of  chambers in 1mm^3 (mm^2)</t>
  </si>
  <si>
    <t>APOPYLES</t>
  </si>
  <si>
    <t>IMAGE NAME</t>
  </si>
  <si>
    <t>diameter (um) [length+width/2]</t>
  </si>
  <si>
    <t>apopyle radius (um)</t>
  </si>
  <si>
    <t>apopyle area (um^2)</t>
  </si>
  <si>
    <t>xs area of apopyles in 1mm^3 (mm^2)</t>
  </si>
  <si>
    <t>Average diameter</t>
  </si>
  <si>
    <t>Apopyle - diameter1 (um)</t>
  </si>
  <si>
    <t>Apopyle - diameter2 (um)</t>
  </si>
  <si>
    <t>Method</t>
  </si>
  <si>
    <t>EXCURRENT CANALS</t>
  </si>
  <si>
    <t>diameter of all excurrent canals measured (classified as excurrent if you can see the apopyle in the canal</t>
  </si>
  <si>
    <t xml:space="preserve">Only going to capture the smallest excurrent with this method since I need to see the apopyles to know that it is excurrent </t>
  </si>
  <si>
    <t>None of the casts are clearly excurrent</t>
  </si>
  <si>
    <t>Excurrent canals</t>
  </si>
  <si>
    <t>small</t>
  </si>
  <si>
    <t>medium</t>
  </si>
  <si>
    <t>large</t>
  </si>
  <si>
    <t>height (mm)</t>
  </si>
  <si>
    <t>length (mm)</t>
  </si>
  <si>
    <t>area (um2)</t>
  </si>
  <si>
    <t>Velocity (mm/s)</t>
  </si>
  <si>
    <t>Volume Flow Rate (L/hr)</t>
  </si>
  <si>
    <t>area (cm2)</t>
  </si>
  <si>
    <t>radius (mm)</t>
  </si>
  <si>
    <t>Diameter (mm)</t>
  </si>
  <si>
    <t>radius (um)</t>
  </si>
  <si>
    <t>Sponge volume (mL)</t>
  </si>
  <si>
    <t>path length</t>
  </si>
  <si>
    <t>Velocity (m/s)</t>
  </si>
  <si>
    <t>Volume Flow rate (mL/s)</t>
  </si>
  <si>
    <t>Distance between centres of neighbouring cylinders</t>
  </si>
  <si>
    <t>Majority of ostia are medium-small and are probably just slightly contracted.  Will use the measurement from the large ostia for the diameter, and use the counts of all to estimate fraction of inhalent surface</t>
  </si>
  <si>
    <t>Area of apopyle in a chamber</t>
  </si>
  <si>
    <t>SA of a chamber</t>
  </si>
  <si>
    <t xml:space="preserve">** Assuming that half of the space that is not choanocyte or apopyle is prosopyle </t>
  </si>
  <si>
    <t>SA of chamber - apopyle</t>
  </si>
  <si>
    <t>Cv-ost-03</t>
  </si>
  <si>
    <t>Cv-ost-04</t>
  </si>
  <si>
    <t>Cv-ost-05</t>
  </si>
  <si>
    <t>estimated # spaces</t>
  </si>
  <si>
    <t>area along which spaces were counted (um2)</t>
  </si>
  <si>
    <t>Orange</t>
  </si>
  <si>
    <t>Red</t>
  </si>
  <si>
    <t>Purple</t>
  </si>
  <si>
    <t>Cv-cho-RR-01</t>
  </si>
  <si>
    <t>** According to this image, the wall thickness (left to right) is only 3mm</t>
  </si>
  <si>
    <t>Cv-cho-RR-B-12-2</t>
  </si>
  <si>
    <t>Cv-cho-RR-02</t>
  </si>
  <si>
    <t>Cv-cho-RR-B-04-2</t>
  </si>
  <si>
    <t>In Callyspongia, there are no distinct prosopyles.  Rather, the water flows from the smallest incurrent canals into the lacunar spaces, and from there</t>
  </si>
  <si>
    <t>enter the choanocyte chambers through the spaces between the choanocytes</t>
  </si>
  <si>
    <t>Cv-bw-22</t>
  </si>
  <si>
    <t>diameter of all incurrent canals measured (classified as incurrent if it coming from the SDS -- no clear prosopyles because of the aphodal chamber arrangement)</t>
  </si>
  <si>
    <t>area of chamber measured</t>
  </si>
  <si>
    <t>diameter of space (um)</t>
  </si>
  <si>
    <t>length of space (choanocyte length) (um)</t>
  </si>
  <si>
    <t>Cv-cho-RR-47</t>
  </si>
  <si>
    <t>Cv-cho-RR-24</t>
  </si>
  <si>
    <t>Therefore, the space for water to pass through is: (collar slit) x (height of glycocalyx mesh)</t>
  </si>
  <si>
    <t>And the number of glycocalyx slits is (height to gasket)/(height of glycocalyx mesh)</t>
  </si>
  <si>
    <t>In Callyspongia the glycocalyx mesh connects each of the microvilli and connects each of the collars (like a gasket), forcing the water through very small openings in the collar</t>
  </si>
  <si>
    <t>Cv-cho-RR-41</t>
  </si>
  <si>
    <t>height of glycocalyx</t>
  </si>
  <si>
    <t>Cv-cho-RR-09</t>
  </si>
  <si>
    <t>Cv-cho-RR-17</t>
  </si>
  <si>
    <t>Cv-cho-RR-20</t>
  </si>
  <si>
    <t>Cv-cho-RR-39</t>
  </si>
  <si>
    <t>Cv-cho-RR-54</t>
  </si>
  <si>
    <t>Cv-bw-18</t>
  </si>
  <si>
    <t>Cv-cho-RR-04</t>
  </si>
  <si>
    <t>Cv-cho-RR-53</t>
  </si>
  <si>
    <t>Cv-RR-30um-wax-16</t>
  </si>
  <si>
    <t>Choanocyte chambers</t>
  </si>
  <si>
    <t>number of chambers in 1mm^3 (considering there are  33.33 slices 30um wide in the 1mm^3 piece of sponge</t>
  </si>
  <si>
    <t xml:space="preserve">number of chambers in one 30 um slice of the sponge 1mm^3 </t>
  </si>
  <si>
    <t>Measure diameter of all chambers - even if it fractured partially through the chamber.  These partial fractures are taken into account when calculating the number of chambers in 1mm^3</t>
  </si>
  <si>
    <t xml:space="preserve">The number of chambers in the image is then multiplied by the number of equilavent areas in a 1000000um^2 section </t>
  </si>
  <si>
    <t>To get the number of chambers in 1mm^3, the 30um wide slice needs to be multipled by 33.33 (30*33.33 = 1000um to give a cube with dimensions 1mm^2 by 1mm = 1mm^3)</t>
  </si>
  <si>
    <t>Callyspongia vaginalis</t>
  </si>
  <si>
    <t>A</t>
  </si>
  <si>
    <t>B</t>
  </si>
  <si>
    <t>We can assume that one image that has many chambers fractured at different points is representative of each 'slice' through the sponge - (slice approximately 30um thick)</t>
  </si>
  <si>
    <t>Cv-cho-RR-B-01-2</t>
  </si>
  <si>
    <t>Cv-bw-11</t>
  </si>
  <si>
    <t>'Callyspongia-A1-.203.13.Vectrino-II.00002.mat'</t>
  </si>
  <si>
    <t>'Callyspongia-A2-.203.13.Vectrino-II.00001.mat'</t>
  </si>
  <si>
    <t>'Callyspongia-A4-.203.13.Vectrino-II.00002.mat'</t>
  </si>
  <si>
    <t>'Callyspongia-A5-.203.13.Vectrino-II.00001.mat'</t>
  </si>
  <si>
    <t>'Callyspongia-A6-.205.13.Vectrino-II.00001.mat'</t>
  </si>
  <si>
    <t>'Callyspongia-A7-.205.13.Vectrino-II.00001.mat'</t>
  </si>
  <si>
    <t>'Callyspongia-A8(tall)-.205.13.Vectrino-II.00001.mat'</t>
  </si>
  <si>
    <t>Filename for Velocity Data</t>
  </si>
  <si>
    <t>Height (um)</t>
  </si>
  <si>
    <t>Volume of a hollow cylinder:</t>
  </si>
  <si>
    <t>V=PI*h*(r1^2 - r2^2)</t>
  </si>
  <si>
    <t>where</t>
  </si>
  <si>
    <t xml:space="preserve">r1 = </t>
  </si>
  <si>
    <t>radius to outer edge</t>
  </si>
  <si>
    <t>r2 = radius to inner edge</t>
  </si>
  <si>
    <t>Height (cm)</t>
  </si>
  <si>
    <t>Diameter to outer edge (cm)</t>
  </si>
  <si>
    <t>Diameter of osculum (cm)</t>
  </si>
  <si>
    <t>Wall thickness(cm)</t>
  </si>
  <si>
    <t>Radius 1 (cm)</t>
  </si>
  <si>
    <t>Radius 2 (cm)</t>
  </si>
  <si>
    <t>Volume (cm^3)</t>
  </si>
  <si>
    <t>'Callyspongia-B-1-.206.13.Vectrino-II.00001.mat'</t>
  </si>
  <si>
    <t>'Callyspongia-B-2-.206.13.Vectrino-II.00003.mat'</t>
  </si>
  <si>
    <t>'Callyspongia-B-3.206.13.Vectrino-II.00004.mat'</t>
  </si>
  <si>
    <t>'Callyspongia-B-4-.206.13.Vectrino-II.00002.mat'</t>
  </si>
  <si>
    <r>
      <t>PRE AND POST COLLAR SPACE:</t>
    </r>
    <r>
      <rPr>
        <sz val="12"/>
        <color theme="1"/>
        <rFont val="Calibri"/>
        <family val="2"/>
        <scheme val="minor"/>
      </rPr>
      <t xml:space="preserve"> this is the 'cone' of space between the prosopyle and the collar slit, and the cone of space between the collar slit and the collar aperture.</t>
    </r>
  </si>
  <si>
    <t>average length (um)</t>
  </si>
  <si>
    <t>area per chamber (i.e. x260)</t>
  </si>
  <si>
    <t>area per 1mm^3 piece (in um^2)</t>
  </si>
  <si>
    <t>area per 1mm3 piece (in mm2)</t>
  </si>
  <si>
    <t>pre collar space</t>
  </si>
  <si>
    <t>post collar space</t>
  </si>
  <si>
    <t>Surface area of the sponge (cm^2)</t>
  </si>
  <si>
    <t xml:space="preserve">Excurrent velocity (m/s) </t>
  </si>
  <si>
    <t xml:space="preserve"> Osculum flow rate (mL/s) </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</si>
  <si>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</si>
  <si>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</si>
  <si>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rPr>
        <b/>
        <sz val="10"/>
        <color indexed="17"/>
        <rFont val="Arial"/>
        <family val="2"/>
      </rPr>
      <t>Acceleration of gravity, g (m/s^2)</t>
    </r>
  </si>
  <si>
    <r>
      <t xml:space="preserve">Specific weight </t>
    </r>
    <r>
      <rPr>
        <b/>
        <sz val="11"/>
        <color indexed="17"/>
        <rFont val="Symbol"/>
        <family val="1"/>
        <charset val="2"/>
      </rPr>
      <t>g</t>
    </r>
  </si>
  <si>
    <t xml:space="preserve">Viscosity (Pa s) </t>
  </si>
  <si>
    <t>Alfa (Vex/U)</t>
  </si>
  <si>
    <t>Sponge Volume (cm^3)</t>
  </si>
  <si>
    <t>Specific pumping rate (mL/mLSponge/min)</t>
  </si>
  <si>
    <t>mL/mLSponge/s</t>
  </si>
  <si>
    <t>nL/collar/hr</t>
  </si>
  <si>
    <t># chambers in 1mm3</t>
  </si>
  <si>
    <t># chambers/sponge</t>
  </si>
  <si>
    <t>Est # collars per chamber</t>
  </si>
  <si>
    <t>Number of mv per collar</t>
  </si>
  <si>
    <t>names at the comparison table</t>
  </si>
  <si>
    <t>Sponge Region</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</si>
  <si>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</si>
  <si>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</si>
  <si>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</si>
  <si>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</si>
  <si>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</si>
  <si>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</si>
  <si>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</si>
  <si>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 xml:space="preserve">Velocity (per opening, m^3/s) </t>
  </si>
  <si>
    <t>ostia</t>
  </si>
  <si>
    <t>Apertures of Inhalent canals</t>
  </si>
  <si>
    <t>lg incurrent canal</t>
  </si>
  <si>
    <t>med incurrent canal</t>
  </si>
  <si>
    <t>sm incurrent canal</t>
  </si>
  <si>
    <t>prosopyles</t>
  </si>
  <si>
    <t>Collars</t>
  </si>
  <si>
    <t>collar slit</t>
  </si>
  <si>
    <t>Chamber</t>
  </si>
  <si>
    <t>chamber</t>
  </si>
  <si>
    <t>Apopyles</t>
  </si>
  <si>
    <t>apopyle</t>
  </si>
  <si>
    <t>Apertures of exhalent canals</t>
  </si>
  <si>
    <t>sm excurrent canal</t>
  </si>
  <si>
    <t>med excurrent canal</t>
  </si>
  <si>
    <t>lg excurrent canal</t>
  </si>
  <si>
    <t>osculum</t>
  </si>
  <si>
    <t>Oxygen</t>
  </si>
  <si>
    <t>1 ml/l = 103/22.391 = 44.661 μmol/l</t>
  </si>
  <si>
    <t>umol/L</t>
  </si>
  <si>
    <t>1 ml/l * pumping rate (L/hr) = 1ml/hr</t>
  </si>
  <si>
    <t>ul/L</t>
  </si>
  <si>
    <t>ul/hr</t>
  </si>
  <si>
    <t>uW</t>
  </si>
  <si>
    <t>Pumping Power</t>
  </si>
  <si>
    <t>Cost of pumping (%)</t>
  </si>
  <si>
    <t>Z Velocity (cm/s)</t>
  </si>
  <si>
    <t>Z</t>
  </si>
  <si>
    <t>per whole sponge</t>
  </si>
  <si>
    <t>Velocity per g DW</t>
  </si>
  <si>
    <t>Dry weight (g)</t>
  </si>
  <si>
    <t>Osculum Flow Rate per g DW</t>
  </si>
  <si>
    <t>1ul/hr *5.333 ~= 1 uW</t>
  </si>
  <si>
    <t>Type of opening</t>
  </si>
  <si>
    <t>Equation # in Riisgard and Larsen 1995</t>
  </si>
  <si>
    <t>Head loss (mm H20) as per Riisgard and Larsen 1995</t>
  </si>
  <si>
    <t>Head loss (um H20) as per Riisgard and Larsen 1995</t>
  </si>
  <si>
    <t>aperture</t>
  </si>
  <si>
    <t>channels/ducts</t>
  </si>
  <si>
    <t>d</t>
  </si>
  <si>
    <t>h1</t>
  </si>
  <si>
    <t>h2</t>
  </si>
  <si>
    <t>lattice - rectangular</t>
  </si>
  <si>
    <t>K</t>
  </si>
  <si>
    <t>τ</t>
  </si>
  <si>
    <t>h0</t>
  </si>
  <si>
    <t>h</t>
  </si>
  <si>
    <t>exit loss</t>
  </si>
  <si>
    <t>Using Riisgard and Larsen 1995</t>
  </si>
  <si>
    <t>For the lattice equation (17)</t>
  </si>
  <si>
    <t>Callyspongia</t>
  </si>
  <si>
    <t>Oxygen drawdown (umol/L)</t>
  </si>
  <si>
    <t>Summary sheet for Callyspongia vaginalis</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</si>
  <si>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</si>
  <si>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</si>
  <si>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</si>
  <si>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5.77 mm x 5.77 mm x 3 mm</t>
  </si>
  <si>
    <t>Sponge volume was estimated based on image analysis (see tab)</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</si>
  <si>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</si>
  <si>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</si>
  <si>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</si>
  <si>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diameter of the collar microvilli</t>
  </si>
  <si>
    <t>height of the glycocalyx mesh</t>
  </si>
  <si>
    <t>width of the collar slit</t>
  </si>
  <si>
    <t>Sponge volume estimates based on image analysis</t>
  </si>
  <si>
    <t>For Callyspongia, it strongly resembles a hollow cylinder.  Therefore, for each sponge the height, radius to outer edge, and radius to inner edge was measured:</t>
  </si>
  <si>
    <t>Measuremtents of osculum dimensions, excurrent velocities, volume flow rates, and respiration rates</t>
  </si>
  <si>
    <t>Head loss (mmH20) as per Leys et al 2011</t>
  </si>
  <si>
    <t>Head loss (umH20) as per Leys et al 2011</t>
  </si>
  <si>
    <t>Using Leys et al 2011</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</si>
</sst>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
    <numFmt numFmtId="165" formatCode="0.0000"/>
    <numFmt numFmtId="166" formatCode="0.000"/>
    <numFmt numFmtId="167" formatCode="_(* #,##0_);_(* \(#,##0\);_(* &quot;-&quot;??_);_(@_)"/>
    <numFmt numFmtId="168" formatCode="0.000000"/>
  </numFmts>
  <fonts count="25" x14ac:knownFonts="1">
    <font>
      <sz val="12"/>
      <color theme="1"/>
      <name val="Calibri"/>
      <family val="2"/>
      <scheme val="minor"/>
    </font>
    <font>
      <u/>
      <sz val="12"/>
      <color theme="10"/>
      <name val="Calibri"/>
      <family val="2"/>
      <scheme val="minor"/>
    </font>
    <font>
      <u/>
      <sz val="12"/>
      <color theme="11"/>
      <name val="Calibri"/>
      <family val="2"/>
      <scheme val="minor"/>
    </font>
    <font>
      <sz val="12"/>
      <color rgb="FF000000"/>
      <name val="Calibri"/>
      <family val="2"/>
      <scheme val="minor"/>
    </font>
    <font>
      <sz val="10"/>
      <name val="Arial"/>
      <family val="2"/>
    </font>
    <font>
      <sz val="12"/>
      <color rgb="FFFF0000"/>
      <name val="Calibri"/>
      <family val="2"/>
      <scheme val="minor"/>
    </font>
    <font>
      <b/>
      <sz val="12"/>
      <color theme="1"/>
      <name val="Calibri"/>
      <family val="2"/>
      <scheme val="minor"/>
    </font>
    <font>
      <b/>
      <sz val="9"/>
      <color indexed="81"/>
      <name val="Tahoma"/>
      <family val="2"/>
    </font>
    <font>
      <sz val="9"/>
      <color indexed="81"/>
      <name val="Tahoma"/>
      <family val="2"/>
    </font>
    <font>
      <sz val="9"/>
      <color indexed="81"/>
      <name val="Calibri"/>
      <family val="2"/>
    </font>
    <font>
      <b/>
      <sz val="9"/>
      <color indexed="81"/>
      <name val="Calibri"/>
      <family val="2"/>
    </font>
    <font>
      <b/>
      <sz val="10"/>
      <name val="Arial"/>
      <family val="2"/>
    </font>
    <font>
      <sz val="12"/>
      <color rgb="FF000000"/>
      <name val="Calibri"/>
      <family val="2"/>
    </font>
    <font>
      <sz val="11"/>
      <color rgb="FF006100"/>
      <name val="Calibri"/>
      <family val="2"/>
      <charset val="177"/>
      <scheme val="minor"/>
    </font>
    <font>
      <sz val="11"/>
      <color rgb="FF000000"/>
      <name val="Calibri"/>
      <family val="2"/>
      <scheme val="minor"/>
    </font>
    <font>
      <sz val="12"/>
      <color rgb="FF006100"/>
      <name val="Calibri"/>
      <family val="2"/>
      <scheme val="minor"/>
    </font>
    <font>
      <b/>
      <sz val="12"/>
      <color rgb="FFFA7D00"/>
      <name val="Calibri"/>
      <family val="2"/>
      <scheme val="minor"/>
    </font>
    <font>
      <b/>
      <sz val="11"/>
      <color rgb="FF006100"/>
      <name val="Calibri"/>
      <family val="2"/>
    </font>
    <font>
      <b/>
      <sz val="10"/>
      <color indexed="17"/>
      <name val="Calibri"/>
      <family val="2"/>
    </font>
    <font>
      <b/>
      <sz val="10"/>
      <color indexed="17"/>
      <name val="Arial"/>
      <family val="2"/>
    </font>
    <font>
      <b/>
      <sz val="10"/>
      <color indexed="17"/>
      <name val="Symbol"/>
      <family val="1"/>
      <charset val="2"/>
    </font>
    <font>
      <b/>
      <sz val="11"/>
      <color indexed="17"/>
      <name val="Symbol"/>
      <family val="1"/>
      <charset val="2"/>
    </font>
    <font>
      <sz val="11"/>
      <name val="Cambria"/>
      <family val="1"/>
      <scheme val="major"/>
    </font>
    <font>
      <b/>
      <sz val="16"/>
      <color theme="1"/>
      <name val="Calibri"/>
      <scheme val="minor"/>
    </font>
    <font>
      <sz val="12"/>
      <name val="Calibri"/>
      <family val="2"/>
      <scheme val="minor"/>
    </font>
  </fonts>
  <fills count="19">
    <fill>
      <patternFill patternType="none"/>
    </fill>
    <fill>
      <patternFill patternType="gray125"/>
    </fill>
    <fill>
      <patternFill patternType="solid">
        <fgColor theme="6"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theme="6" tint="-0.249977111117893"/>
        <bgColor indexed="64"/>
      </patternFill>
    </fill>
    <fill>
      <patternFill patternType="solid">
        <fgColor theme="6"/>
        <bgColor indexed="64"/>
      </patternFill>
    </fill>
    <fill>
      <patternFill patternType="solid">
        <fgColor theme="2"/>
        <bgColor indexed="64"/>
      </patternFill>
    </fill>
    <fill>
      <patternFill patternType="solid">
        <fgColor rgb="FFEEECE1"/>
        <bgColor rgb="FF000000"/>
      </patternFill>
    </fill>
    <fill>
      <patternFill patternType="solid">
        <fgColor theme="9" tint="0.79998168889431442"/>
        <bgColor indexed="64"/>
      </patternFill>
    </fill>
    <fill>
      <patternFill patternType="solid">
        <fgColor rgb="FFC6EFCE"/>
      </patternFill>
    </fill>
    <fill>
      <patternFill patternType="solid">
        <fgColor indexed="5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rgb="FFF2F2F2"/>
      </patternFill>
    </fill>
    <fill>
      <patternFill patternType="solid">
        <fgColor theme="0" tint="-4.9989318521683403E-2"/>
        <bgColor indexed="64"/>
      </patternFill>
    </fill>
    <fill>
      <patternFill patternType="solid">
        <fgColor rgb="FFFFFF00"/>
        <bgColor indexed="64"/>
      </patternFill>
    </fill>
    <fill>
      <patternFill patternType="solid">
        <fgColor theme="8" tint="0.79998168889431442"/>
        <bgColor indexed="64"/>
      </patternFill>
    </fill>
    <fill>
      <patternFill patternType="solid">
        <fgColor theme="5" tint="0.79998168889431442"/>
        <bgColor indexed="64"/>
      </patternFill>
    </fill>
  </fills>
  <borders count="29">
    <border>
      <left/>
      <right/>
      <top/>
      <bottom/>
      <diagonal/>
    </border>
    <border>
      <left/>
      <right/>
      <top style="thin">
        <color auto="1"/>
      </top>
      <bottom style="thin">
        <color auto="1"/>
      </bottom>
      <diagonal/>
    </border>
    <border>
      <left/>
      <right/>
      <top style="thin">
        <color auto="1"/>
      </top>
      <bottom style="medium">
        <color auto="1"/>
      </bottom>
      <diagonal/>
    </border>
    <border>
      <left/>
      <right/>
      <top style="thin">
        <color auto="1"/>
      </top>
      <bottom style="double">
        <color auto="1"/>
      </bottom>
      <diagonal/>
    </border>
    <border>
      <left/>
      <right/>
      <top/>
      <bottom style="thin">
        <color auto="1"/>
      </bottom>
      <diagonal/>
    </border>
    <border>
      <left/>
      <right/>
      <top style="thin">
        <color auto="1"/>
      </top>
      <bottom/>
      <diagonal/>
    </border>
    <border>
      <left/>
      <right/>
      <top/>
      <bottom style="medium">
        <color auto="1"/>
      </bottom>
      <diagonal/>
    </border>
    <border>
      <left/>
      <right/>
      <top/>
      <bottom style="double">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double">
        <color auto="1"/>
      </bottom>
      <diagonal/>
    </border>
    <border>
      <left/>
      <right style="thin">
        <color auto="1"/>
      </right>
      <top/>
      <bottom style="double">
        <color auto="1"/>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style="hair">
        <color auto="1"/>
      </top>
      <bottom style="hair">
        <color auto="1"/>
      </bottom>
      <diagonal/>
    </border>
    <border>
      <left style="hair">
        <color auto="1"/>
      </left>
      <right style="hair">
        <color auto="1"/>
      </right>
      <top style="thin">
        <color auto="1"/>
      </top>
      <bottom style="double">
        <color auto="1"/>
      </bottom>
      <diagonal/>
    </border>
    <border>
      <left/>
      <right style="hair">
        <color auto="1"/>
      </right>
      <top style="thin">
        <color auto="1"/>
      </top>
      <bottom style="double">
        <color auto="1"/>
      </bottom>
      <diagonal/>
    </border>
    <border>
      <left style="thin">
        <color auto="1"/>
      </left>
      <right style="thin">
        <color auto="1"/>
      </right>
      <top style="thin">
        <color auto="1"/>
      </top>
      <bottom style="thin">
        <color auto="1"/>
      </bottom>
      <diagonal/>
    </border>
    <border>
      <left style="hair">
        <color auto="1"/>
      </left>
      <right style="hair">
        <color auto="1"/>
      </right>
      <top style="hair">
        <color auto="1"/>
      </top>
      <bottom/>
      <diagonal/>
    </border>
    <border>
      <left style="hair">
        <color auto="1"/>
      </left>
      <right/>
      <top style="hair">
        <color auto="1"/>
      </top>
      <bottom style="hair">
        <color auto="1"/>
      </bottom>
      <diagonal/>
    </border>
    <border>
      <left style="hair">
        <color auto="1"/>
      </left>
      <right style="hair">
        <color auto="1"/>
      </right>
      <top/>
      <bottom/>
      <diagonal/>
    </border>
    <border>
      <left/>
      <right style="thin">
        <color auto="1"/>
      </right>
      <top style="thin">
        <color auto="1"/>
      </top>
      <bottom style="double">
        <color auto="1"/>
      </bottom>
      <diagonal/>
    </border>
    <border>
      <left style="thin">
        <color auto="1"/>
      </left>
      <right/>
      <top style="thin">
        <color auto="1"/>
      </top>
      <bottom style="double">
        <color auto="1"/>
      </bottom>
      <diagonal/>
    </border>
    <border>
      <left style="thin">
        <color rgb="FF7F7F7F"/>
      </left>
      <right style="thin">
        <color rgb="FF7F7F7F"/>
      </right>
      <top style="thin">
        <color rgb="FF7F7F7F"/>
      </top>
      <bottom style="thin">
        <color rgb="FF7F7F7F"/>
      </bottom>
      <diagonal/>
    </border>
    <border>
      <left style="thin">
        <color auto="1"/>
      </left>
      <right style="thin">
        <color rgb="FF7F7F7F"/>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s>
  <cellStyleXfs count="2421">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3" fillId="10" borderId="0" applyNumberFormat="0" applyBorder="0" applyAlignment="0" applyProtection="0"/>
    <xf numFmtId="43" fontId="4" fillId="0" borderId="0" applyFon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5" fillId="10" borderId="0" applyNumberFormat="0" applyBorder="0" applyAlignment="0" applyProtection="0"/>
    <xf numFmtId="0" fontId="16" fillId="14" borderId="25" applyNumberFormat="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cellStyleXfs>
  <cellXfs count="217">
    <xf numFmtId="0" fontId="0" fillId="0" borderId="0" xfId="0"/>
    <xf numFmtId="0" fontId="0" fillId="0" borderId="1" xfId="0" applyBorder="1"/>
    <xf numFmtId="0" fontId="0" fillId="0" borderId="0" xfId="0" applyAlignment="1">
      <alignment wrapText="1"/>
    </xf>
    <xf numFmtId="0" fontId="3" fillId="0" borderId="0" xfId="0" applyFont="1"/>
    <xf numFmtId="0" fontId="0" fillId="3" borderId="0" xfId="0" applyFill="1"/>
    <xf numFmtId="0" fontId="0" fillId="3" borderId="2" xfId="0" applyFill="1" applyBorder="1"/>
    <xf numFmtId="0" fontId="0" fillId="0" borderId="5" xfId="0" applyBorder="1"/>
    <xf numFmtId="0" fontId="0" fillId="0" borderId="0" xfId="0" applyBorder="1"/>
    <xf numFmtId="0" fontId="0" fillId="3" borderId="3" xfId="0" applyFill="1" applyBorder="1" applyAlignment="1">
      <alignment wrapText="1"/>
    </xf>
    <xf numFmtId="0" fontId="0" fillId="3" borderId="1" xfId="0" applyFill="1" applyBorder="1"/>
    <xf numFmtId="0" fontId="0" fillId="0" borderId="5" xfId="0" applyFill="1" applyBorder="1"/>
    <xf numFmtId="0" fontId="0" fillId="0" borderId="0" xfId="0" applyFill="1" applyBorder="1"/>
    <xf numFmtId="0" fontId="5" fillId="0" borderId="0" xfId="0" applyFont="1"/>
    <xf numFmtId="0" fontId="5" fillId="0" borderId="0" xfId="0" applyFont="1" applyFill="1" applyBorder="1"/>
    <xf numFmtId="0" fontId="5" fillId="0" borderId="0" xfId="0" applyFont="1" applyBorder="1"/>
    <xf numFmtId="0" fontId="0" fillId="3" borderId="0" xfId="0" applyFill="1" applyAlignment="1">
      <alignment wrapText="1"/>
    </xf>
    <xf numFmtId="0" fontId="0" fillId="0" borderId="3" xfId="0" applyBorder="1"/>
    <xf numFmtId="0" fontId="0" fillId="0" borderId="0" xfId="0" applyFill="1"/>
    <xf numFmtId="0" fontId="0" fillId="0" borderId="7" xfId="0" applyBorder="1" applyAlignment="1">
      <alignment wrapText="1"/>
    </xf>
    <xf numFmtId="0" fontId="0" fillId="4" borderId="10" xfId="0" applyFill="1" applyBorder="1" applyAlignment="1">
      <alignment wrapText="1"/>
    </xf>
    <xf numFmtId="0" fontId="0" fillId="4" borderId="11" xfId="0" applyFill="1" applyBorder="1" applyAlignment="1">
      <alignment wrapText="1"/>
    </xf>
    <xf numFmtId="0" fontId="0" fillId="4" borderId="12" xfId="0" applyFill="1" applyBorder="1" applyAlignment="1">
      <alignment horizontal="right"/>
    </xf>
    <xf numFmtId="0" fontId="0" fillId="4" borderId="13" xfId="0" applyFill="1" applyBorder="1"/>
    <xf numFmtId="2" fontId="0" fillId="4" borderId="12" xfId="0" applyNumberFormat="1" applyFill="1" applyBorder="1" applyAlignment="1">
      <alignment horizontal="right"/>
    </xf>
    <xf numFmtId="0" fontId="0" fillId="4" borderId="12" xfId="0" applyFill="1" applyBorder="1"/>
    <xf numFmtId="0" fontId="0" fillId="4" borderId="14" xfId="0" applyFill="1" applyBorder="1"/>
    <xf numFmtId="0" fontId="0" fillId="4" borderId="15" xfId="0" applyFill="1" applyBorder="1"/>
    <xf numFmtId="0" fontId="0" fillId="2" borderId="10" xfId="0" applyFill="1" applyBorder="1" applyAlignment="1">
      <alignment wrapText="1"/>
    </xf>
    <xf numFmtId="0" fontId="0" fillId="2" borderId="11" xfId="0" applyFill="1" applyBorder="1" applyAlignment="1">
      <alignment wrapText="1"/>
    </xf>
    <xf numFmtId="0" fontId="0" fillId="0" borderId="0" xfId="0" applyFill="1" applyBorder="1" applyAlignment="1">
      <alignment wrapText="1"/>
    </xf>
    <xf numFmtId="0" fontId="6" fillId="0" borderId="0" xfId="0" applyFont="1"/>
    <xf numFmtId="0" fontId="6" fillId="0" borderId="1" xfId="0" applyFont="1" applyBorder="1"/>
    <xf numFmtId="0" fontId="6" fillId="0" borderId="0" xfId="0" applyFont="1" applyBorder="1"/>
    <xf numFmtId="0" fontId="6" fillId="0" borderId="0" xfId="0" applyFont="1" applyFill="1" applyBorder="1"/>
    <xf numFmtId="0" fontId="6" fillId="0" borderId="1" xfId="0" applyFont="1" applyFill="1" applyBorder="1"/>
    <xf numFmtId="0" fontId="11" fillId="0" borderId="0" xfId="0" applyFont="1"/>
    <xf numFmtId="2" fontId="11" fillId="0" borderId="0" xfId="0" applyNumberFormat="1" applyFont="1" applyFill="1" applyBorder="1"/>
    <xf numFmtId="2" fontId="0" fillId="0" borderId="0" xfId="0" applyNumberFormat="1" applyFill="1" applyBorder="1"/>
    <xf numFmtId="164" fontId="0" fillId="0" borderId="0" xfId="0" applyNumberFormat="1" applyFill="1" applyBorder="1"/>
    <xf numFmtId="165" fontId="11" fillId="0" borderId="0" xfId="0" applyNumberFormat="1" applyFont="1" applyFill="1" applyBorder="1"/>
    <xf numFmtId="0" fontId="0" fillId="5" borderId="0" xfId="0" applyFill="1" applyBorder="1"/>
    <xf numFmtId="0" fontId="0" fillId="5" borderId="6" xfId="0" applyFill="1" applyBorder="1"/>
    <xf numFmtId="0" fontId="12" fillId="2" borderId="8" xfId="0" applyFont="1" applyFill="1" applyBorder="1" applyAlignment="1">
      <alignment horizontal="right"/>
    </xf>
    <xf numFmtId="0" fontId="12" fillId="2" borderId="9" xfId="0" applyFont="1" applyFill="1" applyBorder="1"/>
    <xf numFmtId="0" fontId="12" fillId="2" borderId="10" xfId="0" applyFont="1" applyFill="1" applyBorder="1" applyAlignment="1">
      <alignment wrapText="1"/>
    </xf>
    <xf numFmtId="2" fontId="0" fillId="4" borderId="12" xfId="0" applyNumberFormat="1" applyFill="1" applyBorder="1"/>
    <xf numFmtId="2" fontId="0" fillId="4" borderId="13" xfId="0" applyNumberFormat="1" applyFill="1" applyBorder="1"/>
    <xf numFmtId="2" fontId="0" fillId="2" borderId="12" xfId="0" applyNumberFormat="1" applyFill="1" applyBorder="1"/>
    <xf numFmtId="2" fontId="0" fillId="2" borderId="13" xfId="0" applyNumberFormat="1" applyFill="1" applyBorder="1"/>
    <xf numFmtId="2" fontId="12" fillId="2" borderId="12" xfId="0" applyNumberFormat="1" applyFont="1" applyFill="1" applyBorder="1"/>
    <xf numFmtId="2" fontId="12" fillId="2" borderId="13" xfId="0" applyNumberFormat="1" applyFont="1" applyFill="1" applyBorder="1"/>
    <xf numFmtId="2" fontId="0" fillId="2" borderId="0" xfId="0" applyNumberFormat="1" applyFill="1"/>
    <xf numFmtId="2" fontId="0" fillId="4" borderId="14" xfId="0" applyNumberFormat="1" applyFill="1" applyBorder="1"/>
    <xf numFmtId="2" fontId="0" fillId="4" borderId="15" xfId="0" applyNumberFormat="1" applyFill="1" applyBorder="1"/>
    <xf numFmtId="2" fontId="0" fillId="2" borderId="14" xfId="0" applyNumberFormat="1" applyFill="1" applyBorder="1"/>
    <xf numFmtId="2" fontId="0" fillId="2" borderId="15" xfId="0" applyNumberFormat="1" applyFill="1" applyBorder="1"/>
    <xf numFmtId="2" fontId="12" fillId="2" borderId="14" xfId="0" applyNumberFormat="1" applyFont="1" applyFill="1" applyBorder="1"/>
    <xf numFmtId="2" fontId="12" fillId="2" borderId="15" xfId="0" applyNumberFormat="1" applyFont="1" applyFill="1" applyBorder="1"/>
    <xf numFmtId="0" fontId="0" fillId="6" borderId="0" xfId="0" applyFill="1"/>
    <xf numFmtId="0" fontId="0" fillId="7" borderId="3" xfId="0" applyFill="1" applyBorder="1"/>
    <xf numFmtId="0" fontId="0" fillId="7" borderId="3" xfId="0" applyFill="1" applyBorder="1" applyAlignment="1">
      <alignment wrapText="1"/>
    </xf>
    <xf numFmtId="0" fontId="0" fillId="7" borderId="17" xfId="0" applyFill="1" applyBorder="1" applyAlignment="1">
      <alignment wrapText="1"/>
    </xf>
    <xf numFmtId="0" fontId="0" fillId="0" borderId="0" xfId="0" applyAlignment="1">
      <alignment horizontal="left"/>
    </xf>
    <xf numFmtId="0" fontId="0" fillId="0" borderId="4" xfId="0" applyBorder="1"/>
    <xf numFmtId="0" fontId="3" fillId="8" borderId="18" xfId="0" applyFont="1" applyFill="1" applyBorder="1" applyAlignment="1">
      <alignment wrapText="1"/>
    </xf>
    <xf numFmtId="0" fontId="6" fillId="0" borderId="5" xfId="0" applyFont="1" applyFill="1" applyBorder="1"/>
    <xf numFmtId="0" fontId="0" fillId="0" borderId="0" xfId="0" applyFont="1" applyFill="1" applyBorder="1"/>
    <xf numFmtId="0" fontId="6" fillId="0" borderId="5" xfId="0" applyFont="1" applyBorder="1"/>
    <xf numFmtId="0" fontId="0" fillId="2" borderId="2" xfId="0" applyFill="1" applyBorder="1"/>
    <xf numFmtId="0" fontId="0" fillId="2" borderId="2" xfId="0" applyFill="1" applyBorder="1" applyAlignment="1">
      <alignment wrapText="1"/>
    </xf>
    <xf numFmtId="0" fontId="0" fillId="2" borderId="0" xfId="0" applyFill="1"/>
    <xf numFmtId="0" fontId="0" fillId="2" borderId="0" xfId="0" applyFill="1" applyBorder="1"/>
    <xf numFmtId="0" fontId="0" fillId="2" borderId="5" xfId="0" applyFill="1" applyBorder="1"/>
    <xf numFmtId="0" fontId="0" fillId="2" borderId="4" xfId="0" applyFill="1" applyBorder="1"/>
    <xf numFmtId="0" fontId="0" fillId="2" borderId="19" xfId="0" applyFill="1" applyBorder="1"/>
    <xf numFmtId="0" fontId="0" fillId="2" borderId="19" xfId="0" applyFill="1" applyBorder="1" applyAlignment="1">
      <alignment wrapText="1"/>
    </xf>
    <xf numFmtId="0" fontId="3" fillId="2" borderId="0" xfId="0" applyFont="1" applyFill="1"/>
    <xf numFmtId="0" fontId="3" fillId="2" borderId="0" xfId="0" applyFont="1" applyFill="1" applyBorder="1"/>
    <xf numFmtId="0" fontId="0" fillId="2" borderId="3" xfId="0" applyFill="1" applyBorder="1"/>
    <xf numFmtId="0" fontId="0" fillId="2" borderId="17" xfId="0" applyFill="1" applyBorder="1" applyAlignment="1">
      <alignment wrapText="1"/>
    </xf>
    <xf numFmtId="0" fontId="11" fillId="9" borderId="16" xfId="0" applyFont="1" applyFill="1" applyBorder="1" applyAlignment="1">
      <alignment wrapText="1"/>
    </xf>
    <xf numFmtId="0" fontId="11" fillId="9" borderId="20" xfId="0" applyFont="1" applyFill="1" applyBorder="1" applyAlignment="1">
      <alignment wrapText="1"/>
    </xf>
    <xf numFmtId="2" fontId="0" fillId="9" borderId="16" xfId="0" applyNumberFormat="1" applyFill="1" applyBorder="1"/>
    <xf numFmtId="0" fontId="0" fillId="9" borderId="21" xfId="0" applyFill="1" applyBorder="1"/>
    <xf numFmtId="0" fontId="0" fillId="0" borderId="16" xfId="0" applyFill="1" applyBorder="1"/>
    <xf numFmtId="2" fontId="0" fillId="6" borderId="19" xfId="0" applyNumberFormat="1" applyFill="1" applyBorder="1"/>
    <xf numFmtId="2" fontId="0" fillId="0" borderId="0" xfId="0" applyNumberFormat="1"/>
    <xf numFmtId="11" fontId="0" fillId="0" borderId="0" xfId="0" applyNumberFormat="1"/>
    <xf numFmtId="11" fontId="0" fillId="0" borderId="4" xfId="0" applyNumberFormat="1" applyBorder="1"/>
    <xf numFmtId="0" fontId="0" fillId="7" borderId="0" xfId="0" applyFill="1" applyAlignment="1">
      <alignment wrapText="1"/>
    </xf>
    <xf numFmtId="0" fontId="0" fillId="2" borderId="0" xfId="0" applyFill="1" applyAlignment="1">
      <alignment wrapText="1"/>
    </xf>
    <xf numFmtId="0" fontId="4" fillId="2" borderId="0" xfId="0" applyFont="1" applyFill="1" applyAlignment="1">
      <alignment wrapText="1"/>
    </xf>
    <xf numFmtId="0" fontId="4" fillId="0" borderId="4" xfId="0" applyFont="1" applyBorder="1"/>
    <xf numFmtId="0" fontId="11" fillId="11" borderId="1" xfId="0" applyFont="1" applyFill="1" applyBorder="1"/>
    <xf numFmtId="2" fontId="11" fillId="11" borderId="1" xfId="0" applyNumberFormat="1" applyFont="1" applyFill="1" applyBorder="1"/>
    <xf numFmtId="0" fontId="0" fillId="11" borderId="1" xfId="0" applyFill="1" applyBorder="1"/>
    <xf numFmtId="2" fontId="0" fillId="11" borderId="1" xfId="0" applyNumberFormat="1" applyFill="1" applyBorder="1"/>
    <xf numFmtId="0" fontId="4" fillId="0" borderId="1" xfId="0" applyFont="1" applyBorder="1" applyAlignment="1">
      <alignment wrapText="1"/>
    </xf>
    <xf numFmtId="0" fontId="0" fillId="0" borderId="1" xfId="0" applyBorder="1" applyAlignment="1">
      <alignment wrapText="1"/>
    </xf>
    <xf numFmtId="0" fontId="0" fillId="2" borderId="5" xfId="0" applyFill="1" applyBorder="1" applyAlignment="1">
      <alignment wrapText="1"/>
    </xf>
    <xf numFmtId="2" fontId="0" fillId="0" borderId="0" xfId="0" applyNumberFormat="1" applyFill="1"/>
    <xf numFmtId="0" fontId="0" fillId="0" borderId="0" xfId="0" applyFill="1" applyAlignment="1">
      <alignment wrapText="1"/>
    </xf>
    <xf numFmtId="0" fontId="3" fillId="0" borderId="0" xfId="0" applyFont="1" applyFill="1" applyBorder="1"/>
    <xf numFmtId="166" fontId="0" fillId="0" borderId="0" xfId="0" applyNumberFormat="1" applyFill="1" applyBorder="1"/>
    <xf numFmtId="0" fontId="0" fillId="0" borderId="4" xfId="0" applyFont="1" applyFill="1" applyBorder="1"/>
    <xf numFmtId="0" fontId="0" fillId="0" borderId="4" xfId="0" applyFill="1" applyBorder="1"/>
    <xf numFmtId="165" fontId="4" fillId="0" borderId="0" xfId="0" applyNumberFormat="1" applyFont="1" applyFill="1" applyBorder="1"/>
    <xf numFmtId="0" fontId="0" fillId="7" borderId="16" xfId="0" applyFill="1" applyBorder="1"/>
    <xf numFmtId="0" fontId="0" fillId="7" borderId="16" xfId="0" applyFill="1" applyBorder="1" applyAlignment="1">
      <alignment wrapText="1"/>
    </xf>
    <xf numFmtId="0" fontId="0" fillId="7" borderId="22" xfId="0" applyFill="1" applyBorder="1" applyAlignment="1">
      <alignment wrapText="1"/>
    </xf>
    <xf numFmtId="165" fontId="0" fillId="0" borderId="0" xfId="0" applyNumberFormat="1" applyFill="1" applyBorder="1"/>
    <xf numFmtId="164" fontId="0" fillId="3" borderId="1" xfId="0" applyNumberFormat="1" applyFill="1" applyBorder="1"/>
    <xf numFmtId="0" fontId="0" fillId="0" borderId="0" xfId="0" applyAlignment="1">
      <alignment horizontal="right"/>
    </xf>
    <xf numFmtId="2" fontId="0" fillId="0" borderId="0" xfId="0" applyNumberFormat="1" applyBorder="1"/>
    <xf numFmtId="0" fontId="14" fillId="0" borderId="0" xfId="0" applyFont="1"/>
    <xf numFmtId="0" fontId="0" fillId="0" borderId="4" xfId="0" applyBorder="1" applyAlignment="1">
      <alignment horizontal="right"/>
    </xf>
    <xf numFmtId="0" fontId="11" fillId="7" borderId="4" xfId="0" applyFont="1" applyFill="1" applyBorder="1"/>
    <xf numFmtId="0" fontId="0" fillId="7" borderId="4" xfId="0" applyFill="1" applyBorder="1"/>
    <xf numFmtId="0" fontId="11" fillId="0" borderId="0" xfId="0" applyFont="1" applyAlignment="1"/>
    <xf numFmtId="0" fontId="0" fillId="12" borderId="0" xfId="0" applyFill="1"/>
    <xf numFmtId="0" fontId="0" fillId="12" borderId="8" xfId="0" applyFill="1" applyBorder="1"/>
    <xf numFmtId="0" fontId="0" fillId="12" borderId="9" xfId="0" applyFill="1" applyBorder="1"/>
    <xf numFmtId="2" fontId="0" fillId="11" borderId="19" xfId="0" applyNumberFormat="1" applyFill="1" applyBorder="1"/>
    <xf numFmtId="0" fontId="0" fillId="12" borderId="0" xfId="0" applyFill="1" applyBorder="1"/>
    <xf numFmtId="0" fontId="0" fillId="13" borderId="23" xfId="0" applyFill="1" applyBorder="1" applyAlignment="1">
      <alignment wrapText="1"/>
    </xf>
    <xf numFmtId="2" fontId="0" fillId="13" borderId="12" xfId="0" applyNumberFormat="1" applyFill="1" applyBorder="1"/>
    <xf numFmtId="0" fontId="0" fillId="13" borderId="0" xfId="0" applyFill="1" applyBorder="1"/>
    <xf numFmtId="2" fontId="0" fillId="13" borderId="0" xfId="0" applyNumberFormat="1" applyFill="1" applyBorder="1"/>
    <xf numFmtId="2" fontId="0" fillId="13" borderId="14" xfId="0" applyNumberFormat="1" applyFill="1" applyBorder="1"/>
    <xf numFmtId="2" fontId="0" fillId="2" borderId="0" xfId="0" applyNumberFormat="1" applyFill="1" applyBorder="1"/>
    <xf numFmtId="2" fontId="0" fillId="2" borderId="4" xfId="0" applyNumberFormat="1" applyFill="1" applyBorder="1"/>
    <xf numFmtId="0" fontId="0" fillId="13" borderId="12" xfId="0" applyFill="1" applyBorder="1"/>
    <xf numFmtId="2" fontId="0" fillId="13" borderId="4" xfId="0" applyNumberFormat="1" applyFill="1" applyBorder="1"/>
    <xf numFmtId="0" fontId="12" fillId="13" borderId="24" xfId="0" applyFont="1" applyFill="1" applyBorder="1" applyAlignment="1">
      <alignment wrapText="1"/>
    </xf>
    <xf numFmtId="0" fontId="0" fillId="13" borderId="3" xfId="0" applyFill="1" applyBorder="1" applyAlignment="1">
      <alignment wrapText="1"/>
    </xf>
    <xf numFmtId="0" fontId="0" fillId="13" borderId="13" xfId="0" applyNumberFormat="1" applyFill="1" applyBorder="1"/>
    <xf numFmtId="0" fontId="0" fillId="13" borderId="15" xfId="0" applyNumberFormat="1" applyFill="1" applyBorder="1"/>
    <xf numFmtId="166" fontId="17" fillId="15" borderId="19" xfId="2359" applyNumberFormat="1" applyFont="1" applyFill="1" applyBorder="1" applyAlignment="1">
      <alignment horizontal="right" wrapText="1"/>
    </xf>
    <xf numFmtId="0" fontId="17" fillId="15" borderId="19" xfId="2359" applyFont="1" applyFill="1" applyBorder="1" applyAlignment="1">
      <alignment horizontal="right" wrapText="1"/>
    </xf>
    <xf numFmtId="0" fontId="17" fillId="15" borderId="19" xfId="2359" applyFont="1" applyFill="1" applyBorder="1" applyAlignment="1">
      <alignment wrapText="1"/>
    </xf>
    <xf numFmtId="0" fontId="18" fillId="15" borderId="19" xfId="2359" applyFont="1" applyFill="1" applyBorder="1" applyAlignment="1">
      <alignment wrapText="1"/>
    </xf>
    <xf numFmtId="0" fontId="17" fillId="15" borderId="19" xfId="1861" applyFont="1" applyFill="1" applyBorder="1" applyAlignment="1">
      <alignment horizontal="right" wrapText="1"/>
    </xf>
    <xf numFmtId="0" fontId="11" fillId="15" borderId="19" xfId="0" applyFont="1" applyFill="1" applyBorder="1" applyAlignment="1">
      <alignment wrapText="1"/>
    </xf>
    <xf numFmtId="0" fontId="16" fillId="14" borderId="19" xfId="2360" applyBorder="1" applyAlignment="1">
      <alignment horizontal="left" wrapText="1"/>
    </xf>
    <xf numFmtId="0" fontId="16" fillId="14" borderId="19" xfId="2360" applyBorder="1" applyAlignment="1">
      <alignment horizontal="center" wrapText="1"/>
    </xf>
    <xf numFmtId="0" fontId="16" fillId="14" borderId="26" xfId="2360" applyBorder="1" applyAlignment="1">
      <alignment horizontal="center" wrapText="1"/>
    </xf>
    <xf numFmtId="0" fontId="4" fillId="0" borderId="0" xfId="0" applyFont="1" applyFill="1" applyAlignment="1">
      <alignment wrapText="1"/>
    </xf>
    <xf numFmtId="166" fontId="17" fillId="15" borderId="19" xfId="2359" applyNumberFormat="1" applyFont="1" applyFill="1" applyBorder="1" applyAlignment="1">
      <alignment horizontal="right"/>
    </xf>
    <xf numFmtId="2" fontId="17" fillId="15" borderId="19" xfId="2359" applyNumberFormat="1" applyFont="1" applyFill="1" applyBorder="1" applyAlignment="1">
      <alignment horizontal="right" wrapText="1"/>
    </xf>
    <xf numFmtId="2" fontId="17" fillId="15" borderId="19" xfId="2359" applyNumberFormat="1" applyFont="1" applyFill="1" applyBorder="1" applyAlignment="1">
      <alignment wrapText="1"/>
    </xf>
    <xf numFmtId="1" fontId="17" fillId="15" borderId="19" xfId="2359" applyNumberFormat="1" applyFont="1" applyFill="1" applyBorder="1" applyAlignment="1">
      <alignment wrapText="1"/>
    </xf>
    <xf numFmtId="165" fontId="17" fillId="15" borderId="19" xfId="2359" applyNumberFormat="1" applyFont="1" applyFill="1" applyBorder="1" applyAlignment="1">
      <alignment wrapText="1"/>
    </xf>
    <xf numFmtId="167" fontId="17" fillId="15" borderId="19" xfId="1862" applyNumberFormat="1" applyFont="1" applyFill="1" applyBorder="1"/>
    <xf numFmtId="11" fontId="17" fillId="15" borderId="19" xfId="2359" applyNumberFormat="1" applyFont="1" applyFill="1" applyBorder="1" applyAlignment="1">
      <alignment wrapText="1"/>
    </xf>
    <xf numFmtId="0" fontId="11" fillId="15" borderId="19" xfId="0" applyFont="1" applyFill="1" applyBorder="1"/>
    <xf numFmtId="165" fontId="16" fillId="14" borderId="19" xfId="2360" applyNumberFormat="1" applyBorder="1"/>
    <xf numFmtId="168" fontId="16" fillId="14" borderId="26" xfId="2360" applyNumberFormat="1" applyBorder="1"/>
    <xf numFmtId="0" fontId="4" fillId="0" borderId="0" xfId="0" applyFont="1"/>
    <xf numFmtId="2" fontId="4" fillId="0" borderId="0" xfId="0" applyNumberFormat="1" applyFont="1"/>
    <xf numFmtId="0" fontId="4" fillId="0" borderId="0" xfId="0" applyFont="1" applyAlignment="1">
      <alignment horizontal="center"/>
    </xf>
    <xf numFmtId="0" fontId="4" fillId="2" borderId="27" xfId="0" applyFont="1" applyFill="1" applyBorder="1"/>
    <xf numFmtId="2" fontId="4" fillId="2" borderId="28" xfId="0" applyNumberFormat="1" applyFont="1" applyFill="1" applyBorder="1"/>
    <xf numFmtId="0" fontId="4" fillId="2" borderId="12" xfId="0" applyFont="1" applyFill="1" applyBorder="1"/>
    <xf numFmtId="2" fontId="4" fillId="2" borderId="13" xfId="0" applyNumberFormat="1" applyFont="1" applyFill="1" applyBorder="1"/>
    <xf numFmtId="0" fontId="4" fillId="2" borderId="13" xfId="0" applyFont="1" applyFill="1" applyBorder="1"/>
    <xf numFmtId="0" fontId="4" fillId="0" borderId="0" xfId="0" applyFont="1" applyFill="1"/>
    <xf numFmtId="0" fontId="4" fillId="2" borderId="14" xfId="0" applyFont="1" applyFill="1" applyBorder="1"/>
    <xf numFmtId="164" fontId="4" fillId="2" borderId="15" xfId="0" applyNumberFormat="1" applyFont="1" applyFill="1" applyBorder="1"/>
    <xf numFmtId="0" fontId="11" fillId="3" borderId="4" xfId="0" applyFont="1" applyFill="1" applyBorder="1" applyAlignment="1">
      <alignment horizontal="center" wrapText="1"/>
    </xf>
    <xf numFmtId="0" fontId="4" fillId="3" borderId="4" xfId="0" applyFont="1" applyFill="1" applyBorder="1" applyAlignment="1">
      <alignment wrapText="1"/>
    </xf>
    <xf numFmtId="0" fontId="4" fillId="16" borderId="4" xfId="0" applyFont="1" applyFill="1" applyBorder="1" applyAlignment="1">
      <alignment wrapText="1"/>
    </xf>
    <xf numFmtId="0" fontId="4" fillId="0" borderId="0" xfId="0" applyFont="1" applyFill="1" applyBorder="1" applyAlignment="1">
      <alignment wrapText="1"/>
    </xf>
    <xf numFmtId="0" fontId="11" fillId="0" borderId="0" xfId="0" applyFont="1" applyAlignment="1">
      <alignment horizontal="left"/>
    </xf>
    <xf numFmtId="0" fontId="0" fillId="16" borderId="0" xfId="0" applyFill="1"/>
    <xf numFmtId="0" fontId="4" fillId="0" borderId="0" xfId="0" applyFont="1" applyAlignment="1">
      <alignment horizontal="left"/>
    </xf>
    <xf numFmtId="0" fontId="11" fillId="0" borderId="0" xfId="0" applyFont="1" applyFill="1" applyAlignment="1">
      <alignment horizontal="left"/>
    </xf>
    <xf numFmtId="0" fontId="0" fillId="4" borderId="0" xfId="0" applyFill="1"/>
    <xf numFmtId="0" fontId="0" fillId="4" borderId="5" xfId="0" applyFill="1" applyBorder="1"/>
    <xf numFmtId="0" fontId="0" fillId="9" borderId="0" xfId="0" applyFill="1"/>
    <xf numFmtId="2" fontId="0" fillId="9" borderId="0" xfId="0" applyNumberFormat="1" applyFill="1"/>
    <xf numFmtId="0" fontId="6" fillId="9" borderId="0" xfId="0" applyFont="1" applyFill="1"/>
    <xf numFmtId="0" fontId="6" fillId="0" borderId="0" xfId="0" applyFont="1" applyFill="1"/>
    <xf numFmtId="1" fontId="0" fillId="13" borderId="0" xfId="0" applyNumberFormat="1" applyFill="1"/>
    <xf numFmtId="0" fontId="0" fillId="13" borderId="0" xfId="0" applyFill="1"/>
    <xf numFmtId="0" fontId="0" fillId="4" borderId="0" xfId="0" applyFill="1" applyBorder="1"/>
    <xf numFmtId="0" fontId="23" fillId="0" borderId="0" xfId="0" applyFont="1"/>
    <xf numFmtId="0" fontId="0" fillId="0" borderId="0" xfId="0" applyFont="1"/>
    <xf numFmtId="0" fontId="0" fillId="17" borderId="0" xfId="0" applyFill="1" applyBorder="1"/>
    <xf numFmtId="168" fontId="22" fillId="17" borderId="0" xfId="1862" applyNumberFormat="1" applyFont="1" applyFill="1" applyBorder="1"/>
    <xf numFmtId="43" fontId="0" fillId="17" borderId="0" xfId="0" applyNumberFormat="1" applyFill="1" applyBorder="1"/>
    <xf numFmtId="0" fontId="4" fillId="17" borderId="27" xfId="0" applyFont="1" applyFill="1" applyBorder="1" applyAlignment="1">
      <alignment wrapText="1"/>
    </xf>
    <xf numFmtId="0" fontId="4" fillId="17" borderId="5" xfId="0" applyFont="1" applyFill="1" applyBorder="1" applyAlignment="1">
      <alignment wrapText="1"/>
    </xf>
    <xf numFmtId="0" fontId="4" fillId="17" borderId="28" xfId="0" applyFont="1" applyFill="1" applyBorder="1" applyAlignment="1">
      <alignment wrapText="1"/>
    </xf>
    <xf numFmtId="0" fontId="0" fillId="17" borderId="12" xfId="0" applyFill="1" applyBorder="1"/>
    <xf numFmtId="0" fontId="0" fillId="17" borderId="13" xfId="0" applyFill="1" applyBorder="1"/>
    <xf numFmtId="0" fontId="0" fillId="17" borderId="14" xfId="0" applyFill="1" applyBorder="1"/>
    <xf numFmtId="0" fontId="0" fillId="17" borderId="4" xfId="0" applyFill="1" applyBorder="1"/>
    <xf numFmtId="168" fontId="22" fillId="17" borderId="4" xfId="1862" applyNumberFormat="1" applyFont="1" applyFill="1" applyBorder="1"/>
    <xf numFmtId="0" fontId="0" fillId="17" borderId="15" xfId="0" applyFill="1" applyBorder="1"/>
    <xf numFmtId="168" fontId="0" fillId="17" borderId="0" xfId="0" applyNumberFormat="1" applyFill="1" applyBorder="1"/>
    <xf numFmtId="0" fontId="4" fillId="18" borderId="27" xfId="0" applyFont="1" applyFill="1" applyBorder="1" applyAlignment="1">
      <alignment wrapText="1"/>
    </xf>
    <xf numFmtId="0" fontId="4" fillId="18" borderId="5" xfId="0" applyFont="1" applyFill="1" applyBorder="1" applyAlignment="1">
      <alignment wrapText="1"/>
    </xf>
    <xf numFmtId="0" fontId="4" fillId="18" borderId="28" xfId="0" applyFont="1" applyFill="1" applyBorder="1" applyAlignment="1">
      <alignment wrapText="1"/>
    </xf>
    <xf numFmtId="0" fontId="0" fillId="18" borderId="12" xfId="0" applyFill="1" applyBorder="1"/>
    <xf numFmtId="0" fontId="24" fillId="18" borderId="0" xfId="0" applyFont="1" applyFill="1" applyBorder="1"/>
    <xf numFmtId="0" fontId="0" fillId="18" borderId="13" xfId="0" applyFill="1" applyBorder="1"/>
    <xf numFmtId="0" fontId="0" fillId="18" borderId="15" xfId="0" applyFill="1" applyBorder="1"/>
    <xf numFmtId="0" fontId="0" fillId="0" borderId="0" xfId="0" applyAlignment="1">
      <alignment horizontal="left" wrapText="1"/>
    </xf>
    <xf numFmtId="0" fontId="0" fillId="4" borderId="0" xfId="0" applyFill="1" applyAlignment="1">
      <alignment horizontal="center"/>
    </xf>
    <xf numFmtId="0" fontId="0" fillId="0" borderId="0" xfId="0" applyAlignment="1">
      <alignment horizontal="center"/>
    </xf>
    <xf numFmtId="0" fontId="0" fillId="4" borderId="8" xfId="0" applyFill="1" applyBorder="1" applyAlignment="1">
      <alignment horizontal="center"/>
    </xf>
    <xf numFmtId="0" fontId="0" fillId="4" borderId="9" xfId="0" applyFill="1" applyBorder="1" applyAlignment="1">
      <alignment horizontal="center"/>
    </xf>
    <xf numFmtId="0" fontId="0" fillId="2" borderId="8" xfId="0" applyFill="1" applyBorder="1" applyAlignment="1">
      <alignment horizontal="center"/>
    </xf>
    <xf numFmtId="0" fontId="0" fillId="2" borderId="9" xfId="0" applyFill="1" applyBorder="1" applyAlignment="1">
      <alignment horizontal="center"/>
    </xf>
    <xf numFmtId="0" fontId="0" fillId="13" borderId="8" xfId="0" applyFill="1" applyBorder="1" applyAlignment="1">
      <alignment horizontal="center"/>
    </xf>
    <xf numFmtId="0" fontId="0" fillId="13" borderId="1" xfId="0" applyFill="1" applyBorder="1" applyAlignment="1">
      <alignment horizontal="center"/>
    </xf>
    <xf numFmtId="0" fontId="0" fillId="13" borderId="9" xfId="0" applyFill="1" applyBorder="1" applyAlignment="1">
      <alignment horizontal="center"/>
    </xf>
  </cellXfs>
  <cellStyles count="2421">
    <cellStyle name="Calculation" xfId="2360" builtinId="22"/>
    <cellStyle name="Comma 2" xfId="1862"/>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Followed Hyperlink" xfId="822" builtinId="9" hidden="1"/>
    <cellStyle name="Followed Hyperlink" xfId="824" builtinId="9" hidden="1"/>
    <cellStyle name="Followed Hyperlink" xfId="826" builtinId="9" hidden="1"/>
    <cellStyle name="Followed Hyperlink" xfId="828" builtinId="9" hidden="1"/>
    <cellStyle name="Followed Hyperlink" xfId="830" builtinId="9" hidden="1"/>
    <cellStyle name="Followed Hyperlink" xfId="832" builtinId="9" hidden="1"/>
    <cellStyle name="Followed Hyperlink" xfId="834" builtinId="9" hidden="1"/>
    <cellStyle name="Followed Hyperlink" xfId="836" builtinId="9" hidden="1"/>
    <cellStyle name="Followed Hyperlink" xfId="838" builtinId="9" hidden="1"/>
    <cellStyle name="Followed Hyperlink" xfId="840" builtinId="9" hidden="1"/>
    <cellStyle name="Followed Hyperlink" xfId="842" builtinId="9" hidden="1"/>
    <cellStyle name="Followed Hyperlink" xfId="844" builtinId="9" hidden="1"/>
    <cellStyle name="Followed Hyperlink" xfId="846" builtinId="9" hidden="1"/>
    <cellStyle name="Followed Hyperlink" xfId="848" builtinId="9" hidden="1"/>
    <cellStyle name="Followed Hyperlink" xfId="850" builtinId="9" hidden="1"/>
    <cellStyle name="Followed Hyperlink" xfId="852" builtinId="9" hidden="1"/>
    <cellStyle name="Followed Hyperlink" xfId="854" builtinId="9" hidden="1"/>
    <cellStyle name="Followed Hyperlink" xfId="856" builtinId="9" hidden="1"/>
    <cellStyle name="Followed Hyperlink" xfId="858" builtinId="9" hidden="1"/>
    <cellStyle name="Followed Hyperlink" xfId="860" builtinId="9" hidden="1"/>
    <cellStyle name="Followed Hyperlink" xfId="862" builtinId="9" hidden="1"/>
    <cellStyle name="Followed Hyperlink" xfId="864" builtinId="9" hidden="1"/>
    <cellStyle name="Followed Hyperlink" xfId="866" builtinId="9" hidden="1"/>
    <cellStyle name="Followed Hyperlink" xfId="868" builtinId="9" hidden="1"/>
    <cellStyle name="Followed Hyperlink" xfId="870" builtinId="9" hidden="1"/>
    <cellStyle name="Followed Hyperlink" xfId="872" builtinId="9" hidden="1"/>
    <cellStyle name="Followed Hyperlink" xfId="874" builtinId="9" hidden="1"/>
    <cellStyle name="Followed Hyperlink" xfId="876" builtinId="9" hidden="1"/>
    <cellStyle name="Followed Hyperlink" xfId="878" builtinId="9" hidden="1"/>
    <cellStyle name="Followed Hyperlink" xfId="880" builtinId="9" hidden="1"/>
    <cellStyle name="Followed Hyperlink" xfId="882" builtinId="9" hidden="1"/>
    <cellStyle name="Followed Hyperlink" xfId="884" builtinId="9" hidden="1"/>
    <cellStyle name="Followed Hyperlink" xfId="886" builtinId="9" hidden="1"/>
    <cellStyle name="Followed Hyperlink" xfId="888" builtinId="9" hidden="1"/>
    <cellStyle name="Followed Hyperlink" xfId="890" builtinId="9" hidden="1"/>
    <cellStyle name="Followed Hyperlink" xfId="892" builtinId="9" hidden="1"/>
    <cellStyle name="Followed Hyperlink" xfId="894" builtinId="9" hidden="1"/>
    <cellStyle name="Followed Hyperlink" xfId="896" builtinId="9" hidden="1"/>
    <cellStyle name="Followed Hyperlink" xfId="898" builtinId="9" hidden="1"/>
    <cellStyle name="Followed Hyperlink" xfId="900" builtinId="9" hidden="1"/>
    <cellStyle name="Followed Hyperlink" xfId="902" builtinId="9" hidden="1"/>
    <cellStyle name="Followed Hyperlink" xfId="904" builtinId="9" hidden="1"/>
    <cellStyle name="Followed Hyperlink" xfId="906" builtinId="9" hidden="1"/>
    <cellStyle name="Followed Hyperlink" xfId="908" builtinId="9" hidden="1"/>
    <cellStyle name="Followed Hyperlink" xfId="910" builtinId="9" hidden="1"/>
    <cellStyle name="Followed Hyperlink" xfId="912" builtinId="9" hidden="1"/>
    <cellStyle name="Followed Hyperlink" xfId="914" builtinId="9" hidden="1"/>
    <cellStyle name="Followed Hyperlink" xfId="916" builtinId="9" hidden="1"/>
    <cellStyle name="Followed Hyperlink" xfId="918" builtinId="9" hidden="1"/>
    <cellStyle name="Followed Hyperlink" xfId="920" builtinId="9" hidden="1"/>
    <cellStyle name="Followed Hyperlink" xfId="922" builtinId="9" hidden="1"/>
    <cellStyle name="Followed Hyperlink" xfId="924" builtinId="9" hidden="1"/>
    <cellStyle name="Followed Hyperlink" xfId="926" builtinId="9" hidden="1"/>
    <cellStyle name="Followed Hyperlink" xfId="928" builtinId="9" hidden="1"/>
    <cellStyle name="Followed Hyperlink" xfId="930" builtinId="9" hidden="1"/>
    <cellStyle name="Followed Hyperlink" xfId="932" builtinId="9" hidden="1"/>
    <cellStyle name="Followed Hyperlink" xfId="934" builtinId="9" hidden="1"/>
    <cellStyle name="Followed Hyperlink" xfId="936" builtinId="9" hidden="1"/>
    <cellStyle name="Followed Hyperlink" xfId="938" builtinId="9" hidden="1"/>
    <cellStyle name="Followed Hyperlink" xfId="940" builtinId="9" hidden="1"/>
    <cellStyle name="Followed Hyperlink" xfId="942" builtinId="9" hidden="1"/>
    <cellStyle name="Followed Hyperlink" xfId="944" builtinId="9" hidden="1"/>
    <cellStyle name="Followed Hyperlink" xfId="946" builtinId="9" hidden="1"/>
    <cellStyle name="Followed Hyperlink" xfId="948" builtinId="9" hidden="1"/>
    <cellStyle name="Followed Hyperlink" xfId="950" builtinId="9" hidden="1"/>
    <cellStyle name="Followed Hyperlink" xfId="952" builtinId="9" hidden="1"/>
    <cellStyle name="Followed Hyperlink" xfId="954" builtinId="9" hidden="1"/>
    <cellStyle name="Followed Hyperlink" xfId="956" builtinId="9" hidden="1"/>
    <cellStyle name="Followed Hyperlink" xfId="958" builtinId="9" hidden="1"/>
    <cellStyle name="Followed Hyperlink" xfId="960" builtinId="9" hidden="1"/>
    <cellStyle name="Followed Hyperlink" xfId="962" builtinId="9" hidden="1"/>
    <cellStyle name="Followed Hyperlink" xfId="964" builtinId="9" hidden="1"/>
    <cellStyle name="Followed Hyperlink" xfId="966" builtinId="9" hidden="1"/>
    <cellStyle name="Followed Hyperlink" xfId="968" builtinId="9" hidden="1"/>
    <cellStyle name="Followed Hyperlink" xfId="970" builtinId="9" hidden="1"/>
    <cellStyle name="Followed Hyperlink" xfId="972" builtinId="9" hidden="1"/>
    <cellStyle name="Followed Hyperlink" xfId="974" builtinId="9" hidden="1"/>
    <cellStyle name="Followed Hyperlink" xfId="976" builtinId="9" hidden="1"/>
    <cellStyle name="Followed Hyperlink" xfId="978" builtinId="9" hidden="1"/>
    <cellStyle name="Followed Hyperlink" xfId="980" builtinId="9" hidden="1"/>
    <cellStyle name="Followed Hyperlink" xfId="982" builtinId="9" hidden="1"/>
    <cellStyle name="Followed Hyperlink" xfId="984" builtinId="9" hidden="1"/>
    <cellStyle name="Followed Hyperlink" xfId="986" builtinId="9" hidden="1"/>
    <cellStyle name="Followed Hyperlink" xfId="988" builtinId="9" hidden="1"/>
    <cellStyle name="Followed Hyperlink" xfId="990" builtinId="9" hidden="1"/>
    <cellStyle name="Followed Hyperlink" xfId="992" builtinId="9" hidden="1"/>
    <cellStyle name="Followed Hyperlink" xfId="994" builtinId="9" hidden="1"/>
    <cellStyle name="Followed Hyperlink" xfId="996" builtinId="9" hidden="1"/>
    <cellStyle name="Followed Hyperlink" xfId="998" builtinId="9" hidden="1"/>
    <cellStyle name="Followed Hyperlink" xfId="1000" builtinId="9" hidden="1"/>
    <cellStyle name="Followed Hyperlink" xfId="1002" builtinId="9" hidden="1"/>
    <cellStyle name="Followed Hyperlink" xfId="1004" builtinId="9" hidden="1"/>
    <cellStyle name="Followed Hyperlink" xfId="1006" builtinId="9" hidden="1"/>
    <cellStyle name="Followed Hyperlink" xfId="1008" builtinId="9" hidden="1"/>
    <cellStyle name="Followed Hyperlink" xfId="1010" builtinId="9" hidden="1"/>
    <cellStyle name="Followed Hyperlink" xfId="1012" builtinId="9" hidden="1"/>
    <cellStyle name="Followed Hyperlink" xfId="1014" builtinId="9" hidden="1"/>
    <cellStyle name="Followed Hyperlink" xfId="1016" builtinId="9" hidden="1"/>
    <cellStyle name="Followed Hyperlink" xfId="1018" builtinId="9" hidden="1"/>
    <cellStyle name="Followed Hyperlink" xfId="1020" builtinId="9" hidden="1"/>
    <cellStyle name="Followed Hyperlink" xfId="1022" builtinId="9" hidden="1"/>
    <cellStyle name="Followed Hyperlink" xfId="1024" builtinId="9" hidden="1"/>
    <cellStyle name="Followed Hyperlink" xfId="1026" builtinId="9" hidden="1"/>
    <cellStyle name="Followed Hyperlink" xfId="1028" builtinId="9" hidden="1"/>
    <cellStyle name="Followed Hyperlink" xfId="1030" builtinId="9" hidden="1"/>
    <cellStyle name="Followed Hyperlink" xfId="1032" builtinId="9" hidden="1"/>
    <cellStyle name="Followed Hyperlink" xfId="1034" builtinId="9" hidden="1"/>
    <cellStyle name="Followed Hyperlink" xfId="1036" builtinId="9" hidden="1"/>
    <cellStyle name="Followed Hyperlink" xfId="1038" builtinId="9" hidden="1"/>
    <cellStyle name="Followed Hyperlink" xfId="1040" builtinId="9" hidden="1"/>
    <cellStyle name="Followed Hyperlink" xfId="1042" builtinId="9" hidden="1"/>
    <cellStyle name="Followed Hyperlink" xfId="1044" builtinId="9" hidden="1"/>
    <cellStyle name="Followed Hyperlink" xfId="1046" builtinId="9" hidden="1"/>
    <cellStyle name="Followed Hyperlink" xfId="1048" builtinId="9" hidden="1"/>
    <cellStyle name="Followed Hyperlink" xfId="1050" builtinId="9" hidden="1"/>
    <cellStyle name="Followed Hyperlink" xfId="1052" builtinId="9" hidden="1"/>
    <cellStyle name="Followed Hyperlink" xfId="1054" builtinId="9" hidden="1"/>
    <cellStyle name="Followed Hyperlink" xfId="1056" builtinId="9" hidden="1"/>
    <cellStyle name="Followed Hyperlink" xfId="1058" builtinId="9" hidden="1"/>
    <cellStyle name="Followed Hyperlink" xfId="1060" builtinId="9" hidden="1"/>
    <cellStyle name="Followed Hyperlink" xfId="1062" builtinId="9" hidden="1"/>
    <cellStyle name="Followed Hyperlink" xfId="1064" builtinId="9" hidden="1"/>
    <cellStyle name="Followed Hyperlink" xfId="1066" builtinId="9" hidden="1"/>
    <cellStyle name="Followed Hyperlink" xfId="1068" builtinId="9" hidden="1"/>
    <cellStyle name="Followed Hyperlink" xfId="1070" builtinId="9" hidden="1"/>
    <cellStyle name="Followed Hyperlink" xfId="1072" builtinId="9" hidden="1"/>
    <cellStyle name="Followed Hyperlink" xfId="1074" builtinId="9" hidden="1"/>
    <cellStyle name="Followed Hyperlink" xfId="1076" builtinId="9" hidden="1"/>
    <cellStyle name="Followed Hyperlink" xfId="1078" builtinId="9" hidden="1"/>
    <cellStyle name="Followed Hyperlink" xfId="1080" builtinId="9" hidden="1"/>
    <cellStyle name="Followed Hyperlink" xfId="1082" builtinId="9" hidden="1"/>
    <cellStyle name="Followed Hyperlink" xfId="1084" builtinId="9" hidden="1"/>
    <cellStyle name="Followed Hyperlink" xfId="1086" builtinId="9" hidden="1"/>
    <cellStyle name="Followed Hyperlink" xfId="1088" builtinId="9" hidden="1"/>
    <cellStyle name="Followed Hyperlink" xfId="1090" builtinId="9" hidden="1"/>
    <cellStyle name="Followed Hyperlink" xfId="1092" builtinId="9" hidden="1"/>
    <cellStyle name="Followed Hyperlink" xfId="1094" builtinId="9" hidden="1"/>
    <cellStyle name="Followed Hyperlink" xfId="1096" builtinId="9" hidden="1"/>
    <cellStyle name="Followed Hyperlink" xfId="1098" builtinId="9" hidden="1"/>
    <cellStyle name="Followed Hyperlink" xfId="1100" builtinId="9" hidden="1"/>
    <cellStyle name="Followed Hyperlink" xfId="1102" builtinId="9" hidden="1"/>
    <cellStyle name="Followed Hyperlink" xfId="1104" builtinId="9" hidden="1"/>
    <cellStyle name="Followed Hyperlink" xfId="1106" builtinId="9" hidden="1"/>
    <cellStyle name="Followed Hyperlink" xfId="1108" builtinId="9" hidden="1"/>
    <cellStyle name="Followed Hyperlink" xfId="1110" builtinId="9" hidden="1"/>
    <cellStyle name="Followed Hyperlink" xfId="1112" builtinId="9" hidden="1"/>
    <cellStyle name="Followed Hyperlink" xfId="1114" builtinId="9" hidden="1"/>
    <cellStyle name="Followed Hyperlink" xfId="1116" builtinId="9" hidden="1"/>
    <cellStyle name="Followed Hyperlink" xfId="1118" builtinId="9" hidden="1"/>
    <cellStyle name="Followed Hyperlink" xfId="1120" builtinId="9" hidden="1"/>
    <cellStyle name="Followed Hyperlink" xfId="1122" builtinId="9" hidden="1"/>
    <cellStyle name="Followed Hyperlink" xfId="1124" builtinId="9" hidden="1"/>
    <cellStyle name="Followed Hyperlink" xfId="1126" builtinId="9" hidden="1"/>
    <cellStyle name="Followed Hyperlink" xfId="1128" builtinId="9" hidden="1"/>
    <cellStyle name="Followed Hyperlink" xfId="1130" builtinId="9" hidden="1"/>
    <cellStyle name="Followed Hyperlink" xfId="1132" builtinId="9" hidden="1"/>
    <cellStyle name="Followed Hyperlink" xfId="1134" builtinId="9" hidden="1"/>
    <cellStyle name="Followed Hyperlink" xfId="1136" builtinId="9" hidden="1"/>
    <cellStyle name="Followed Hyperlink" xfId="1138" builtinId="9" hidden="1"/>
    <cellStyle name="Followed Hyperlink" xfId="1140" builtinId="9" hidden="1"/>
    <cellStyle name="Followed Hyperlink" xfId="1142" builtinId="9" hidden="1"/>
    <cellStyle name="Followed Hyperlink" xfId="1144" builtinId="9" hidden="1"/>
    <cellStyle name="Followed Hyperlink" xfId="1146" builtinId="9" hidden="1"/>
    <cellStyle name="Followed Hyperlink" xfId="1148" builtinId="9" hidden="1"/>
    <cellStyle name="Followed Hyperlink" xfId="1150" builtinId="9" hidden="1"/>
    <cellStyle name="Followed Hyperlink" xfId="1152" builtinId="9" hidden="1"/>
    <cellStyle name="Followed Hyperlink" xfId="1154" builtinId="9" hidden="1"/>
    <cellStyle name="Followed Hyperlink" xfId="1156" builtinId="9" hidden="1"/>
    <cellStyle name="Followed Hyperlink" xfId="1158" builtinId="9" hidden="1"/>
    <cellStyle name="Followed Hyperlink" xfId="1160" builtinId="9" hidden="1"/>
    <cellStyle name="Followed Hyperlink" xfId="1162" builtinId="9" hidden="1"/>
    <cellStyle name="Followed Hyperlink" xfId="1164" builtinId="9" hidden="1"/>
    <cellStyle name="Followed Hyperlink" xfId="1166" builtinId="9" hidden="1"/>
    <cellStyle name="Followed Hyperlink" xfId="1168" builtinId="9" hidden="1"/>
    <cellStyle name="Followed Hyperlink" xfId="1170" builtinId="9" hidden="1"/>
    <cellStyle name="Followed Hyperlink" xfId="1172" builtinId="9" hidden="1"/>
    <cellStyle name="Followed Hyperlink" xfId="1174" builtinId="9" hidden="1"/>
    <cellStyle name="Followed Hyperlink" xfId="1176" builtinId="9" hidden="1"/>
    <cellStyle name="Followed Hyperlink" xfId="1178" builtinId="9" hidden="1"/>
    <cellStyle name="Followed Hyperlink" xfId="1180" builtinId="9" hidden="1"/>
    <cellStyle name="Followed Hyperlink" xfId="1182" builtinId="9" hidden="1"/>
    <cellStyle name="Followed Hyperlink" xfId="1184" builtinId="9" hidden="1"/>
    <cellStyle name="Followed Hyperlink" xfId="1186" builtinId="9" hidden="1"/>
    <cellStyle name="Followed Hyperlink" xfId="1188" builtinId="9" hidden="1"/>
    <cellStyle name="Followed Hyperlink" xfId="1190" builtinId="9" hidden="1"/>
    <cellStyle name="Followed Hyperlink" xfId="1192" builtinId="9" hidden="1"/>
    <cellStyle name="Followed Hyperlink" xfId="1194" builtinId="9" hidden="1"/>
    <cellStyle name="Followed Hyperlink" xfId="1196" builtinId="9" hidden="1"/>
    <cellStyle name="Followed Hyperlink" xfId="1198" builtinId="9" hidden="1"/>
    <cellStyle name="Followed Hyperlink" xfId="1200" builtinId="9" hidden="1"/>
    <cellStyle name="Followed Hyperlink" xfId="1202" builtinId="9" hidden="1"/>
    <cellStyle name="Followed Hyperlink" xfId="1204" builtinId="9" hidden="1"/>
    <cellStyle name="Followed Hyperlink" xfId="1206" builtinId="9" hidden="1"/>
    <cellStyle name="Followed Hyperlink" xfId="1208" builtinId="9" hidden="1"/>
    <cellStyle name="Followed Hyperlink" xfId="1210" builtinId="9" hidden="1"/>
    <cellStyle name="Followed Hyperlink" xfId="1212" builtinId="9" hidden="1"/>
    <cellStyle name="Followed Hyperlink" xfId="1214" builtinId="9" hidden="1"/>
    <cellStyle name="Followed Hyperlink" xfId="1216" builtinId="9" hidden="1"/>
    <cellStyle name="Followed Hyperlink" xfId="1218" builtinId="9" hidden="1"/>
    <cellStyle name="Followed Hyperlink" xfId="1220" builtinId="9" hidden="1"/>
    <cellStyle name="Followed Hyperlink" xfId="1222" builtinId="9" hidden="1"/>
    <cellStyle name="Followed Hyperlink" xfId="1224" builtinId="9" hidden="1"/>
    <cellStyle name="Followed Hyperlink" xfId="1226" builtinId="9" hidden="1"/>
    <cellStyle name="Followed Hyperlink" xfId="1228" builtinId="9" hidden="1"/>
    <cellStyle name="Followed Hyperlink" xfId="1230" builtinId="9" hidden="1"/>
    <cellStyle name="Followed Hyperlink" xfId="1232" builtinId="9" hidden="1"/>
    <cellStyle name="Followed Hyperlink" xfId="1234" builtinId="9" hidden="1"/>
    <cellStyle name="Followed Hyperlink" xfId="1236" builtinId="9" hidden="1"/>
    <cellStyle name="Followed Hyperlink" xfId="1238" builtinId="9" hidden="1"/>
    <cellStyle name="Followed Hyperlink" xfId="1240" builtinId="9" hidden="1"/>
    <cellStyle name="Followed Hyperlink" xfId="1242" builtinId="9" hidden="1"/>
    <cellStyle name="Followed Hyperlink" xfId="1244" builtinId="9" hidden="1"/>
    <cellStyle name="Followed Hyperlink" xfId="1246" builtinId="9" hidden="1"/>
    <cellStyle name="Followed Hyperlink" xfId="1248" builtinId="9" hidden="1"/>
    <cellStyle name="Followed Hyperlink" xfId="1250" builtinId="9" hidden="1"/>
    <cellStyle name="Followed Hyperlink" xfId="1252" builtinId="9" hidden="1"/>
    <cellStyle name="Followed Hyperlink" xfId="1254" builtinId="9" hidden="1"/>
    <cellStyle name="Followed Hyperlink" xfId="1256" builtinId="9" hidden="1"/>
    <cellStyle name="Followed Hyperlink" xfId="1258" builtinId="9" hidden="1"/>
    <cellStyle name="Followed Hyperlink" xfId="1260" builtinId="9" hidden="1"/>
    <cellStyle name="Followed Hyperlink" xfId="1262" builtinId="9" hidden="1"/>
    <cellStyle name="Followed Hyperlink" xfId="1264" builtinId="9" hidden="1"/>
    <cellStyle name="Followed Hyperlink" xfId="1266" builtinId="9" hidden="1"/>
    <cellStyle name="Followed Hyperlink" xfId="1268" builtinId="9" hidden="1"/>
    <cellStyle name="Followed Hyperlink" xfId="1270" builtinId="9" hidden="1"/>
    <cellStyle name="Followed Hyperlink" xfId="1272" builtinId="9" hidden="1"/>
    <cellStyle name="Followed Hyperlink" xfId="1274" builtinId="9" hidden="1"/>
    <cellStyle name="Followed Hyperlink" xfId="1276" builtinId="9" hidden="1"/>
    <cellStyle name="Followed Hyperlink" xfId="1278" builtinId="9" hidden="1"/>
    <cellStyle name="Followed Hyperlink" xfId="1280" builtinId="9" hidden="1"/>
    <cellStyle name="Followed Hyperlink" xfId="1282" builtinId="9" hidden="1"/>
    <cellStyle name="Followed Hyperlink" xfId="1284" builtinId="9" hidden="1"/>
    <cellStyle name="Followed Hyperlink" xfId="1286" builtinId="9" hidden="1"/>
    <cellStyle name="Followed Hyperlink" xfId="1288" builtinId="9" hidden="1"/>
    <cellStyle name="Followed Hyperlink" xfId="1290" builtinId="9" hidden="1"/>
    <cellStyle name="Followed Hyperlink" xfId="1292" builtinId="9" hidden="1"/>
    <cellStyle name="Followed Hyperlink" xfId="1294" builtinId="9" hidden="1"/>
    <cellStyle name="Followed Hyperlink" xfId="1296" builtinId="9" hidden="1"/>
    <cellStyle name="Followed Hyperlink" xfId="1298" builtinId="9" hidden="1"/>
    <cellStyle name="Followed Hyperlink" xfId="1300" builtinId="9" hidden="1"/>
    <cellStyle name="Followed Hyperlink" xfId="1302" builtinId="9" hidden="1"/>
    <cellStyle name="Followed Hyperlink" xfId="1304" builtinId="9" hidden="1"/>
    <cellStyle name="Followed Hyperlink" xfId="1306" builtinId="9" hidden="1"/>
    <cellStyle name="Followed Hyperlink" xfId="1308" builtinId="9" hidden="1"/>
    <cellStyle name="Followed Hyperlink" xfId="1310" builtinId="9" hidden="1"/>
    <cellStyle name="Followed Hyperlink" xfId="1312" builtinId="9" hidden="1"/>
    <cellStyle name="Followed Hyperlink" xfId="1314" builtinId="9" hidden="1"/>
    <cellStyle name="Followed Hyperlink" xfId="1316" builtinId="9" hidden="1"/>
    <cellStyle name="Followed Hyperlink" xfId="1318" builtinId="9" hidden="1"/>
    <cellStyle name="Followed Hyperlink" xfId="1320" builtinId="9" hidden="1"/>
    <cellStyle name="Followed Hyperlink" xfId="1322" builtinId="9" hidden="1"/>
    <cellStyle name="Followed Hyperlink" xfId="1324" builtinId="9" hidden="1"/>
    <cellStyle name="Followed Hyperlink" xfId="1326" builtinId="9" hidden="1"/>
    <cellStyle name="Followed Hyperlink" xfId="1328" builtinId="9" hidden="1"/>
    <cellStyle name="Followed Hyperlink" xfId="1330" builtinId="9" hidden="1"/>
    <cellStyle name="Followed Hyperlink" xfId="1332" builtinId="9" hidden="1"/>
    <cellStyle name="Followed Hyperlink" xfId="1334" builtinId="9" hidden="1"/>
    <cellStyle name="Followed Hyperlink" xfId="1336" builtinId="9" hidden="1"/>
    <cellStyle name="Followed Hyperlink" xfId="1338" builtinId="9" hidden="1"/>
    <cellStyle name="Followed Hyperlink" xfId="1340" builtinId="9" hidden="1"/>
    <cellStyle name="Followed Hyperlink" xfId="1342" builtinId="9" hidden="1"/>
    <cellStyle name="Followed Hyperlink" xfId="1344" builtinId="9" hidden="1"/>
    <cellStyle name="Followed Hyperlink" xfId="1346" builtinId="9" hidden="1"/>
    <cellStyle name="Followed Hyperlink" xfId="1348" builtinId="9" hidden="1"/>
    <cellStyle name="Followed Hyperlink" xfId="1350" builtinId="9" hidden="1"/>
    <cellStyle name="Followed Hyperlink" xfId="1352" builtinId="9" hidden="1"/>
    <cellStyle name="Followed Hyperlink" xfId="1354" builtinId="9" hidden="1"/>
    <cellStyle name="Followed Hyperlink" xfId="1356" builtinId="9" hidden="1"/>
    <cellStyle name="Followed Hyperlink" xfId="1358" builtinId="9" hidden="1"/>
    <cellStyle name="Followed Hyperlink" xfId="1360" builtinId="9" hidden="1"/>
    <cellStyle name="Followed Hyperlink" xfId="1362" builtinId="9" hidden="1"/>
    <cellStyle name="Followed Hyperlink" xfId="1364" builtinId="9" hidden="1"/>
    <cellStyle name="Followed Hyperlink" xfId="1366" builtinId="9" hidden="1"/>
    <cellStyle name="Followed Hyperlink" xfId="1368" builtinId="9" hidden="1"/>
    <cellStyle name="Followed Hyperlink" xfId="1370" builtinId="9" hidden="1"/>
    <cellStyle name="Followed Hyperlink" xfId="1372" builtinId="9" hidden="1"/>
    <cellStyle name="Followed Hyperlink" xfId="1374" builtinId="9" hidden="1"/>
    <cellStyle name="Followed Hyperlink" xfId="1376" builtinId="9" hidden="1"/>
    <cellStyle name="Followed Hyperlink" xfId="1378" builtinId="9" hidden="1"/>
    <cellStyle name="Followed Hyperlink" xfId="1380" builtinId="9" hidden="1"/>
    <cellStyle name="Followed Hyperlink" xfId="1382" builtinId="9" hidden="1"/>
    <cellStyle name="Followed Hyperlink" xfId="1384" builtinId="9" hidden="1"/>
    <cellStyle name="Followed Hyperlink" xfId="1386" builtinId="9" hidden="1"/>
    <cellStyle name="Followed Hyperlink" xfId="1388" builtinId="9" hidden="1"/>
    <cellStyle name="Followed Hyperlink" xfId="1390" builtinId="9" hidden="1"/>
    <cellStyle name="Followed Hyperlink" xfId="1392" builtinId="9" hidden="1"/>
    <cellStyle name="Followed Hyperlink" xfId="1394" builtinId="9" hidden="1"/>
    <cellStyle name="Followed Hyperlink" xfId="1396" builtinId="9" hidden="1"/>
    <cellStyle name="Followed Hyperlink" xfId="1398" builtinId="9" hidden="1"/>
    <cellStyle name="Followed Hyperlink" xfId="1400" builtinId="9" hidden="1"/>
    <cellStyle name="Followed Hyperlink" xfId="1402" builtinId="9" hidden="1"/>
    <cellStyle name="Followed Hyperlink" xfId="1404" builtinId="9" hidden="1"/>
    <cellStyle name="Followed Hyperlink" xfId="1406" builtinId="9" hidden="1"/>
    <cellStyle name="Followed Hyperlink" xfId="1408" builtinId="9" hidden="1"/>
    <cellStyle name="Followed Hyperlink" xfId="1410" builtinId="9" hidden="1"/>
    <cellStyle name="Followed Hyperlink" xfId="1412" builtinId="9" hidden="1"/>
    <cellStyle name="Followed Hyperlink" xfId="1414" builtinId="9" hidden="1"/>
    <cellStyle name="Followed Hyperlink" xfId="1416" builtinId="9" hidden="1"/>
    <cellStyle name="Followed Hyperlink" xfId="1418" builtinId="9" hidden="1"/>
    <cellStyle name="Followed Hyperlink" xfId="1420" builtinId="9" hidden="1"/>
    <cellStyle name="Followed Hyperlink" xfId="1422" builtinId="9" hidden="1"/>
    <cellStyle name="Followed Hyperlink" xfId="1424" builtinId="9" hidden="1"/>
    <cellStyle name="Followed Hyperlink" xfId="1426" builtinId="9" hidden="1"/>
    <cellStyle name="Followed Hyperlink" xfId="1428" builtinId="9" hidden="1"/>
    <cellStyle name="Followed Hyperlink" xfId="1430" builtinId="9" hidden="1"/>
    <cellStyle name="Followed Hyperlink" xfId="1432" builtinId="9" hidden="1"/>
    <cellStyle name="Followed Hyperlink" xfId="1434" builtinId="9" hidden="1"/>
    <cellStyle name="Followed Hyperlink" xfId="1436" builtinId="9" hidden="1"/>
    <cellStyle name="Followed Hyperlink" xfId="1438" builtinId="9" hidden="1"/>
    <cellStyle name="Followed Hyperlink" xfId="1440" builtinId="9" hidden="1"/>
    <cellStyle name="Followed Hyperlink" xfId="1442" builtinId="9" hidden="1"/>
    <cellStyle name="Followed Hyperlink" xfId="1444" builtinId="9" hidden="1"/>
    <cellStyle name="Followed Hyperlink" xfId="1446" builtinId="9" hidden="1"/>
    <cellStyle name="Followed Hyperlink" xfId="1448" builtinId="9" hidden="1"/>
    <cellStyle name="Followed Hyperlink" xfId="1450" builtinId="9" hidden="1"/>
    <cellStyle name="Followed Hyperlink" xfId="1452" builtinId="9" hidden="1"/>
    <cellStyle name="Followed Hyperlink" xfId="1454" builtinId="9" hidden="1"/>
    <cellStyle name="Followed Hyperlink" xfId="1456" builtinId="9" hidden="1"/>
    <cellStyle name="Followed Hyperlink" xfId="1458" builtinId="9" hidden="1"/>
    <cellStyle name="Followed Hyperlink" xfId="1460" builtinId="9" hidden="1"/>
    <cellStyle name="Followed Hyperlink" xfId="1462" builtinId="9" hidden="1"/>
    <cellStyle name="Followed Hyperlink" xfId="1464" builtinId="9" hidden="1"/>
    <cellStyle name="Followed Hyperlink" xfId="1466" builtinId="9" hidden="1"/>
    <cellStyle name="Followed Hyperlink" xfId="1468" builtinId="9" hidden="1"/>
    <cellStyle name="Followed Hyperlink" xfId="1470" builtinId="9" hidden="1"/>
    <cellStyle name="Followed Hyperlink" xfId="1472" builtinId="9" hidden="1"/>
    <cellStyle name="Followed Hyperlink" xfId="1474" builtinId="9" hidden="1"/>
    <cellStyle name="Followed Hyperlink" xfId="1476" builtinId="9" hidden="1"/>
    <cellStyle name="Followed Hyperlink" xfId="1478" builtinId="9" hidden="1"/>
    <cellStyle name="Followed Hyperlink" xfId="1480" builtinId="9" hidden="1"/>
    <cellStyle name="Followed Hyperlink" xfId="1482" builtinId="9" hidden="1"/>
    <cellStyle name="Followed Hyperlink" xfId="1484" builtinId="9" hidden="1"/>
    <cellStyle name="Followed Hyperlink" xfId="1486" builtinId="9" hidden="1"/>
    <cellStyle name="Followed Hyperlink" xfId="1488" builtinId="9" hidden="1"/>
    <cellStyle name="Followed Hyperlink" xfId="1490" builtinId="9" hidden="1"/>
    <cellStyle name="Followed Hyperlink" xfId="1492" builtinId="9" hidden="1"/>
    <cellStyle name="Followed Hyperlink" xfId="1494" builtinId="9" hidden="1"/>
    <cellStyle name="Followed Hyperlink" xfId="1496" builtinId="9" hidden="1"/>
    <cellStyle name="Followed Hyperlink" xfId="1498" builtinId="9" hidden="1"/>
    <cellStyle name="Followed Hyperlink" xfId="1500" builtinId="9" hidden="1"/>
    <cellStyle name="Followed Hyperlink" xfId="1502" builtinId="9" hidden="1"/>
    <cellStyle name="Followed Hyperlink" xfId="1504" builtinId="9" hidden="1"/>
    <cellStyle name="Followed Hyperlink" xfId="1506" builtinId="9" hidden="1"/>
    <cellStyle name="Followed Hyperlink" xfId="1508" builtinId="9" hidden="1"/>
    <cellStyle name="Followed Hyperlink" xfId="1510" builtinId="9" hidden="1"/>
    <cellStyle name="Followed Hyperlink" xfId="1512" builtinId="9" hidden="1"/>
    <cellStyle name="Followed Hyperlink" xfId="1514" builtinId="9" hidden="1"/>
    <cellStyle name="Followed Hyperlink" xfId="1516" builtinId="9" hidden="1"/>
    <cellStyle name="Followed Hyperlink" xfId="1518" builtinId="9" hidden="1"/>
    <cellStyle name="Followed Hyperlink" xfId="1520" builtinId="9" hidden="1"/>
    <cellStyle name="Followed Hyperlink" xfId="1522" builtinId="9" hidden="1"/>
    <cellStyle name="Followed Hyperlink" xfId="1524" builtinId="9" hidden="1"/>
    <cellStyle name="Followed Hyperlink" xfId="1526" builtinId="9" hidden="1"/>
    <cellStyle name="Followed Hyperlink" xfId="1528" builtinId="9" hidden="1"/>
    <cellStyle name="Followed Hyperlink" xfId="1530" builtinId="9" hidden="1"/>
    <cellStyle name="Followed Hyperlink" xfId="1532" builtinId="9" hidden="1"/>
    <cellStyle name="Followed Hyperlink" xfId="1534" builtinId="9" hidden="1"/>
    <cellStyle name="Followed Hyperlink" xfId="1536" builtinId="9" hidden="1"/>
    <cellStyle name="Followed Hyperlink" xfId="1538" builtinId="9" hidden="1"/>
    <cellStyle name="Followed Hyperlink" xfId="1540" builtinId="9" hidden="1"/>
    <cellStyle name="Followed Hyperlink" xfId="1542" builtinId="9" hidden="1"/>
    <cellStyle name="Followed Hyperlink" xfId="1544" builtinId="9" hidden="1"/>
    <cellStyle name="Followed Hyperlink" xfId="1546" builtinId="9" hidden="1"/>
    <cellStyle name="Followed Hyperlink" xfId="1548" builtinId="9" hidden="1"/>
    <cellStyle name="Followed Hyperlink" xfId="1550" builtinId="9" hidden="1"/>
    <cellStyle name="Followed Hyperlink" xfId="1552" builtinId="9" hidden="1"/>
    <cellStyle name="Followed Hyperlink" xfId="1554" builtinId="9" hidden="1"/>
    <cellStyle name="Followed Hyperlink" xfId="1556" builtinId="9" hidden="1"/>
    <cellStyle name="Followed Hyperlink" xfId="1558" builtinId="9" hidden="1"/>
    <cellStyle name="Followed Hyperlink" xfId="1560" builtinId="9" hidden="1"/>
    <cellStyle name="Followed Hyperlink" xfId="1562" builtinId="9" hidden="1"/>
    <cellStyle name="Followed Hyperlink" xfId="1564" builtinId="9" hidden="1"/>
    <cellStyle name="Followed Hyperlink" xfId="1566" builtinId="9" hidden="1"/>
    <cellStyle name="Followed Hyperlink" xfId="1568" builtinId="9" hidden="1"/>
    <cellStyle name="Followed Hyperlink" xfId="1570" builtinId="9" hidden="1"/>
    <cellStyle name="Followed Hyperlink" xfId="1572" builtinId="9" hidden="1"/>
    <cellStyle name="Followed Hyperlink" xfId="1574" builtinId="9" hidden="1"/>
    <cellStyle name="Followed Hyperlink" xfId="1576" builtinId="9" hidden="1"/>
    <cellStyle name="Followed Hyperlink" xfId="1578" builtinId="9" hidden="1"/>
    <cellStyle name="Followed Hyperlink" xfId="1580" builtinId="9" hidden="1"/>
    <cellStyle name="Followed Hyperlink" xfId="1582" builtinId="9" hidden="1"/>
    <cellStyle name="Followed Hyperlink" xfId="1584" builtinId="9" hidden="1"/>
    <cellStyle name="Followed Hyperlink" xfId="1586" builtinId="9" hidden="1"/>
    <cellStyle name="Followed Hyperlink" xfId="1588" builtinId="9" hidden="1"/>
    <cellStyle name="Followed Hyperlink" xfId="1590" builtinId="9" hidden="1"/>
    <cellStyle name="Followed Hyperlink" xfId="1592" builtinId="9" hidden="1"/>
    <cellStyle name="Followed Hyperlink" xfId="1594" builtinId="9" hidden="1"/>
    <cellStyle name="Followed Hyperlink" xfId="1596" builtinId="9" hidden="1"/>
    <cellStyle name="Followed Hyperlink" xfId="1598" builtinId="9" hidden="1"/>
    <cellStyle name="Followed Hyperlink" xfId="1600" builtinId="9" hidden="1"/>
    <cellStyle name="Followed Hyperlink" xfId="1602" builtinId="9" hidden="1"/>
    <cellStyle name="Followed Hyperlink" xfId="1604" builtinId="9" hidden="1"/>
    <cellStyle name="Followed Hyperlink" xfId="1606" builtinId="9" hidden="1"/>
    <cellStyle name="Followed Hyperlink" xfId="1608" builtinId="9" hidden="1"/>
    <cellStyle name="Followed Hyperlink" xfId="1610" builtinId="9" hidden="1"/>
    <cellStyle name="Followed Hyperlink" xfId="1612" builtinId="9" hidden="1"/>
    <cellStyle name="Followed Hyperlink" xfId="1614" builtinId="9" hidden="1"/>
    <cellStyle name="Followed Hyperlink" xfId="1616" builtinId="9" hidden="1"/>
    <cellStyle name="Followed Hyperlink" xfId="1618" builtinId="9" hidden="1"/>
    <cellStyle name="Followed Hyperlink" xfId="1620" builtinId="9" hidden="1"/>
    <cellStyle name="Followed Hyperlink" xfId="1622" builtinId="9" hidden="1"/>
    <cellStyle name="Followed Hyperlink" xfId="1624" builtinId="9" hidden="1"/>
    <cellStyle name="Followed Hyperlink" xfId="1626" builtinId="9" hidden="1"/>
    <cellStyle name="Followed Hyperlink" xfId="1628" builtinId="9" hidden="1"/>
    <cellStyle name="Followed Hyperlink" xfId="1630" builtinId="9" hidden="1"/>
    <cellStyle name="Followed Hyperlink" xfId="1632" builtinId="9" hidden="1"/>
    <cellStyle name="Followed Hyperlink" xfId="1634" builtinId="9" hidden="1"/>
    <cellStyle name="Followed Hyperlink" xfId="1636" builtinId="9" hidden="1"/>
    <cellStyle name="Followed Hyperlink" xfId="1638" builtinId="9" hidden="1"/>
    <cellStyle name="Followed Hyperlink" xfId="1640" builtinId="9" hidden="1"/>
    <cellStyle name="Followed Hyperlink" xfId="1642" builtinId="9" hidden="1"/>
    <cellStyle name="Followed Hyperlink" xfId="1644" builtinId="9" hidden="1"/>
    <cellStyle name="Followed Hyperlink" xfId="1646" builtinId="9" hidden="1"/>
    <cellStyle name="Followed Hyperlink" xfId="1648" builtinId="9" hidden="1"/>
    <cellStyle name="Followed Hyperlink" xfId="1650" builtinId="9" hidden="1"/>
    <cellStyle name="Followed Hyperlink" xfId="1652" builtinId="9" hidden="1"/>
    <cellStyle name="Followed Hyperlink" xfId="1654" builtinId="9" hidden="1"/>
    <cellStyle name="Followed Hyperlink" xfId="1656" builtinId="9" hidden="1"/>
    <cellStyle name="Followed Hyperlink" xfId="1658" builtinId="9" hidden="1"/>
    <cellStyle name="Followed Hyperlink" xfId="1660" builtinId="9" hidden="1"/>
    <cellStyle name="Followed Hyperlink" xfId="1662" builtinId="9" hidden="1"/>
    <cellStyle name="Followed Hyperlink" xfId="1664" builtinId="9" hidden="1"/>
    <cellStyle name="Followed Hyperlink" xfId="1666" builtinId="9" hidden="1"/>
    <cellStyle name="Followed Hyperlink" xfId="1668" builtinId="9" hidden="1"/>
    <cellStyle name="Followed Hyperlink" xfId="1670" builtinId="9" hidden="1"/>
    <cellStyle name="Followed Hyperlink" xfId="1672" builtinId="9" hidden="1"/>
    <cellStyle name="Followed Hyperlink" xfId="1674" builtinId="9" hidden="1"/>
    <cellStyle name="Followed Hyperlink" xfId="1676" builtinId="9" hidden="1"/>
    <cellStyle name="Followed Hyperlink" xfId="1678" builtinId="9" hidden="1"/>
    <cellStyle name="Followed Hyperlink" xfId="1680" builtinId="9" hidden="1"/>
    <cellStyle name="Followed Hyperlink" xfId="1682" builtinId="9" hidden="1"/>
    <cellStyle name="Followed Hyperlink" xfId="1684" builtinId="9" hidden="1"/>
    <cellStyle name="Followed Hyperlink" xfId="1686" builtinId="9" hidden="1"/>
    <cellStyle name="Followed Hyperlink" xfId="1688" builtinId="9" hidden="1"/>
    <cellStyle name="Followed Hyperlink" xfId="1690" builtinId="9" hidden="1"/>
    <cellStyle name="Followed Hyperlink" xfId="1692" builtinId="9" hidden="1"/>
    <cellStyle name="Followed Hyperlink" xfId="1694" builtinId="9" hidden="1"/>
    <cellStyle name="Followed Hyperlink" xfId="1696" builtinId="9" hidden="1"/>
    <cellStyle name="Followed Hyperlink" xfId="1698" builtinId="9" hidden="1"/>
    <cellStyle name="Followed Hyperlink" xfId="1700" builtinId="9" hidden="1"/>
    <cellStyle name="Followed Hyperlink" xfId="1702" builtinId="9" hidden="1"/>
    <cellStyle name="Followed Hyperlink" xfId="1704" builtinId="9" hidden="1"/>
    <cellStyle name="Followed Hyperlink" xfId="1706" builtinId="9" hidden="1"/>
    <cellStyle name="Followed Hyperlink" xfId="1708" builtinId="9" hidden="1"/>
    <cellStyle name="Followed Hyperlink" xfId="1710" builtinId="9" hidden="1"/>
    <cellStyle name="Followed Hyperlink" xfId="1712" builtinId="9" hidden="1"/>
    <cellStyle name="Followed Hyperlink" xfId="1714" builtinId="9" hidden="1"/>
    <cellStyle name="Followed Hyperlink" xfId="1716" builtinId="9" hidden="1"/>
    <cellStyle name="Followed Hyperlink" xfId="1718" builtinId="9" hidden="1"/>
    <cellStyle name="Followed Hyperlink" xfId="1720" builtinId="9" hidden="1"/>
    <cellStyle name="Followed Hyperlink" xfId="1722" builtinId="9" hidden="1"/>
    <cellStyle name="Followed Hyperlink" xfId="1724" builtinId="9" hidden="1"/>
    <cellStyle name="Followed Hyperlink" xfId="1726" builtinId="9" hidden="1"/>
    <cellStyle name="Followed Hyperlink" xfId="1728" builtinId="9" hidden="1"/>
    <cellStyle name="Followed Hyperlink" xfId="1730" builtinId="9" hidden="1"/>
    <cellStyle name="Followed Hyperlink" xfId="1732" builtinId="9" hidden="1"/>
    <cellStyle name="Followed Hyperlink" xfId="1734" builtinId="9" hidden="1"/>
    <cellStyle name="Followed Hyperlink" xfId="1736" builtinId="9" hidden="1"/>
    <cellStyle name="Followed Hyperlink" xfId="1738" builtinId="9" hidden="1"/>
    <cellStyle name="Followed Hyperlink" xfId="1740" builtinId="9" hidden="1"/>
    <cellStyle name="Followed Hyperlink" xfId="1742" builtinId="9" hidden="1"/>
    <cellStyle name="Followed Hyperlink" xfId="1744" builtinId="9" hidden="1"/>
    <cellStyle name="Followed Hyperlink" xfId="1746" builtinId="9" hidden="1"/>
    <cellStyle name="Followed Hyperlink" xfId="1748" builtinId="9" hidden="1"/>
    <cellStyle name="Followed Hyperlink" xfId="1750" builtinId="9" hidden="1"/>
    <cellStyle name="Followed Hyperlink" xfId="1752" builtinId="9" hidden="1"/>
    <cellStyle name="Followed Hyperlink" xfId="1754" builtinId="9" hidden="1"/>
    <cellStyle name="Followed Hyperlink" xfId="1756" builtinId="9" hidden="1"/>
    <cellStyle name="Followed Hyperlink" xfId="1758" builtinId="9" hidden="1"/>
    <cellStyle name="Followed Hyperlink" xfId="1760" builtinId="9" hidden="1"/>
    <cellStyle name="Followed Hyperlink" xfId="1762" builtinId="9" hidden="1"/>
    <cellStyle name="Followed Hyperlink" xfId="1764" builtinId="9" hidden="1"/>
    <cellStyle name="Followed Hyperlink" xfId="1766" builtinId="9" hidden="1"/>
    <cellStyle name="Followed Hyperlink" xfId="1768" builtinId="9" hidden="1"/>
    <cellStyle name="Followed Hyperlink" xfId="1770" builtinId="9" hidden="1"/>
    <cellStyle name="Followed Hyperlink" xfId="1772" builtinId="9" hidden="1"/>
    <cellStyle name="Followed Hyperlink" xfId="1774" builtinId="9" hidden="1"/>
    <cellStyle name="Followed Hyperlink" xfId="1776" builtinId="9" hidden="1"/>
    <cellStyle name="Followed Hyperlink" xfId="1778" builtinId="9" hidden="1"/>
    <cellStyle name="Followed Hyperlink" xfId="1780" builtinId="9" hidden="1"/>
    <cellStyle name="Followed Hyperlink" xfId="1782" builtinId="9" hidden="1"/>
    <cellStyle name="Followed Hyperlink" xfId="1784" builtinId="9" hidden="1"/>
    <cellStyle name="Followed Hyperlink" xfId="1786" builtinId="9" hidden="1"/>
    <cellStyle name="Followed Hyperlink" xfId="1788" builtinId="9" hidden="1"/>
    <cellStyle name="Followed Hyperlink" xfId="1790" builtinId="9" hidden="1"/>
    <cellStyle name="Followed Hyperlink" xfId="1792" builtinId="9" hidden="1"/>
    <cellStyle name="Followed Hyperlink" xfId="1794" builtinId="9" hidden="1"/>
    <cellStyle name="Followed Hyperlink" xfId="1796" builtinId="9" hidden="1"/>
    <cellStyle name="Followed Hyperlink" xfId="1798" builtinId="9" hidden="1"/>
    <cellStyle name="Followed Hyperlink" xfId="1800" builtinId="9" hidden="1"/>
    <cellStyle name="Followed Hyperlink" xfId="1802" builtinId="9" hidden="1"/>
    <cellStyle name="Followed Hyperlink" xfId="1804" builtinId="9" hidden="1"/>
    <cellStyle name="Followed Hyperlink" xfId="1806" builtinId="9" hidden="1"/>
    <cellStyle name="Followed Hyperlink" xfId="1808" builtinId="9" hidden="1"/>
    <cellStyle name="Followed Hyperlink" xfId="1810" builtinId="9" hidden="1"/>
    <cellStyle name="Followed Hyperlink" xfId="1812" builtinId="9" hidden="1"/>
    <cellStyle name="Followed Hyperlink" xfId="1814" builtinId="9" hidden="1"/>
    <cellStyle name="Followed Hyperlink" xfId="1816" builtinId="9" hidden="1"/>
    <cellStyle name="Followed Hyperlink" xfId="1818" builtinId="9" hidden="1"/>
    <cellStyle name="Followed Hyperlink" xfId="1820" builtinId="9" hidden="1"/>
    <cellStyle name="Followed Hyperlink" xfId="1822" builtinId="9" hidden="1"/>
    <cellStyle name="Followed Hyperlink" xfId="1824" builtinId="9" hidden="1"/>
    <cellStyle name="Followed Hyperlink" xfId="1826" builtinId="9" hidden="1"/>
    <cellStyle name="Followed Hyperlink" xfId="1828" builtinId="9" hidden="1"/>
    <cellStyle name="Followed Hyperlink" xfId="1830" builtinId="9" hidden="1"/>
    <cellStyle name="Followed Hyperlink" xfId="1832" builtinId="9" hidden="1"/>
    <cellStyle name="Followed Hyperlink" xfId="1834" builtinId="9" hidden="1"/>
    <cellStyle name="Followed Hyperlink" xfId="1836" builtinId="9" hidden="1"/>
    <cellStyle name="Followed Hyperlink" xfId="1838" builtinId="9" hidden="1"/>
    <cellStyle name="Followed Hyperlink" xfId="1840" builtinId="9" hidden="1"/>
    <cellStyle name="Followed Hyperlink" xfId="1842" builtinId="9" hidden="1"/>
    <cellStyle name="Followed Hyperlink" xfId="1844" builtinId="9" hidden="1"/>
    <cellStyle name="Followed Hyperlink" xfId="1846" builtinId="9" hidden="1"/>
    <cellStyle name="Followed Hyperlink" xfId="1848" builtinId="9" hidden="1"/>
    <cellStyle name="Followed Hyperlink" xfId="1850" builtinId="9" hidden="1"/>
    <cellStyle name="Followed Hyperlink" xfId="1852" builtinId="9" hidden="1"/>
    <cellStyle name="Followed Hyperlink" xfId="1854" builtinId="9" hidden="1"/>
    <cellStyle name="Followed Hyperlink" xfId="1856" builtinId="9" hidden="1"/>
    <cellStyle name="Followed Hyperlink" xfId="1858" builtinId="9" hidden="1"/>
    <cellStyle name="Followed Hyperlink" xfId="1860" builtinId="9" hidden="1"/>
    <cellStyle name="Followed Hyperlink" xfId="1864" builtinId="9" hidden="1"/>
    <cellStyle name="Followed Hyperlink" xfId="1866" builtinId="9" hidden="1"/>
    <cellStyle name="Followed Hyperlink" xfId="1868" builtinId="9" hidden="1"/>
    <cellStyle name="Followed Hyperlink" xfId="1870" builtinId="9" hidden="1"/>
    <cellStyle name="Followed Hyperlink" xfId="1872" builtinId="9" hidden="1"/>
    <cellStyle name="Followed Hyperlink" xfId="1874" builtinId="9" hidden="1"/>
    <cellStyle name="Followed Hyperlink" xfId="1876" builtinId="9" hidden="1"/>
    <cellStyle name="Followed Hyperlink" xfId="1878" builtinId="9" hidden="1"/>
    <cellStyle name="Followed Hyperlink" xfId="1880" builtinId="9" hidden="1"/>
    <cellStyle name="Followed Hyperlink" xfId="1882" builtinId="9" hidden="1"/>
    <cellStyle name="Followed Hyperlink" xfId="1884" builtinId="9" hidden="1"/>
    <cellStyle name="Followed Hyperlink" xfId="1886" builtinId="9" hidden="1"/>
    <cellStyle name="Followed Hyperlink" xfId="1888" builtinId="9" hidden="1"/>
    <cellStyle name="Followed Hyperlink" xfId="1890" builtinId="9" hidden="1"/>
    <cellStyle name="Followed Hyperlink" xfId="1892" builtinId="9" hidden="1"/>
    <cellStyle name="Followed Hyperlink" xfId="1894" builtinId="9" hidden="1"/>
    <cellStyle name="Followed Hyperlink" xfId="1896" builtinId="9" hidden="1"/>
    <cellStyle name="Followed Hyperlink" xfId="1898" builtinId="9" hidden="1"/>
    <cellStyle name="Followed Hyperlink" xfId="1900" builtinId="9" hidden="1"/>
    <cellStyle name="Followed Hyperlink" xfId="1902" builtinId="9" hidden="1"/>
    <cellStyle name="Followed Hyperlink" xfId="1904" builtinId="9" hidden="1"/>
    <cellStyle name="Followed Hyperlink" xfId="1906" builtinId="9" hidden="1"/>
    <cellStyle name="Followed Hyperlink" xfId="1908" builtinId="9" hidden="1"/>
    <cellStyle name="Followed Hyperlink" xfId="1910" builtinId="9" hidden="1"/>
    <cellStyle name="Followed Hyperlink" xfId="1912" builtinId="9" hidden="1"/>
    <cellStyle name="Followed Hyperlink" xfId="1914" builtinId="9" hidden="1"/>
    <cellStyle name="Followed Hyperlink" xfId="1916" builtinId="9" hidden="1"/>
    <cellStyle name="Followed Hyperlink" xfId="1918" builtinId="9" hidden="1"/>
    <cellStyle name="Followed Hyperlink" xfId="1920" builtinId="9" hidden="1"/>
    <cellStyle name="Followed Hyperlink" xfId="1922" builtinId="9" hidden="1"/>
    <cellStyle name="Followed Hyperlink" xfId="1924" builtinId="9" hidden="1"/>
    <cellStyle name="Followed Hyperlink" xfId="1926" builtinId="9" hidden="1"/>
    <cellStyle name="Followed Hyperlink" xfId="1928" builtinId="9" hidden="1"/>
    <cellStyle name="Followed Hyperlink" xfId="1930" builtinId="9" hidden="1"/>
    <cellStyle name="Followed Hyperlink" xfId="1932" builtinId="9" hidden="1"/>
    <cellStyle name="Followed Hyperlink" xfId="1934" builtinId="9" hidden="1"/>
    <cellStyle name="Followed Hyperlink" xfId="1936" builtinId="9" hidden="1"/>
    <cellStyle name="Followed Hyperlink" xfId="1938" builtinId="9" hidden="1"/>
    <cellStyle name="Followed Hyperlink" xfId="1940" builtinId="9" hidden="1"/>
    <cellStyle name="Followed Hyperlink" xfId="1942" builtinId="9" hidden="1"/>
    <cellStyle name="Followed Hyperlink" xfId="1944" builtinId="9" hidden="1"/>
    <cellStyle name="Followed Hyperlink" xfId="1946" builtinId="9" hidden="1"/>
    <cellStyle name="Followed Hyperlink" xfId="1948" builtinId="9" hidden="1"/>
    <cellStyle name="Followed Hyperlink" xfId="1950" builtinId="9" hidden="1"/>
    <cellStyle name="Followed Hyperlink" xfId="1952" builtinId="9" hidden="1"/>
    <cellStyle name="Followed Hyperlink" xfId="1954" builtinId="9" hidden="1"/>
    <cellStyle name="Followed Hyperlink" xfId="1956" builtinId="9" hidden="1"/>
    <cellStyle name="Followed Hyperlink" xfId="1958" builtinId="9" hidden="1"/>
    <cellStyle name="Followed Hyperlink" xfId="1960" builtinId="9" hidden="1"/>
    <cellStyle name="Followed Hyperlink" xfId="1962" builtinId="9" hidden="1"/>
    <cellStyle name="Followed Hyperlink" xfId="1964" builtinId="9" hidden="1"/>
    <cellStyle name="Followed Hyperlink" xfId="1966" builtinId="9" hidden="1"/>
    <cellStyle name="Followed Hyperlink" xfId="1968" builtinId="9" hidden="1"/>
    <cellStyle name="Followed Hyperlink" xfId="1970" builtinId="9" hidden="1"/>
    <cellStyle name="Followed Hyperlink" xfId="1972" builtinId="9" hidden="1"/>
    <cellStyle name="Followed Hyperlink" xfId="1974" builtinId="9" hidden="1"/>
    <cellStyle name="Followed Hyperlink" xfId="1976" builtinId="9" hidden="1"/>
    <cellStyle name="Followed Hyperlink" xfId="1978" builtinId="9" hidden="1"/>
    <cellStyle name="Followed Hyperlink" xfId="1980" builtinId="9" hidden="1"/>
    <cellStyle name="Followed Hyperlink" xfId="1982" builtinId="9" hidden="1"/>
    <cellStyle name="Followed Hyperlink" xfId="1984" builtinId="9" hidden="1"/>
    <cellStyle name="Followed Hyperlink" xfId="1986" builtinId="9" hidden="1"/>
    <cellStyle name="Followed Hyperlink" xfId="1988" builtinId="9" hidden="1"/>
    <cellStyle name="Followed Hyperlink" xfId="1990" builtinId="9" hidden="1"/>
    <cellStyle name="Followed Hyperlink" xfId="1992" builtinId="9" hidden="1"/>
    <cellStyle name="Followed Hyperlink" xfId="1994" builtinId="9" hidden="1"/>
    <cellStyle name="Followed Hyperlink" xfId="1996" builtinId="9" hidden="1"/>
    <cellStyle name="Followed Hyperlink" xfId="1998" builtinId="9" hidden="1"/>
    <cellStyle name="Followed Hyperlink" xfId="2000" builtinId="9" hidden="1"/>
    <cellStyle name="Followed Hyperlink" xfId="2002" builtinId="9" hidden="1"/>
    <cellStyle name="Followed Hyperlink" xfId="2004" builtinId="9" hidden="1"/>
    <cellStyle name="Followed Hyperlink" xfId="2006" builtinId="9" hidden="1"/>
    <cellStyle name="Followed Hyperlink" xfId="2008" builtinId="9" hidden="1"/>
    <cellStyle name="Followed Hyperlink" xfId="2010" builtinId="9" hidden="1"/>
    <cellStyle name="Followed Hyperlink" xfId="2012" builtinId="9" hidden="1"/>
    <cellStyle name="Followed Hyperlink" xfId="2014" builtinId="9" hidden="1"/>
    <cellStyle name="Followed Hyperlink" xfId="2016" builtinId="9" hidden="1"/>
    <cellStyle name="Followed Hyperlink" xfId="2018" builtinId="9" hidden="1"/>
    <cellStyle name="Followed Hyperlink" xfId="2020" builtinId="9" hidden="1"/>
    <cellStyle name="Followed Hyperlink" xfId="2022" builtinId="9" hidden="1"/>
    <cellStyle name="Followed Hyperlink" xfId="2024" builtinId="9" hidden="1"/>
    <cellStyle name="Followed Hyperlink" xfId="2026" builtinId="9" hidden="1"/>
    <cellStyle name="Followed Hyperlink" xfId="2028" builtinId="9" hidden="1"/>
    <cellStyle name="Followed Hyperlink" xfId="2030" builtinId="9" hidden="1"/>
    <cellStyle name="Followed Hyperlink" xfId="2032" builtinId="9" hidden="1"/>
    <cellStyle name="Followed Hyperlink" xfId="2034" builtinId="9" hidden="1"/>
    <cellStyle name="Followed Hyperlink" xfId="2036" builtinId="9" hidden="1"/>
    <cellStyle name="Followed Hyperlink" xfId="2038" builtinId="9" hidden="1"/>
    <cellStyle name="Followed Hyperlink" xfId="2040" builtinId="9" hidden="1"/>
    <cellStyle name="Followed Hyperlink" xfId="2042" builtinId="9" hidden="1"/>
    <cellStyle name="Followed Hyperlink" xfId="2044" builtinId="9" hidden="1"/>
    <cellStyle name="Followed Hyperlink" xfId="2046" builtinId="9" hidden="1"/>
    <cellStyle name="Followed Hyperlink" xfId="2048" builtinId="9" hidden="1"/>
    <cellStyle name="Followed Hyperlink" xfId="2050" builtinId="9" hidden="1"/>
    <cellStyle name="Followed Hyperlink" xfId="2052" builtinId="9" hidden="1"/>
    <cellStyle name="Followed Hyperlink" xfId="2054" builtinId="9" hidden="1"/>
    <cellStyle name="Followed Hyperlink" xfId="2056" builtinId="9" hidden="1"/>
    <cellStyle name="Followed Hyperlink" xfId="2058" builtinId="9" hidden="1"/>
    <cellStyle name="Followed Hyperlink" xfId="2060" builtinId="9" hidden="1"/>
    <cellStyle name="Followed Hyperlink" xfId="2062" builtinId="9" hidden="1"/>
    <cellStyle name="Followed Hyperlink" xfId="2064" builtinId="9" hidden="1"/>
    <cellStyle name="Followed Hyperlink" xfId="2066" builtinId="9" hidden="1"/>
    <cellStyle name="Followed Hyperlink" xfId="2068" builtinId="9" hidden="1"/>
    <cellStyle name="Followed Hyperlink" xfId="2070" builtinId="9" hidden="1"/>
    <cellStyle name="Followed Hyperlink" xfId="2072" builtinId="9" hidden="1"/>
    <cellStyle name="Followed Hyperlink" xfId="2074" builtinId="9" hidden="1"/>
    <cellStyle name="Followed Hyperlink" xfId="2076" builtinId="9" hidden="1"/>
    <cellStyle name="Followed Hyperlink" xfId="2078" builtinId="9" hidden="1"/>
    <cellStyle name="Followed Hyperlink" xfId="2080" builtinId="9" hidden="1"/>
    <cellStyle name="Followed Hyperlink" xfId="2082" builtinId="9" hidden="1"/>
    <cellStyle name="Followed Hyperlink" xfId="2084" builtinId="9" hidden="1"/>
    <cellStyle name="Followed Hyperlink" xfId="2086" builtinId="9" hidden="1"/>
    <cellStyle name="Followed Hyperlink" xfId="2088" builtinId="9" hidden="1"/>
    <cellStyle name="Followed Hyperlink" xfId="2090" builtinId="9" hidden="1"/>
    <cellStyle name="Followed Hyperlink" xfId="2092" builtinId="9" hidden="1"/>
    <cellStyle name="Followed Hyperlink" xfId="2094" builtinId="9" hidden="1"/>
    <cellStyle name="Followed Hyperlink" xfId="2096" builtinId="9" hidden="1"/>
    <cellStyle name="Followed Hyperlink" xfId="2098" builtinId="9" hidden="1"/>
    <cellStyle name="Followed Hyperlink" xfId="2100" builtinId="9" hidden="1"/>
    <cellStyle name="Followed Hyperlink" xfId="2102" builtinId="9" hidden="1"/>
    <cellStyle name="Followed Hyperlink" xfId="2104" builtinId="9" hidden="1"/>
    <cellStyle name="Followed Hyperlink" xfId="2106" builtinId="9" hidden="1"/>
    <cellStyle name="Followed Hyperlink" xfId="2108" builtinId="9" hidden="1"/>
    <cellStyle name="Followed Hyperlink" xfId="2110" builtinId="9" hidden="1"/>
    <cellStyle name="Followed Hyperlink" xfId="2112" builtinId="9" hidden="1"/>
    <cellStyle name="Followed Hyperlink" xfId="2114" builtinId="9" hidden="1"/>
    <cellStyle name="Followed Hyperlink" xfId="2116" builtinId="9" hidden="1"/>
    <cellStyle name="Followed Hyperlink" xfId="2118" builtinId="9" hidden="1"/>
    <cellStyle name="Followed Hyperlink" xfId="2120" builtinId="9" hidden="1"/>
    <cellStyle name="Followed Hyperlink" xfId="2122" builtinId="9" hidden="1"/>
    <cellStyle name="Followed Hyperlink" xfId="2124" builtinId="9" hidden="1"/>
    <cellStyle name="Followed Hyperlink" xfId="2126" builtinId="9" hidden="1"/>
    <cellStyle name="Followed Hyperlink" xfId="2128" builtinId="9" hidden="1"/>
    <cellStyle name="Followed Hyperlink" xfId="2130" builtinId="9" hidden="1"/>
    <cellStyle name="Followed Hyperlink" xfId="2132" builtinId="9" hidden="1"/>
    <cellStyle name="Followed Hyperlink" xfId="2134" builtinId="9" hidden="1"/>
    <cellStyle name="Followed Hyperlink" xfId="2136" builtinId="9" hidden="1"/>
    <cellStyle name="Followed Hyperlink" xfId="2138" builtinId="9" hidden="1"/>
    <cellStyle name="Followed Hyperlink" xfId="2140" builtinId="9" hidden="1"/>
    <cellStyle name="Followed Hyperlink" xfId="2142" builtinId="9" hidden="1"/>
    <cellStyle name="Followed Hyperlink" xfId="2144" builtinId="9" hidden="1"/>
    <cellStyle name="Followed Hyperlink" xfId="2146" builtinId="9" hidden="1"/>
    <cellStyle name="Followed Hyperlink" xfId="2148" builtinId="9" hidden="1"/>
    <cellStyle name="Followed Hyperlink" xfId="2150" builtinId="9" hidden="1"/>
    <cellStyle name="Followed Hyperlink" xfId="2152" builtinId="9" hidden="1"/>
    <cellStyle name="Followed Hyperlink" xfId="2154" builtinId="9" hidden="1"/>
    <cellStyle name="Followed Hyperlink" xfId="2156" builtinId="9" hidden="1"/>
    <cellStyle name="Followed Hyperlink" xfId="2158" builtinId="9" hidden="1"/>
    <cellStyle name="Followed Hyperlink" xfId="2160" builtinId="9" hidden="1"/>
    <cellStyle name="Followed Hyperlink" xfId="2162" builtinId="9" hidden="1"/>
    <cellStyle name="Followed Hyperlink" xfId="2164" builtinId="9" hidden="1"/>
    <cellStyle name="Followed Hyperlink" xfId="2166" builtinId="9" hidden="1"/>
    <cellStyle name="Followed Hyperlink" xfId="2168" builtinId="9" hidden="1"/>
    <cellStyle name="Followed Hyperlink" xfId="2170" builtinId="9" hidden="1"/>
    <cellStyle name="Followed Hyperlink" xfId="2172" builtinId="9" hidden="1"/>
    <cellStyle name="Followed Hyperlink" xfId="2174" builtinId="9" hidden="1"/>
    <cellStyle name="Followed Hyperlink" xfId="2176" builtinId="9" hidden="1"/>
    <cellStyle name="Followed Hyperlink" xfId="2178" builtinId="9" hidden="1"/>
    <cellStyle name="Followed Hyperlink" xfId="2180" builtinId="9" hidden="1"/>
    <cellStyle name="Followed Hyperlink" xfId="2182" builtinId="9" hidden="1"/>
    <cellStyle name="Followed Hyperlink" xfId="2184" builtinId="9" hidden="1"/>
    <cellStyle name="Followed Hyperlink" xfId="2186" builtinId="9" hidden="1"/>
    <cellStyle name="Followed Hyperlink" xfId="2188" builtinId="9" hidden="1"/>
    <cellStyle name="Followed Hyperlink" xfId="2190" builtinId="9" hidden="1"/>
    <cellStyle name="Followed Hyperlink" xfId="2192" builtinId="9" hidden="1"/>
    <cellStyle name="Followed Hyperlink" xfId="2194" builtinId="9" hidden="1"/>
    <cellStyle name="Followed Hyperlink" xfId="2196" builtinId="9" hidden="1"/>
    <cellStyle name="Followed Hyperlink" xfId="2198" builtinId="9" hidden="1"/>
    <cellStyle name="Followed Hyperlink" xfId="2200" builtinId="9" hidden="1"/>
    <cellStyle name="Followed Hyperlink" xfId="2202" builtinId="9" hidden="1"/>
    <cellStyle name="Followed Hyperlink" xfId="2204" builtinId="9" hidden="1"/>
    <cellStyle name="Followed Hyperlink" xfId="2206" builtinId="9" hidden="1"/>
    <cellStyle name="Followed Hyperlink" xfId="2208" builtinId="9" hidden="1"/>
    <cellStyle name="Followed Hyperlink" xfId="2210" builtinId="9" hidden="1"/>
    <cellStyle name="Followed Hyperlink" xfId="2212" builtinId="9" hidden="1"/>
    <cellStyle name="Followed Hyperlink" xfId="2214" builtinId="9" hidden="1"/>
    <cellStyle name="Followed Hyperlink" xfId="2216" builtinId="9" hidden="1"/>
    <cellStyle name="Followed Hyperlink" xfId="2218" builtinId="9" hidden="1"/>
    <cellStyle name="Followed Hyperlink" xfId="2220" builtinId="9" hidden="1"/>
    <cellStyle name="Followed Hyperlink" xfId="2222" builtinId="9" hidden="1"/>
    <cellStyle name="Followed Hyperlink" xfId="2224" builtinId="9" hidden="1"/>
    <cellStyle name="Followed Hyperlink" xfId="2226" builtinId="9" hidden="1"/>
    <cellStyle name="Followed Hyperlink" xfId="2228" builtinId="9" hidden="1"/>
    <cellStyle name="Followed Hyperlink" xfId="2230" builtinId="9" hidden="1"/>
    <cellStyle name="Followed Hyperlink" xfId="2232" builtinId="9" hidden="1"/>
    <cellStyle name="Followed Hyperlink" xfId="2234" builtinId="9" hidden="1"/>
    <cellStyle name="Followed Hyperlink" xfId="2236" builtinId="9" hidden="1"/>
    <cellStyle name="Followed Hyperlink" xfId="2238" builtinId="9" hidden="1"/>
    <cellStyle name="Followed Hyperlink" xfId="2240" builtinId="9" hidden="1"/>
    <cellStyle name="Followed Hyperlink" xfId="2242" builtinId="9" hidden="1"/>
    <cellStyle name="Followed Hyperlink" xfId="2244" builtinId="9" hidden="1"/>
    <cellStyle name="Followed Hyperlink" xfId="2246" builtinId="9" hidden="1"/>
    <cellStyle name="Followed Hyperlink" xfId="2248" builtinId="9" hidden="1"/>
    <cellStyle name="Followed Hyperlink" xfId="2250" builtinId="9" hidden="1"/>
    <cellStyle name="Followed Hyperlink" xfId="2252" builtinId="9" hidden="1"/>
    <cellStyle name="Followed Hyperlink" xfId="2254" builtinId="9" hidden="1"/>
    <cellStyle name="Followed Hyperlink" xfId="2256" builtinId="9" hidden="1"/>
    <cellStyle name="Followed Hyperlink" xfId="2258" builtinId="9" hidden="1"/>
    <cellStyle name="Followed Hyperlink" xfId="2260" builtinId="9" hidden="1"/>
    <cellStyle name="Followed Hyperlink" xfId="2262" builtinId="9" hidden="1"/>
    <cellStyle name="Followed Hyperlink" xfId="2264" builtinId="9" hidden="1"/>
    <cellStyle name="Followed Hyperlink" xfId="2266" builtinId="9" hidden="1"/>
    <cellStyle name="Followed Hyperlink" xfId="2268" builtinId="9" hidden="1"/>
    <cellStyle name="Followed Hyperlink" xfId="2270" builtinId="9" hidden="1"/>
    <cellStyle name="Followed Hyperlink" xfId="2272" builtinId="9" hidden="1"/>
    <cellStyle name="Followed Hyperlink" xfId="2274" builtinId="9" hidden="1"/>
    <cellStyle name="Followed Hyperlink" xfId="2276" builtinId="9" hidden="1"/>
    <cellStyle name="Followed Hyperlink" xfId="2278" builtinId="9" hidden="1"/>
    <cellStyle name="Followed Hyperlink" xfId="2280" builtinId="9" hidden="1"/>
    <cellStyle name="Followed Hyperlink" xfId="2282" builtinId="9" hidden="1"/>
    <cellStyle name="Followed Hyperlink" xfId="2284" builtinId="9" hidden="1"/>
    <cellStyle name="Followed Hyperlink" xfId="2286" builtinId="9" hidden="1"/>
    <cellStyle name="Followed Hyperlink" xfId="2288" builtinId="9" hidden="1"/>
    <cellStyle name="Followed Hyperlink" xfId="2290" builtinId="9" hidden="1"/>
    <cellStyle name="Followed Hyperlink" xfId="2292" builtinId="9" hidden="1"/>
    <cellStyle name="Followed Hyperlink" xfId="2294" builtinId="9" hidden="1"/>
    <cellStyle name="Followed Hyperlink" xfId="2296" builtinId="9" hidden="1"/>
    <cellStyle name="Followed Hyperlink" xfId="2298" builtinId="9" hidden="1"/>
    <cellStyle name="Followed Hyperlink" xfId="2300" builtinId="9" hidden="1"/>
    <cellStyle name="Followed Hyperlink" xfId="2302" builtinId="9" hidden="1"/>
    <cellStyle name="Followed Hyperlink" xfId="2304" builtinId="9" hidden="1"/>
    <cellStyle name="Followed Hyperlink" xfId="2306" builtinId="9" hidden="1"/>
    <cellStyle name="Followed Hyperlink" xfId="2308" builtinId="9" hidden="1"/>
    <cellStyle name="Followed Hyperlink" xfId="2310" builtinId="9" hidden="1"/>
    <cellStyle name="Followed Hyperlink" xfId="2312" builtinId="9" hidden="1"/>
    <cellStyle name="Followed Hyperlink" xfId="2314" builtinId="9" hidden="1"/>
    <cellStyle name="Followed Hyperlink" xfId="2316" builtinId="9" hidden="1"/>
    <cellStyle name="Followed Hyperlink" xfId="2318" builtinId="9" hidden="1"/>
    <cellStyle name="Followed Hyperlink" xfId="2320" builtinId="9" hidden="1"/>
    <cellStyle name="Followed Hyperlink" xfId="2322" builtinId="9" hidden="1"/>
    <cellStyle name="Followed Hyperlink" xfId="2324" builtinId="9" hidden="1"/>
    <cellStyle name="Followed Hyperlink" xfId="2326" builtinId="9" hidden="1"/>
    <cellStyle name="Followed Hyperlink" xfId="2328" builtinId="9" hidden="1"/>
    <cellStyle name="Followed Hyperlink" xfId="2330" builtinId="9" hidden="1"/>
    <cellStyle name="Followed Hyperlink" xfId="2332" builtinId="9" hidden="1"/>
    <cellStyle name="Followed Hyperlink" xfId="2334" builtinId="9" hidden="1"/>
    <cellStyle name="Followed Hyperlink" xfId="2336" builtinId="9" hidden="1"/>
    <cellStyle name="Followed Hyperlink" xfId="2338" builtinId="9" hidden="1"/>
    <cellStyle name="Followed Hyperlink" xfId="2340" builtinId="9" hidden="1"/>
    <cellStyle name="Followed Hyperlink" xfId="2342" builtinId="9" hidden="1"/>
    <cellStyle name="Followed Hyperlink" xfId="2344" builtinId="9" hidden="1"/>
    <cellStyle name="Followed Hyperlink" xfId="2346" builtinId="9" hidden="1"/>
    <cellStyle name="Followed Hyperlink" xfId="2348" builtinId="9" hidden="1"/>
    <cellStyle name="Followed Hyperlink" xfId="2350" builtinId="9" hidden="1"/>
    <cellStyle name="Followed Hyperlink" xfId="2352" builtinId="9" hidden="1"/>
    <cellStyle name="Followed Hyperlink" xfId="2354" builtinId="9" hidden="1"/>
    <cellStyle name="Followed Hyperlink" xfId="2356" builtinId="9" hidden="1"/>
    <cellStyle name="Followed Hyperlink" xfId="2358" builtinId="9" hidden="1"/>
    <cellStyle name="Followed Hyperlink" xfId="2362" builtinId="9" hidden="1"/>
    <cellStyle name="Followed Hyperlink" xfId="2364" builtinId="9" hidden="1"/>
    <cellStyle name="Followed Hyperlink" xfId="2366" builtinId="9" hidden="1"/>
    <cellStyle name="Followed Hyperlink" xfId="2368" builtinId="9" hidden="1"/>
    <cellStyle name="Followed Hyperlink" xfId="2370" builtinId="9" hidden="1"/>
    <cellStyle name="Followed Hyperlink" xfId="2372" builtinId="9" hidden="1"/>
    <cellStyle name="Followed Hyperlink" xfId="2374" builtinId="9" hidden="1"/>
    <cellStyle name="Followed Hyperlink" xfId="2376" builtinId="9" hidden="1"/>
    <cellStyle name="Followed Hyperlink" xfId="2378" builtinId="9" hidden="1"/>
    <cellStyle name="Followed Hyperlink" xfId="2380" builtinId="9" hidden="1"/>
    <cellStyle name="Followed Hyperlink" xfId="2382" builtinId="9" hidden="1"/>
    <cellStyle name="Followed Hyperlink" xfId="2384" builtinId="9" hidden="1"/>
    <cellStyle name="Followed Hyperlink" xfId="2386" builtinId="9" hidden="1"/>
    <cellStyle name="Followed Hyperlink" xfId="2388" builtinId="9" hidden="1"/>
    <cellStyle name="Followed Hyperlink" xfId="2390" builtinId="9" hidden="1"/>
    <cellStyle name="Followed Hyperlink" xfId="2392" builtinId="9" hidden="1"/>
    <cellStyle name="Followed Hyperlink" xfId="2394" builtinId="9" hidden="1"/>
    <cellStyle name="Followed Hyperlink" xfId="2396" builtinId="9" hidden="1"/>
    <cellStyle name="Followed Hyperlink" xfId="2398" builtinId="9" hidden="1"/>
    <cellStyle name="Followed Hyperlink" xfId="2400" builtinId="9" hidden="1"/>
    <cellStyle name="Followed Hyperlink" xfId="2402" builtinId="9" hidden="1"/>
    <cellStyle name="Followed Hyperlink" xfId="2404" builtinId="9" hidden="1"/>
    <cellStyle name="Followed Hyperlink" xfId="2406" builtinId="9" hidden="1"/>
    <cellStyle name="Followed Hyperlink" xfId="2408" builtinId="9" hidden="1"/>
    <cellStyle name="Followed Hyperlink" xfId="2410" builtinId="9" hidden="1"/>
    <cellStyle name="Followed Hyperlink" xfId="2412" builtinId="9" hidden="1"/>
    <cellStyle name="Followed Hyperlink" xfId="2414" builtinId="9" hidden="1"/>
    <cellStyle name="Followed Hyperlink" xfId="2416" builtinId="9" hidden="1"/>
    <cellStyle name="Followed Hyperlink" xfId="2418" builtinId="9" hidden="1"/>
    <cellStyle name="Followed Hyperlink" xfId="2420" builtinId="9" hidden="1"/>
    <cellStyle name="Good" xfId="2359" builtinId="26"/>
    <cellStyle name="Good 2" xfId="186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Hyperlink" xfId="821" builtinId="8" hidden="1"/>
    <cellStyle name="Hyperlink" xfId="823" builtinId="8" hidden="1"/>
    <cellStyle name="Hyperlink" xfId="825" builtinId="8" hidden="1"/>
    <cellStyle name="Hyperlink" xfId="827" builtinId="8" hidden="1"/>
    <cellStyle name="Hyperlink" xfId="829" builtinId="8" hidden="1"/>
    <cellStyle name="Hyperlink" xfId="831" builtinId="8" hidden="1"/>
    <cellStyle name="Hyperlink" xfId="833" builtinId="8" hidden="1"/>
    <cellStyle name="Hyperlink" xfId="835" builtinId="8" hidden="1"/>
    <cellStyle name="Hyperlink" xfId="837" builtinId="8" hidden="1"/>
    <cellStyle name="Hyperlink" xfId="839" builtinId="8" hidden="1"/>
    <cellStyle name="Hyperlink" xfId="841" builtinId="8" hidden="1"/>
    <cellStyle name="Hyperlink" xfId="843" builtinId="8" hidden="1"/>
    <cellStyle name="Hyperlink" xfId="845" builtinId="8" hidden="1"/>
    <cellStyle name="Hyperlink" xfId="847" builtinId="8" hidden="1"/>
    <cellStyle name="Hyperlink" xfId="849" builtinId="8" hidden="1"/>
    <cellStyle name="Hyperlink" xfId="851" builtinId="8" hidden="1"/>
    <cellStyle name="Hyperlink" xfId="853" builtinId="8" hidden="1"/>
    <cellStyle name="Hyperlink" xfId="855" builtinId="8" hidden="1"/>
    <cellStyle name="Hyperlink" xfId="857" builtinId="8" hidden="1"/>
    <cellStyle name="Hyperlink" xfId="859" builtinId="8" hidden="1"/>
    <cellStyle name="Hyperlink" xfId="861" builtinId="8" hidden="1"/>
    <cellStyle name="Hyperlink" xfId="863" builtinId="8" hidden="1"/>
    <cellStyle name="Hyperlink" xfId="865" builtinId="8" hidden="1"/>
    <cellStyle name="Hyperlink" xfId="867" builtinId="8" hidden="1"/>
    <cellStyle name="Hyperlink" xfId="869" builtinId="8" hidden="1"/>
    <cellStyle name="Hyperlink" xfId="871" builtinId="8" hidden="1"/>
    <cellStyle name="Hyperlink" xfId="873" builtinId="8" hidden="1"/>
    <cellStyle name="Hyperlink" xfId="875" builtinId="8" hidden="1"/>
    <cellStyle name="Hyperlink" xfId="877" builtinId="8" hidden="1"/>
    <cellStyle name="Hyperlink" xfId="879" builtinId="8" hidden="1"/>
    <cellStyle name="Hyperlink" xfId="881" builtinId="8" hidden="1"/>
    <cellStyle name="Hyperlink" xfId="883" builtinId="8" hidden="1"/>
    <cellStyle name="Hyperlink" xfId="885" builtinId="8" hidden="1"/>
    <cellStyle name="Hyperlink" xfId="887" builtinId="8" hidden="1"/>
    <cellStyle name="Hyperlink" xfId="889" builtinId="8" hidden="1"/>
    <cellStyle name="Hyperlink" xfId="891" builtinId="8" hidden="1"/>
    <cellStyle name="Hyperlink" xfId="893" builtinId="8" hidden="1"/>
    <cellStyle name="Hyperlink" xfId="895" builtinId="8" hidden="1"/>
    <cellStyle name="Hyperlink" xfId="897" builtinId="8" hidden="1"/>
    <cellStyle name="Hyperlink" xfId="899" builtinId="8" hidden="1"/>
    <cellStyle name="Hyperlink" xfId="901" builtinId="8" hidden="1"/>
    <cellStyle name="Hyperlink" xfId="903" builtinId="8" hidden="1"/>
    <cellStyle name="Hyperlink" xfId="905" builtinId="8" hidden="1"/>
    <cellStyle name="Hyperlink" xfId="907" builtinId="8" hidden="1"/>
    <cellStyle name="Hyperlink" xfId="909" builtinId="8" hidden="1"/>
    <cellStyle name="Hyperlink" xfId="911" builtinId="8" hidden="1"/>
    <cellStyle name="Hyperlink" xfId="913" builtinId="8" hidden="1"/>
    <cellStyle name="Hyperlink" xfId="915" builtinId="8" hidden="1"/>
    <cellStyle name="Hyperlink" xfId="917" builtinId="8" hidden="1"/>
    <cellStyle name="Hyperlink" xfId="919" builtinId="8" hidden="1"/>
    <cellStyle name="Hyperlink" xfId="921" builtinId="8" hidden="1"/>
    <cellStyle name="Hyperlink" xfId="923" builtinId="8" hidden="1"/>
    <cellStyle name="Hyperlink" xfId="925" builtinId="8" hidden="1"/>
    <cellStyle name="Hyperlink" xfId="927" builtinId="8" hidden="1"/>
    <cellStyle name="Hyperlink" xfId="929" builtinId="8" hidden="1"/>
    <cellStyle name="Hyperlink" xfId="931" builtinId="8" hidden="1"/>
    <cellStyle name="Hyperlink" xfId="933" builtinId="8" hidden="1"/>
    <cellStyle name="Hyperlink" xfId="935" builtinId="8" hidden="1"/>
    <cellStyle name="Hyperlink" xfId="937" builtinId="8" hidden="1"/>
    <cellStyle name="Hyperlink" xfId="939" builtinId="8" hidden="1"/>
    <cellStyle name="Hyperlink" xfId="941" builtinId="8" hidden="1"/>
    <cellStyle name="Hyperlink" xfId="943" builtinId="8" hidden="1"/>
    <cellStyle name="Hyperlink" xfId="945" builtinId="8" hidden="1"/>
    <cellStyle name="Hyperlink" xfId="947" builtinId="8" hidden="1"/>
    <cellStyle name="Hyperlink" xfId="949" builtinId="8" hidden="1"/>
    <cellStyle name="Hyperlink" xfId="951" builtinId="8" hidden="1"/>
    <cellStyle name="Hyperlink" xfId="953" builtinId="8" hidden="1"/>
    <cellStyle name="Hyperlink" xfId="955" builtinId="8" hidden="1"/>
    <cellStyle name="Hyperlink" xfId="957" builtinId="8" hidden="1"/>
    <cellStyle name="Hyperlink" xfId="959" builtinId="8" hidden="1"/>
    <cellStyle name="Hyperlink" xfId="961" builtinId="8" hidden="1"/>
    <cellStyle name="Hyperlink" xfId="963" builtinId="8" hidden="1"/>
    <cellStyle name="Hyperlink" xfId="965" builtinId="8" hidden="1"/>
    <cellStyle name="Hyperlink" xfId="967" builtinId="8" hidden="1"/>
    <cellStyle name="Hyperlink" xfId="969" builtinId="8" hidden="1"/>
    <cellStyle name="Hyperlink" xfId="971" builtinId="8" hidden="1"/>
    <cellStyle name="Hyperlink" xfId="973" builtinId="8" hidden="1"/>
    <cellStyle name="Hyperlink" xfId="975" builtinId="8" hidden="1"/>
    <cellStyle name="Hyperlink" xfId="977" builtinId="8" hidden="1"/>
    <cellStyle name="Hyperlink" xfId="979" builtinId="8" hidden="1"/>
    <cellStyle name="Hyperlink" xfId="981" builtinId="8" hidden="1"/>
    <cellStyle name="Hyperlink" xfId="983" builtinId="8" hidden="1"/>
    <cellStyle name="Hyperlink" xfId="985" builtinId="8" hidden="1"/>
    <cellStyle name="Hyperlink" xfId="987" builtinId="8" hidden="1"/>
    <cellStyle name="Hyperlink" xfId="989" builtinId="8" hidden="1"/>
    <cellStyle name="Hyperlink" xfId="991" builtinId="8" hidden="1"/>
    <cellStyle name="Hyperlink" xfId="993" builtinId="8" hidden="1"/>
    <cellStyle name="Hyperlink" xfId="995" builtinId="8" hidden="1"/>
    <cellStyle name="Hyperlink" xfId="997" builtinId="8" hidden="1"/>
    <cellStyle name="Hyperlink" xfId="999" builtinId="8" hidden="1"/>
    <cellStyle name="Hyperlink" xfId="1001" builtinId="8" hidden="1"/>
    <cellStyle name="Hyperlink" xfId="1003" builtinId="8" hidden="1"/>
    <cellStyle name="Hyperlink" xfId="1005" builtinId="8" hidden="1"/>
    <cellStyle name="Hyperlink" xfId="1007" builtinId="8" hidden="1"/>
    <cellStyle name="Hyperlink" xfId="1009" builtinId="8" hidden="1"/>
    <cellStyle name="Hyperlink" xfId="1011" builtinId="8" hidden="1"/>
    <cellStyle name="Hyperlink" xfId="1013" builtinId="8" hidden="1"/>
    <cellStyle name="Hyperlink" xfId="1015" builtinId="8" hidden="1"/>
    <cellStyle name="Hyperlink" xfId="1017" builtinId="8" hidden="1"/>
    <cellStyle name="Hyperlink" xfId="1019" builtinId="8" hidden="1"/>
    <cellStyle name="Hyperlink" xfId="1021" builtinId="8" hidden="1"/>
    <cellStyle name="Hyperlink" xfId="1023" builtinId="8" hidden="1"/>
    <cellStyle name="Hyperlink" xfId="1025" builtinId="8" hidden="1"/>
    <cellStyle name="Hyperlink" xfId="1027" builtinId="8" hidden="1"/>
    <cellStyle name="Hyperlink" xfId="1029" builtinId="8" hidden="1"/>
    <cellStyle name="Hyperlink" xfId="1031" builtinId="8" hidden="1"/>
    <cellStyle name="Hyperlink" xfId="1033" builtinId="8" hidden="1"/>
    <cellStyle name="Hyperlink" xfId="1035" builtinId="8" hidden="1"/>
    <cellStyle name="Hyperlink" xfId="1037" builtinId="8" hidden="1"/>
    <cellStyle name="Hyperlink" xfId="1039" builtinId="8" hidden="1"/>
    <cellStyle name="Hyperlink" xfId="1041" builtinId="8" hidden="1"/>
    <cellStyle name="Hyperlink" xfId="1043" builtinId="8" hidden="1"/>
    <cellStyle name="Hyperlink" xfId="1045" builtinId="8" hidden="1"/>
    <cellStyle name="Hyperlink" xfId="1047" builtinId="8" hidden="1"/>
    <cellStyle name="Hyperlink" xfId="1049" builtinId="8" hidden="1"/>
    <cellStyle name="Hyperlink" xfId="1051" builtinId="8" hidden="1"/>
    <cellStyle name="Hyperlink" xfId="1053" builtinId="8" hidden="1"/>
    <cellStyle name="Hyperlink" xfId="1055" builtinId="8" hidden="1"/>
    <cellStyle name="Hyperlink" xfId="1057" builtinId="8" hidden="1"/>
    <cellStyle name="Hyperlink" xfId="1059" builtinId="8" hidden="1"/>
    <cellStyle name="Hyperlink" xfId="1061" builtinId="8" hidden="1"/>
    <cellStyle name="Hyperlink" xfId="1063" builtinId="8" hidden="1"/>
    <cellStyle name="Hyperlink" xfId="1065" builtinId="8" hidden="1"/>
    <cellStyle name="Hyperlink" xfId="1067" builtinId="8" hidden="1"/>
    <cellStyle name="Hyperlink" xfId="1069" builtinId="8" hidden="1"/>
    <cellStyle name="Hyperlink" xfId="1071" builtinId="8" hidden="1"/>
    <cellStyle name="Hyperlink" xfId="1073" builtinId="8" hidden="1"/>
    <cellStyle name="Hyperlink" xfId="1075" builtinId="8" hidden="1"/>
    <cellStyle name="Hyperlink" xfId="1077" builtinId="8" hidden="1"/>
    <cellStyle name="Hyperlink" xfId="1079" builtinId="8" hidden="1"/>
    <cellStyle name="Hyperlink" xfId="1081" builtinId="8" hidden="1"/>
    <cellStyle name="Hyperlink" xfId="1083" builtinId="8" hidden="1"/>
    <cellStyle name="Hyperlink" xfId="1085" builtinId="8" hidden="1"/>
    <cellStyle name="Hyperlink" xfId="1087" builtinId="8" hidden="1"/>
    <cellStyle name="Hyperlink" xfId="1089" builtinId="8" hidden="1"/>
    <cellStyle name="Hyperlink" xfId="1091" builtinId="8" hidden="1"/>
    <cellStyle name="Hyperlink" xfId="1093" builtinId="8" hidden="1"/>
    <cellStyle name="Hyperlink" xfId="1095" builtinId="8" hidden="1"/>
    <cellStyle name="Hyperlink" xfId="1097" builtinId="8" hidden="1"/>
    <cellStyle name="Hyperlink" xfId="1099" builtinId="8" hidden="1"/>
    <cellStyle name="Hyperlink" xfId="1101" builtinId="8" hidden="1"/>
    <cellStyle name="Hyperlink" xfId="1103" builtinId="8" hidden="1"/>
    <cellStyle name="Hyperlink" xfId="1105" builtinId="8" hidden="1"/>
    <cellStyle name="Hyperlink" xfId="1107" builtinId="8" hidden="1"/>
    <cellStyle name="Hyperlink" xfId="1109" builtinId="8" hidden="1"/>
    <cellStyle name="Hyperlink" xfId="1111" builtinId="8" hidden="1"/>
    <cellStyle name="Hyperlink" xfId="1113" builtinId="8" hidden="1"/>
    <cellStyle name="Hyperlink" xfId="1115" builtinId="8" hidden="1"/>
    <cellStyle name="Hyperlink" xfId="1117" builtinId="8" hidden="1"/>
    <cellStyle name="Hyperlink" xfId="1119" builtinId="8" hidden="1"/>
    <cellStyle name="Hyperlink" xfId="1121" builtinId="8" hidden="1"/>
    <cellStyle name="Hyperlink" xfId="1123" builtinId="8" hidden="1"/>
    <cellStyle name="Hyperlink" xfId="1125" builtinId="8" hidden="1"/>
    <cellStyle name="Hyperlink" xfId="1127" builtinId="8" hidden="1"/>
    <cellStyle name="Hyperlink" xfId="1129" builtinId="8" hidden="1"/>
    <cellStyle name="Hyperlink" xfId="1131" builtinId="8" hidden="1"/>
    <cellStyle name="Hyperlink" xfId="1133" builtinId="8" hidden="1"/>
    <cellStyle name="Hyperlink" xfId="1135" builtinId="8" hidden="1"/>
    <cellStyle name="Hyperlink" xfId="1137" builtinId="8" hidden="1"/>
    <cellStyle name="Hyperlink" xfId="1139" builtinId="8" hidden="1"/>
    <cellStyle name="Hyperlink" xfId="1141" builtinId="8" hidden="1"/>
    <cellStyle name="Hyperlink" xfId="1143" builtinId="8" hidden="1"/>
    <cellStyle name="Hyperlink" xfId="1145" builtinId="8" hidden="1"/>
    <cellStyle name="Hyperlink" xfId="1147" builtinId="8" hidden="1"/>
    <cellStyle name="Hyperlink" xfId="1149" builtinId="8" hidden="1"/>
    <cellStyle name="Hyperlink" xfId="1151" builtinId="8" hidden="1"/>
    <cellStyle name="Hyperlink" xfId="1153" builtinId="8" hidden="1"/>
    <cellStyle name="Hyperlink" xfId="1155" builtinId="8" hidden="1"/>
    <cellStyle name="Hyperlink" xfId="1157" builtinId="8" hidden="1"/>
    <cellStyle name="Hyperlink" xfId="1159" builtinId="8" hidden="1"/>
    <cellStyle name="Hyperlink" xfId="1161" builtinId="8" hidden="1"/>
    <cellStyle name="Hyperlink" xfId="1163" builtinId="8" hidden="1"/>
    <cellStyle name="Hyperlink" xfId="1165" builtinId="8" hidden="1"/>
    <cellStyle name="Hyperlink" xfId="1167" builtinId="8" hidden="1"/>
    <cellStyle name="Hyperlink" xfId="1169" builtinId="8" hidden="1"/>
    <cellStyle name="Hyperlink" xfId="1171" builtinId="8" hidden="1"/>
    <cellStyle name="Hyperlink" xfId="1173" builtinId="8" hidden="1"/>
    <cellStyle name="Hyperlink" xfId="1175" builtinId="8" hidden="1"/>
    <cellStyle name="Hyperlink" xfId="1177" builtinId="8" hidden="1"/>
    <cellStyle name="Hyperlink" xfId="1179" builtinId="8" hidden="1"/>
    <cellStyle name="Hyperlink" xfId="1181" builtinId="8" hidden="1"/>
    <cellStyle name="Hyperlink" xfId="1183" builtinId="8" hidden="1"/>
    <cellStyle name="Hyperlink" xfId="1185" builtinId="8" hidden="1"/>
    <cellStyle name="Hyperlink" xfId="1187" builtinId="8" hidden="1"/>
    <cellStyle name="Hyperlink" xfId="1189" builtinId="8" hidden="1"/>
    <cellStyle name="Hyperlink" xfId="1191" builtinId="8" hidden="1"/>
    <cellStyle name="Hyperlink" xfId="1193" builtinId="8" hidden="1"/>
    <cellStyle name="Hyperlink" xfId="1195" builtinId="8" hidden="1"/>
    <cellStyle name="Hyperlink" xfId="1197" builtinId="8" hidden="1"/>
    <cellStyle name="Hyperlink" xfId="1199" builtinId="8" hidden="1"/>
    <cellStyle name="Hyperlink" xfId="1201" builtinId="8" hidden="1"/>
    <cellStyle name="Hyperlink" xfId="1203" builtinId="8" hidden="1"/>
    <cellStyle name="Hyperlink" xfId="1205" builtinId="8" hidden="1"/>
    <cellStyle name="Hyperlink" xfId="1207" builtinId="8" hidden="1"/>
    <cellStyle name="Hyperlink" xfId="1209" builtinId="8" hidden="1"/>
    <cellStyle name="Hyperlink" xfId="1211" builtinId="8" hidden="1"/>
    <cellStyle name="Hyperlink" xfId="1213" builtinId="8" hidden="1"/>
    <cellStyle name="Hyperlink" xfId="1215" builtinId="8" hidden="1"/>
    <cellStyle name="Hyperlink" xfId="1217" builtinId="8" hidden="1"/>
    <cellStyle name="Hyperlink" xfId="1219" builtinId="8" hidden="1"/>
    <cellStyle name="Hyperlink" xfId="1221" builtinId="8" hidden="1"/>
    <cellStyle name="Hyperlink" xfId="1223" builtinId="8" hidden="1"/>
    <cellStyle name="Hyperlink" xfId="1225" builtinId="8" hidden="1"/>
    <cellStyle name="Hyperlink" xfId="1227" builtinId="8" hidden="1"/>
    <cellStyle name="Hyperlink" xfId="1229" builtinId="8" hidden="1"/>
    <cellStyle name="Hyperlink" xfId="1231" builtinId="8" hidden="1"/>
    <cellStyle name="Hyperlink" xfId="1233" builtinId="8" hidden="1"/>
    <cellStyle name="Hyperlink" xfId="1235" builtinId="8" hidden="1"/>
    <cellStyle name="Hyperlink" xfId="1237" builtinId="8" hidden="1"/>
    <cellStyle name="Hyperlink" xfId="1239" builtinId="8" hidden="1"/>
    <cellStyle name="Hyperlink" xfId="1241" builtinId="8" hidden="1"/>
    <cellStyle name="Hyperlink" xfId="1243" builtinId="8" hidden="1"/>
    <cellStyle name="Hyperlink" xfId="1245" builtinId="8" hidden="1"/>
    <cellStyle name="Hyperlink" xfId="1247" builtinId="8" hidden="1"/>
    <cellStyle name="Hyperlink" xfId="1249" builtinId="8" hidden="1"/>
    <cellStyle name="Hyperlink" xfId="1251" builtinId="8" hidden="1"/>
    <cellStyle name="Hyperlink" xfId="1253" builtinId="8" hidden="1"/>
    <cellStyle name="Hyperlink" xfId="1255" builtinId="8" hidden="1"/>
    <cellStyle name="Hyperlink" xfId="1257" builtinId="8" hidden="1"/>
    <cellStyle name="Hyperlink" xfId="1259" builtinId="8" hidden="1"/>
    <cellStyle name="Hyperlink" xfId="1261" builtinId="8" hidden="1"/>
    <cellStyle name="Hyperlink" xfId="1263" builtinId="8" hidden="1"/>
    <cellStyle name="Hyperlink" xfId="1265" builtinId="8" hidden="1"/>
    <cellStyle name="Hyperlink" xfId="1267" builtinId="8" hidden="1"/>
    <cellStyle name="Hyperlink" xfId="1269" builtinId="8" hidden="1"/>
    <cellStyle name="Hyperlink" xfId="1271" builtinId="8" hidden="1"/>
    <cellStyle name="Hyperlink" xfId="1273" builtinId="8" hidden="1"/>
    <cellStyle name="Hyperlink" xfId="1275" builtinId="8" hidden="1"/>
    <cellStyle name="Hyperlink" xfId="1277" builtinId="8" hidden="1"/>
    <cellStyle name="Hyperlink" xfId="1279" builtinId="8" hidden="1"/>
    <cellStyle name="Hyperlink" xfId="1281" builtinId="8" hidden="1"/>
    <cellStyle name="Hyperlink" xfId="1283" builtinId="8" hidden="1"/>
    <cellStyle name="Hyperlink" xfId="1285" builtinId="8" hidden="1"/>
    <cellStyle name="Hyperlink" xfId="1287" builtinId="8" hidden="1"/>
    <cellStyle name="Hyperlink" xfId="1289" builtinId="8" hidden="1"/>
    <cellStyle name="Hyperlink" xfId="1291" builtinId="8" hidden="1"/>
    <cellStyle name="Hyperlink" xfId="1293" builtinId="8" hidden="1"/>
    <cellStyle name="Hyperlink" xfId="1295" builtinId="8" hidden="1"/>
    <cellStyle name="Hyperlink" xfId="1297" builtinId="8" hidden="1"/>
    <cellStyle name="Hyperlink" xfId="1299" builtinId="8" hidden="1"/>
    <cellStyle name="Hyperlink" xfId="1301" builtinId="8" hidden="1"/>
    <cellStyle name="Hyperlink" xfId="1303" builtinId="8" hidden="1"/>
    <cellStyle name="Hyperlink" xfId="1305" builtinId="8" hidden="1"/>
    <cellStyle name="Hyperlink" xfId="1307" builtinId="8" hidden="1"/>
    <cellStyle name="Hyperlink" xfId="1309" builtinId="8" hidden="1"/>
    <cellStyle name="Hyperlink" xfId="1311" builtinId="8" hidden="1"/>
    <cellStyle name="Hyperlink" xfId="1313" builtinId="8" hidden="1"/>
    <cellStyle name="Hyperlink" xfId="1315" builtinId="8" hidden="1"/>
    <cellStyle name="Hyperlink" xfId="1317" builtinId="8" hidden="1"/>
    <cellStyle name="Hyperlink" xfId="1319" builtinId="8" hidden="1"/>
    <cellStyle name="Hyperlink" xfId="1321" builtinId="8" hidden="1"/>
    <cellStyle name="Hyperlink" xfId="1323" builtinId="8" hidden="1"/>
    <cellStyle name="Hyperlink" xfId="1325" builtinId="8" hidden="1"/>
    <cellStyle name="Hyperlink" xfId="1327" builtinId="8" hidden="1"/>
    <cellStyle name="Hyperlink" xfId="1329" builtinId="8" hidden="1"/>
    <cellStyle name="Hyperlink" xfId="1331" builtinId="8" hidden="1"/>
    <cellStyle name="Hyperlink" xfId="1333" builtinId="8" hidden="1"/>
    <cellStyle name="Hyperlink" xfId="1335" builtinId="8" hidden="1"/>
    <cellStyle name="Hyperlink" xfId="1337" builtinId="8" hidden="1"/>
    <cellStyle name="Hyperlink" xfId="1339" builtinId="8" hidden="1"/>
    <cellStyle name="Hyperlink" xfId="1341" builtinId="8" hidden="1"/>
    <cellStyle name="Hyperlink" xfId="1343" builtinId="8" hidden="1"/>
    <cellStyle name="Hyperlink" xfId="1345" builtinId="8" hidden="1"/>
    <cellStyle name="Hyperlink" xfId="1347" builtinId="8" hidden="1"/>
    <cellStyle name="Hyperlink" xfId="1349" builtinId="8" hidden="1"/>
    <cellStyle name="Hyperlink" xfId="1351" builtinId="8" hidden="1"/>
    <cellStyle name="Hyperlink" xfId="1353" builtinId="8" hidden="1"/>
    <cellStyle name="Hyperlink" xfId="1355" builtinId="8" hidden="1"/>
    <cellStyle name="Hyperlink" xfId="1357" builtinId="8" hidden="1"/>
    <cellStyle name="Hyperlink" xfId="1359" builtinId="8" hidden="1"/>
    <cellStyle name="Hyperlink" xfId="1361" builtinId="8" hidden="1"/>
    <cellStyle name="Hyperlink" xfId="1363" builtinId="8" hidden="1"/>
    <cellStyle name="Hyperlink" xfId="1365" builtinId="8" hidden="1"/>
    <cellStyle name="Hyperlink" xfId="1367" builtinId="8" hidden="1"/>
    <cellStyle name="Hyperlink" xfId="1369" builtinId="8" hidden="1"/>
    <cellStyle name="Hyperlink" xfId="1371" builtinId="8" hidden="1"/>
    <cellStyle name="Hyperlink" xfId="1373" builtinId="8" hidden="1"/>
    <cellStyle name="Hyperlink" xfId="1375" builtinId="8" hidden="1"/>
    <cellStyle name="Hyperlink" xfId="1377" builtinId="8" hidden="1"/>
    <cellStyle name="Hyperlink" xfId="1379" builtinId="8" hidden="1"/>
    <cellStyle name="Hyperlink" xfId="1381" builtinId="8" hidden="1"/>
    <cellStyle name="Hyperlink" xfId="1383" builtinId="8" hidden="1"/>
    <cellStyle name="Hyperlink" xfId="1385" builtinId="8" hidden="1"/>
    <cellStyle name="Hyperlink" xfId="1387" builtinId="8" hidden="1"/>
    <cellStyle name="Hyperlink" xfId="1389" builtinId="8" hidden="1"/>
    <cellStyle name="Hyperlink" xfId="1391" builtinId="8" hidden="1"/>
    <cellStyle name="Hyperlink" xfId="1393" builtinId="8" hidden="1"/>
    <cellStyle name="Hyperlink" xfId="1395" builtinId="8" hidden="1"/>
    <cellStyle name="Hyperlink" xfId="1397" builtinId="8" hidden="1"/>
    <cellStyle name="Hyperlink" xfId="1399" builtinId="8" hidden="1"/>
    <cellStyle name="Hyperlink" xfId="1401" builtinId="8" hidden="1"/>
    <cellStyle name="Hyperlink" xfId="1403" builtinId="8" hidden="1"/>
    <cellStyle name="Hyperlink" xfId="1405" builtinId="8" hidden="1"/>
    <cellStyle name="Hyperlink" xfId="1407" builtinId="8" hidden="1"/>
    <cellStyle name="Hyperlink" xfId="1409" builtinId="8" hidden="1"/>
    <cellStyle name="Hyperlink" xfId="1411" builtinId="8" hidden="1"/>
    <cellStyle name="Hyperlink" xfId="1413" builtinId="8" hidden="1"/>
    <cellStyle name="Hyperlink" xfId="1415" builtinId="8" hidden="1"/>
    <cellStyle name="Hyperlink" xfId="1417" builtinId="8" hidden="1"/>
    <cellStyle name="Hyperlink" xfId="1419" builtinId="8" hidden="1"/>
    <cellStyle name="Hyperlink" xfId="1421" builtinId="8" hidden="1"/>
    <cellStyle name="Hyperlink" xfId="1423" builtinId="8" hidden="1"/>
    <cellStyle name="Hyperlink" xfId="1425" builtinId="8" hidden="1"/>
    <cellStyle name="Hyperlink" xfId="1427" builtinId="8" hidden="1"/>
    <cellStyle name="Hyperlink" xfId="1429" builtinId="8" hidden="1"/>
    <cellStyle name="Hyperlink" xfId="1431" builtinId="8" hidden="1"/>
    <cellStyle name="Hyperlink" xfId="1433" builtinId="8" hidden="1"/>
    <cellStyle name="Hyperlink" xfId="1435" builtinId="8" hidden="1"/>
    <cellStyle name="Hyperlink" xfId="1437" builtinId="8" hidden="1"/>
    <cellStyle name="Hyperlink" xfId="1439" builtinId="8" hidden="1"/>
    <cellStyle name="Hyperlink" xfId="1441" builtinId="8" hidden="1"/>
    <cellStyle name="Hyperlink" xfId="1443" builtinId="8" hidden="1"/>
    <cellStyle name="Hyperlink" xfId="1445" builtinId="8" hidden="1"/>
    <cellStyle name="Hyperlink" xfId="1447" builtinId="8" hidden="1"/>
    <cellStyle name="Hyperlink" xfId="1449" builtinId="8" hidden="1"/>
    <cellStyle name="Hyperlink" xfId="1451" builtinId="8" hidden="1"/>
    <cellStyle name="Hyperlink" xfId="1453" builtinId="8" hidden="1"/>
    <cellStyle name="Hyperlink" xfId="1455" builtinId="8" hidden="1"/>
    <cellStyle name="Hyperlink" xfId="1457" builtinId="8" hidden="1"/>
    <cellStyle name="Hyperlink" xfId="1459" builtinId="8" hidden="1"/>
    <cellStyle name="Hyperlink" xfId="1461" builtinId="8" hidden="1"/>
    <cellStyle name="Hyperlink" xfId="1463" builtinId="8" hidden="1"/>
    <cellStyle name="Hyperlink" xfId="1465" builtinId="8" hidden="1"/>
    <cellStyle name="Hyperlink" xfId="1467" builtinId="8" hidden="1"/>
    <cellStyle name="Hyperlink" xfId="1469" builtinId="8" hidden="1"/>
    <cellStyle name="Hyperlink" xfId="1471" builtinId="8" hidden="1"/>
    <cellStyle name="Hyperlink" xfId="1473" builtinId="8" hidden="1"/>
    <cellStyle name="Hyperlink" xfId="1475" builtinId="8" hidden="1"/>
    <cellStyle name="Hyperlink" xfId="1477" builtinId="8" hidden="1"/>
    <cellStyle name="Hyperlink" xfId="1479" builtinId="8" hidden="1"/>
    <cellStyle name="Hyperlink" xfId="1481" builtinId="8" hidden="1"/>
    <cellStyle name="Hyperlink" xfId="1483" builtinId="8" hidden="1"/>
    <cellStyle name="Hyperlink" xfId="1485" builtinId="8" hidden="1"/>
    <cellStyle name="Hyperlink" xfId="1487" builtinId="8" hidden="1"/>
    <cellStyle name="Hyperlink" xfId="1489" builtinId="8" hidden="1"/>
    <cellStyle name="Hyperlink" xfId="1491" builtinId="8" hidden="1"/>
    <cellStyle name="Hyperlink" xfId="1493" builtinId="8" hidden="1"/>
    <cellStyle name="Hyperlink" xfId="1495" builtinId="8" hidden="1"/>
    <cellStyle name="Hyperlink" xfId="1497" builtinId="8" hidden="1"/>
    <cellStyle name="Hyperlink" xfId="1499" builtinId="8" hidden="1"/>
    <cellStyle name="Hyperlink" xfId="1501" builtinId="8" hidden="1"/>
    <cellStyle name="Hyperlink" xfId="1503" builtinId="8" hidden="1"/>
    <cellStyle name="Hyperlink" xfId="1505" builtinId="8" hidden="1"/>
    <cellStyle name="Hyperlink" xfId="1507" builtinId="8" hidden="1"/>
    <cellStyle name="Hyperlink" xfId="1509" builtinId="8" hidden="1"/>
    <cellStyle name="Hyperlink" xfId="1511" builtinId="8" hidden="1"/>
    <cellStyle name="Hyperlink" xfId="1513" builtinId="8" hidden="1"/>
    <cellStyle name="Hyperlink" xfId="1515" builtinId="8" hidden="1"/>
    <cellStyle name="Hyperlink" xfId="1517" builtinId="8" hidden="1"/>
    <cellStyle name="Hyperlink" xfId="1519" builtinId="8" hidden="1"/>
    <cellStyle name="Hyperlink" xfId="1521" builtinId="8" hidden="1"/>
    <cellStyle name="Hyperlink" xfId="1523" builtinId="8" hidden="1"/>
    <cellStyle name="Hyperlink" xfId="1525" builtinId="8" hidden="1"/>
    <cellStyle name="Hyperlink" xfId="1527" builtinId="8" hidden="1"/>
    <cellStyle name="Hyperlink" xfId="1529" builtinId="8" hidden="1"/>
    <cellStyle name="Hyperlink" xfId="1531" builtinId="8" hidden="1"/>
    <cellStyle name="Hyperlink" xfId="1533" builtinId="8" hidden="1"/>
    <cellStyle name="Hyperlink" xfId="1535" builtinId="8" hidden="1"/>
    <cellStyle name="Hyperlink" xfId="1537" builtinId="8" hidden="1"/>
    <cellStyle name="Hyperlink" xfId="1539" builtinId="8" hidden="1"/>
    <cellStyle name="Hyperlink" xfId="1541" builtinId="8" hidden="1"/>
    <cellStyle name="Hyperlink" xfId="1543" builtinId="8" hidden="1"/>
    <cellStyle name="Hyperlink" xfId="1545" builtinId="8" hidden="1"/>
    <cellStyle name="Hyperlink" xfId="1547" builtinId="8" hidden="1"/>
    <cellStyle name="Hyperlink" xfId="1549" builtinId="8" hidden="1"/>
    <cellStyle name="Hyperlink" xfId="1551" builtinId="8" hidden="1"/>
    <cellStyle name="Hyperlink" xfId="1553" builtinId="8" hidden="1"/>
    <cellStyle name="Hyperlink" xfId="1555" builtinId="8" hidden="1"/>
    <cellStyle name="Hyperlink" xfId="1557" builtinId="8" hidden="1"/>
    <cellStyle name="Hyperlink" xfId="1559" builtinId="8" hidden="1"/>
    <cellStyle name="Hyperlink" xfId="1561" builtinId="8" hidden="1"/>
    <cellStyle name="Hyperlink" xfId="1563" builtinId="8" hidden="1"/>
    <cellStyle name="Hyperlink" xfId="1565" builtinId="8" hidden="1"/>
    <cellStyle name="Hyperlink" xfId="1567" builtinId="8" hidden="1"/>
    <cellStyle name="Hyperlink" xfId="1569" builtinId="8" hidden="1"/>
    <cellStyle name="Hyperlink" xfId="1571" builtinId="8" hidden="1"/>
    <cellStyle name="Hyperlink" xfId="1573" builtinId="8" hidden="1"/>
    <cellStyle name="Hyperlink" xfId="1575" builtinId="8" hidden="1"/>
    <cellStyle name="Hyperlink" xfId="1577" builtinId="8" hidden="1"/>
    <cellStyle name="Hyperlink" xfId="1579" builtinId="8" hidden="1"/>
    <cellStyle name="Hyperlink" xfId="1581" builtinId="8" hidden="1"/>
    <cellStyle name="Hyperlink" xfId="1583" builtinId="8" hidden="1"/>
    <cellStyle name="Hyperlink" xfId="1585" builtinId="8" hidden="1"/>
    <cellStyle name="Hyperlink" xfId="1587" builtinId="8" hidden="1"/>
    <cellStyle name="Hyperlink" xfId="1589" builtinId="8" hidden="1"/>
    <cellStyle name="Hyperlink" xfId="1591" builtinId="8" hidden="1"/>
    <cellStyle name="Hyperlink" xfId="1593" builtinId="8" hidden="1"/>
    <cellStyle name="Hyperlink" xfId="1595" builtinId="8" hidden="1"/>
    <cellStyle name="Hyperlink" xfId="1597" builtinId="8" hidden="1"/>
    <cellStyle name="Hyperlink" xfId="1599" builtinId="8" hidden="1"/>
    <cellStyle name="Hyperlink" xfId="1601" builtinId="8" hidden="1"/>
    <cellStyle name="Hyperlink" xfId="1603" builtinId="8" hidden="1"/>
    <cellStyle name="Hyperlink" xfId="1605" builtinId="8" hidden="1"/>
    <cellStyle name="Hyperlink" xfId="1607" builtinId="8" hidden="1"/>
    <cellStyle name="Hyperlink" xfId="1609" builtinId="8" hidden="1"/>
    <cellStyle name="Hyperlink" xfId="1611" builtinId="8" hidden="1"/>
    <cellStyle name="Hyperlink" xfId="1613" builtinId="8" hidden="1"/>
    <cellStyle name="Hyperlink" xfId="1615" builtinId="8" hidden="1"/>
    <cellStyle name="Hyperlink" xfId="1617" builtinId="8" hidden="1"/>
    <cellStyle name="Hyperlink" xfId="1619" builtinId="8" hidden="1"/>
    <cellStyle name="Hyperlink" xfId="1621" builtinId="8" hidden="1"/>
    <cellStyle name="Hyperlink" xfId="1623" builtinId="8" hidden="1"/>
    <cellStyle name="Hyperlink" xfId="1625" builtinId="8" hidden="1"/>
    <cellStyle name="Hyperlink" xfId="1627" builtinId="8" hidden="1"/>
    <cellStyle name="Hyperlink" xfId="1629" builtinId="8" hidden="1"/>
    <cellStyle name="Hyperlink" xfId="1631" builtinId="8" hidden="1"/>
    <cellStyle name="Hyperlink" xfId="1633" builtinId="8" hidden="1"/>
    <cellStyle name="Hyperlink" xfId="1635" builtinId="8" hidden="1"/>
    <cellStyle name="Hyperlink" xfId="1637" builtinId="8" hidden="1"/>
    <cellStyle name="Hyperlink" xfId="1639" builtinId="8" hidden="1"/>
    <cellStyle name="Hyperlink" xfId="1641" builtinId="8" hidden="1"/>
    <cellStyle name="Hyperlink" xfId="1643" builtinId="8" hidden="1"/>
    <cellStyle name="Hyperlink" xfId="1645" builtinId="8" hidden="1"/>
    <cellStyle name="Hyperlink" xfId="1647" builtinId="8" hidden="1"/>
    <cellStyle name="Hyperlink" xfId="1649" builtinId="8" hidden="1"/>
    <cellStyle name="Hyperlink" xfId="1651" builtinId="8" hidden="1"/>
    <cellStyle name="Hyperlink" xfId="1653" builtinId="8" hidden="1"/>
    <cellStyle name="Hyperlink" xfId="1655" builtinId="8" hidden="1"/>
    <cellStyle name="Hyperlink" xfId="1657" builtinId="8" hidden="1"/>
    <cellStyle name="Hyperlink" xfId="1659" builtinId="8" hidden="1"/>
    <cellStyle name="Hyperlink" xfId="1661" builtinId="8" hidden="1"/>
    <cellStyle name="Hyperlink" xfId="1663" builtinId="8" hidden="1"/>
    <cellStyle name="Hyperlink" xfId="1665" builtinId="8" hidden="1"/>
    <cellStyle name="Hyperlink" xfId="1667" builtinId="8" hidden="1"/>
    <cellStyle name="Hyperlink" xfId="1669" builtinId="8" hidden="1"/>
    <cellStyle name="Hyperlink" xfId="1671" builtinId="8" hidden="1"/>
    <cellStyle name="Hyperlink" xfId="1673" builtinId="8" hidden="1"/>
    <cellStyle name="Hyperlink" xfId="1675" builtinId="8" hidden="1"/>
    <cellStyle name="Hyperlink" xfId="1677" builtinId="8" hidden="1"/>
    <cellStyle name="Hyperlink" xfId="1679" builtinId="8" hidden="1"/>
    <cellStyle name="Hyperlink" xfId="1681" builtinId="8" hidden="1"/>
    <cellStyle name="Hyperlink" xfId="1683" builtinId="8" hidden="1"/>
    <cellStyle name="Hyperlink" xfId="1685" builtinId="8" hidden="1"/>
    <cellStyle name="Hyperlink" xfId="1687" builtinId="8" hidden="1"/>
    <cellStyle name="Hyperlink" xfId="1689" builtinId="8" hidden="1"/>
    <cellStyle name="Hyperlink" xfId="1691" builtinId="8" hidden="1"/>
    <cellStyle name="Hyperlink" xfId="1693" builtinId="8" hidden="1"/>
    <cellStyle name="Hyperlink" xfId="1695" builtinId="8" hidden="1"/>
    <cellStyle name="Hyperlink" xfId="1697" builtinId="8" hidden="1"/>
    <cellStyle name="Hyperlink" xfId="1699" builtinId="8" hidden="1"/>
    <cellStyle name="Hyperlink" xfId="1701" builtinId="8" hidden="1"/>
    <cellStyle name="Hyperlink" xfId="1703" builtinId="8" hidden="1"/>
    <cellStyle name="Hyperlink" xfId="1705" builtinId="8" hidden="1"/>
    <cellStyle name="Hyperlink" xfId="1707" builtinId="8" hidden="1"/>
    <cellStyle name="Hyperlink" xfId="1709" builtinId="8" hidden="1"/>
    <cellStyle name="Hyperlink" xfId="1711" builtinId="8" hidden="1"/>
    <cellStyle name="Hyperlink" xfId="1713" builtinId="8" hidden="1"/>
    <cellStyle name="Hyperlink" xfId="1715" builtinId="8" hidden="1"/>
    <cellStyle name="Hyperlink" xfId="1717" builtinId="8" hidden="1"/>
    <cellStyle name="Hyperlink" xfId="1719" builtinId="8" hidden="1"/>
    <cellStyle name="Hyperlink" xfId="1721" builtinId="8" hidden="1"/>
    <cellStyle name="Hyperlink" xfId="1723" builtinId="8" hidden="1"/>
    <cellStyle name="Hyperlink" xfId="1725" builtinId="8" hidden="1"/>
    <cellStyle name="Hyperlink" xfId="1727" builtinId="8" hidden="1"/>
    <cellStyle name="Hyperlink" xfId="1729" builtinId="8" hidden="1"/>
    <cellStyle name="Hyperlink" xfId="1731" builtinId="8" hidden="1"/>
    <cellStyle name="Hyperlink" xfId="1733" builtinId="8" hidden="1"/>
    <cellStyle name="Hyperlink" xfId="1735" builtinId="8" hidden="1"/>
    <cellStyle name="Hyperlink" xfId="1737" builtinId="8" hidden="1"/>
    <cellStyle name="Hyperlink" xfId="1739" builtinId="8" hidden="1"/>
    <cellStyle name="Hyperlink" xfId="1741" builtinId="8" hidden="1"/>
    <cellStyle name="Hyperlink" xfId="1743" builtinId="8" hidden="1"/>
    <cellStyle name="Hyperlink" xfId="1745" builtinId="8" hidden="1"/>
    <cellStyle name="Hyperlink" xfId="1747" builtinId="8" hidden="1"/>
    <cellStyle name="Hyperlink" xfId="1749" builtinId="8" hidden="1"/>
    <cellStyle name="Hyperlink" xfId="1751" builtinId="8" hidden="1"/>
    <cellStyle name="Hyperlink" xfId="1753" builtinId="8" hidden="1"/>
    <cellStyle name="Hyperlink" xfId="1755" builtinId="8" hidden="1"/>
    <cellStyle name="Hyperlink" xfId="1757" builtinId="8" hidden="1"/>
    <cellStyle name="Hyperlink" xfId="1759" builtinId="8" hidden="1"/>
    <cellStyle name="Hyperlink" xfId="1761" builtinId="8" hidden="1"/>
    <cellStyle name="Hyperlink" xfId="1763" builtinId="8" hidden="1"/>
    <cellStyle name="Hyperlink" xfId="1765" builtinId="8" hidden="1"/>
    <cellStyle name="Hyperlink" xfId="1767" builtinId="8" hidden="1"/>
    <cellStyle name="Hyperlink" xfId="1769" builtinId="8" hidden="1"/>
    <cellStyle name="Hyperlink" xfId="1771" builtinId="8" hidden="1"/>
    <cellStyle name="Hyperlink" xfId="1773" builtinId="8" hidden="1"/>
    <cellStyle name="Hyperlink" xfId="1775" builtinId="8" hidden="1"/>
    <cellStyle name="Hyperlink" xfId="1777" builtinId="8" hidden="1"/>
    <cellStyle name="Hyperlink" xfId="1779" builtinId="8" hidden="1"/>
    <cellStyle name="Hyperlink" xfId="1781" builtinId="8" hidden="1"/>
    <cellStyle name="Hyperlink" xfId="1783" builtinId="8" hidden="1"/>
    <cellStyle name="Hyperlink" xfId="1785" builtinId="8" hidden="1"/>
    <cellStyle name="Hyperlink" xfId="1787" builtinId="8" hidden="1"/>
    <cellStyle name="Hyperlink" xfId="1789" builtinId="8" hidden="1"/>
    <cellStyle name="Hyperlink" xfId="1791" builtinId="8" hidden="1"/>
    <cellStyle name="Hyperlink" xfId="1793" builtinId="8" hidden="1"/>
    <cellStyle name="Hyperlink" xfId="1795" builtinId="8" hidden="1"/>
    <cellStyle name="Hyperlink" xfId="1797" builtinId="8" hidden="1"/>
    <cellStyle name="Hyperlink" xfId="1799" builtinId="8" hidden="1"/>
    <cellStyle name="Hyperlink" xfId="1801" builtinId="8" hidden="1"/>
    <cellStyle name="Hyperlink" xfId="1803" builtinId="8" hidden="1"/>
    <cellStyle name="Hyperlink" xfId="1805" builtinId="8" hidden="1"/>
    <cellStyle name="Hyperlink" xfId="1807" builtinId="8" hidden="1"/>
    <cellStyle name="Hyperlink" xfId="1809" builtinId="8" hidden="1"/>
    <cellStyle name="Hyperlink" xfId="1811" builtinId="8" hidden="1"/>
    <cellStyle name="Hyperlink" xfId="1813" builtinId="8" hidden="1"/>
    <cellStyle name="Hyperlink" xfId="1815" builtinId="8" hidden="1"/>
    <cellStyle name="Hyperlink" xfId="1817" builtinId="8" hidden="1"/>
    <cellStyle name="Hyperlink" xfId="1819" builtinId="8" hidden="1"/>
    <cellStyle name="Hyperlink" xfId="1821" builtinId="8" hidden="1"/>
    <cellStyle name="Hyperlink" xfId="1823" builtinId="8" hidden="1"/>
    <cellStyle name="Hyperlink" xfId="1825" builtinId="8" hidden="1"/>
    <cellStyle name="Hyperlink" xfId="1827" builtinId="8" hidden="1"/>
    <cellStyle name="Hyperlink" xfId="1829" builtinId="8" hidden="1"/>
    <cellStyle name="Hyperlink" xfId="1831" builtinId="8" hidden="1"/>
    <cellStyle name="Hyperlink" xfId="1833" builtinId="8" hidden="1"/>
    <cellStyle name="Hyperlink" xfId="1835" builtinId="8" hidden="1"/>
    <cellStyle name="Hyperlink" xfId="1837" builtinId="8" hidden="1"/>
    <cellStyle name="Hyperlink" xfId="1839" builtinId="8" hidden="1"/>
    <cellStyle name="Hyperlink" xfId="1841" builtinId="8" hidden="1"/>
    <cellStyle name="Hyperlink" xfId="1843" builtinId="8" hidden="1"/>
    <cellStyle name="Hyperlink" xfId="1845" builtinId="8" hidden="1"/>
    <cellStyle name="Hyperlink" xfId="1847" builtinId="8" hidden="1"/>
    <cellStyle name="Hyperlink" xfId="1849" builtinId="8" hidden="1"/>
    <cellStyle name="Hyperlink" xfId="1851" builtinId="8" hidden="1"/>
    <cellStyle name="Hyperlink" xfId="1853" builtinId="8" hidden="1"/>
    <cellStyle name="Hyperlink" xfId="1855" builtinId="8" hidden="1"/>
    <cellStyle name="Hyperlink" xfId="1857" builtinId="8" hidden="1"/>
    <cellStyle name="Hyperlink" xfId="1859" builtinId="8" hidden="1"/>
    <cellStyle name="Hyperlink" xfId="1863" builtinId="8" hidden="1"/>
    <cellStyle name="Hyperlink" xfId="1865" builtinId="8" hidden="1"/>
    <cellStyle name="Hyperlink" xfId="1867" builtinId="8" hidden="1"/>
    <cellStyle name="Hyperlink" xfId="1869" builtinId="8" hidden="1"/>
    <cellStyle name="Hyperlink" xfId="1871" builtinId="8" hidden="1"/>
    <cellStyle name="Hyperlink" xfId="1873" builtinId="8" hidden="1"/>
    <cellStyle name="Hyperlink" xfId="1875" builtinId="8" hidden="1"/>
    <cellStyle name="Hyperlink" xfId="1877" builtinId="8" hidden="1"/>
    <cellStyle name="Hyperlink" xfId="1879" builtinId="8" hidden="1"/>
    <cellStyle name="Hyperlink" xfId="1881" builtinId="8" hidden="1"/>
    <cellStyle name="Hyperlink" xfId="1883" builtinId="8" hidden="1"/>
    <cellStyle name="Hyperlink" xfId="1885" builtinId="8" hidden="1"/>
    <cellStyle name="Hyperlink" xfId="1887" builtinId="8" hidden="1"/>
    <cellStyle name="Hyperlink" xfId="1889" builtinId="8" hidden="1"/>
    <cellStyle name="Hyperlink" xfId="1891" builtinId="8" hidden="1"/>
    <cellStyle name="Hyperlink" xfId="1893" builtinId="8" hidden="1"/>
    <cellStyle name="Hyperlink" xfId="1895" builtinId="8" hidden="1"/>
    <cellStyle name="Hyperlink" xfId="1897" builtinId="8" hidden="1"/>
    <cellStyle name="Hyperlink" xfId="1899" builtinId="8" hidden="1"/>
    <cellStyle name="Hyperlink" xfId="1901" builtinId="8" hidden="1"/>
    <cellStyle name="Hyperlink" xfId="1903" builtinId="8" hidden="1"/>
    <cellStyle name="Hyperlink" xfId="1905" builtinId="8" hidden="1"/>
    <cellStyle name="Hyperlink" xfId="1907" builtinId="8" hidden="1"/>
    <cellStyle name="Hyperlink" xfId="1909" builtinId="8" hidden="1"/>
    <cellStyle name="Hyperlink" xfId="1911" builtinId="8" hidden="1"/>
    <cellStyle name="Hyperlink" xfId="1913" builtinId="8" hidden="1"/>
    <cellStyle name="Hyperlink" xfId="1915" builtinId="8" hidden="1"/>
    <cellStyle name="Hyperlink" xfId="1917" builtinId="8" hidden="1"/>
    <cellStyle name="Hyperlink" xfId="1919" builtinId="8" hidden="1"/>
    <cellStyle name="Hyperlink" xfId="1921" builtinId="8" hidden="1"/>
    <cellStyle name="Hyperlink" xfId="1923" builtinId="8" hidden="1"/>
    <cellStyle name="Hyperlink" xfId="1925" builtinId="8" hidden="1"/>
    <cellStyle name="Hyperlink" xfId="1927" builtinId="8" hidden="1"/>
    <cellStyle name="Hyperlink" xfId="1929" builtinId="8" hidden="1"/>
    <cellStyle name="Hyperlink" xfId="1931" builtinId="8" hidden="1"/>
    <cellStyle name="Hyperlink" xfId="1933" builtinId="8" hidden="1"/>
    <cellStyle name="Hyperlink" xfId="1935" builtinId="8" hidden="1"/>
    <cellStyle name="Hyperlink" xfId="1937" builtinId="8" hidden="1"/>
    <cellStyle name="Hyperlink" xfId="1939" builtinId="8" hidden="1"/>
    <cellStyle name="Hyperlink" xfId="1941" builtinId="8" hidden="1"/>
    <cellStyle name="Hyperlink" xfId="1943" builtinId="8" hidden="1"/>
    <cellStyle name="Hyperlink" xfId="1945" builtinId="8" hidden="1"/>
    <cellStyle name="Hyperlink" xfId="1947" builtinId="8" hidden="1"/>
    <cellStyle name="Hyperlink" xfId="1949" builtinId="8" hidden="1"/>
    <cellStyle name="Hyperlink" xfId="1951" builtinId="8" hidden="1"/>
    <cellStyle name="Hyperlink" xfId="1953" builtinId="8" hidden="1"/>
    <cellStyle name="Hyperlink" xfId="1955" builtinId="8" hidden="1"/>
    <cellStyle name="Hyperlink" xfId="1957" builtinId="8" hidden="1"/>
    <cellStyle name="Hyperlink" xfId="1959" builtinId="8" hidden="1"/>
    <cellStyle name="Hyperlink" xfId="1961" builtinId="8" hidden="1"/>
    <cellStyle name="Hyperlink" xfId="1963" builtinId="8" hidden="1"/>
    <cellStyle name="Hyperlink" xfId="1965" builtinId="8" hidden="1"/>
    <cellStyle name="Hyperlink" xfId="1967" builtinId="8" hidden="1"/>
    <cellStyle name="Hyperlink" xfId="1969" builtinId="8" hidden="1"/>
    <cellStyle name="Hyperlink" xfId="1971" builtinId="8" hidden="1"/>
    <cellStyle name="Hyperlink" xfId="1973" builtinId="8" hidden="1"/>
    <cellStyle name="Hyperlink" xfId="1975" builtinId="8" hidden="1"/>
    <cellStyle name="Hyperlink" xfId="1977" builtinId="8" hidden="1"/>
    <cellStyle name="Hyperlink" xfId="1979" builtinId="8" hidden="1"/>
    <cellStyle name="Hyperlink" xfId="1981" builtinId="8" hidden="1"/>
    <cellStyle name="Hyperlink" xfId="1983" builtinId="8" hidden="1"/>
    <cellStyle name="Hyperlink" xfId="1985" builtinId="8" hidden="1"/>
    <cellStyle name="Hyperlink" xfId="1987" builtinId="8" hidden="1"/>
    <cellStyle name="Hyperlink" xfId="1989" builtinId="8" hidden="1"/>
    <cellStyle name="Hyperlink" xfId="1991" builtinId="8" hidden="1"/>
    <cellStyle name="Hyperlink" xfId="1993" builtinId="8" hidden="1"/>
    <cellStyle name="Hyperlink" xfId="1995" builtinId="8" hidden="1"/>
    <cellStyle name="Hyperlink" xfId="1997" builtinId="8" hidden="1"/>
    <cellStyle name="Hyperlink" xfId="1999" builtinId="8" hidden="1"/>
    <cellStyle name="Hyperlink" xfId="2001" builtinId="8" hidden="1"/>
    <cellStyle name="Hyperlink" xfId="2003" builtinId="8" hidden="1"/>
    <cellStyle name="Hyperlink" xfId="2005" builtinId="8" hidden="1"/>
    <cellStyle name="Hyperlink" xfId="2007" builtinId="8" hidden="1"/>
    <cellStyle name="Hyperlink" xfId="2009" builtinId="8" hidden="1"/>
    <cellStyle name="Hyperlink" xfId="2011" builtinId="8" hidden="1"/>
    <cellStyle name="Hyperlink" xfId="2013" builtinId="8" hidden="1"/>
    <cellStyle name="Hyperlink" xfId="2015" builtinId="8" hidden="1"/>
    <cellStyle name="Hyperlink" xfId="2017" builtinId="8" hidden="1"/>
    <cellStyle name="Hyperlink" xfId="2019" builtinId="8" hidden="1"/>
    <cellStyle name="Hyperlink" xfId="2021" builtinId="8" hidden="1"/>
    <cellStyle name="Hyperlink" xfId="2023" builtinId="8" hidden="1"/>
    <cellStyle name="Hyperlink" xfId="2025" builtinId="8" hidden="1"/>
    <cellStyle name="Hyperlink" xfId="2027" builtinId="8" hidden="1"/>
    <cellStyle name="Hyperlink" xfId="2029" builtinId="8" hidden="1"/>
    <cellStyle name="Hyperlink" xfId="2031" builtinId="8" hidden="1"/>
    <cellStyle name="Hyperlink" xfId="2033" builtinId="8" hidden="1"/>
    <cellStyle name="Hyperlink" xfId="2035" builtinId="8" hidden="1"/>
    <cellStyle name="Hyperlink" xfId="2037" builtinId="8" hidden="1"/>
    <cellStyle name="Hyperlink" xfId="2039" builtinId="8" hidden="1"/>
    <cellStyle name="Hyperlink" xfId="2041" builtinId="8" hidden="1"/>
    <cellStyle name="Hyperlink" xfId="2043" builtinId="8" hidden="1"/>
    <cellStyle name="Hyperlink" xfId="2045" builtinId="8" hidden="1"/>
    <cellStyle name="Hyperlink" xfId="2047" builtinId="8" hidden="1"/>
    <cellStyle name="Hyperlink" xfId="2049" builtinId="8" hidden="1"/>
    <cellStyle name="Hyperlink" xfId="2051" builtinId="8" hidden="1"/>
    <cellStyle name="Hyperlink" xfId="2053" builtinId="8" hidden="1"/>
    <cellStyle name="Hyperlink" xfId="2055" builtinId="8" hidden="1"/>
    <cellStyle name="Hyperlink" xfId="2057" builtinId="8" hidden="1"/>
    <cellStyle name="Hyperlink" xfId="2059" builtinId="8" hidden="1"/>
    <cellStyle name="Hyperlink" xfId="2061" builtinId="8" hidden="1"/>
    <cellStyle name="Hyperlink" xfId="2063" builtinId="8" hidden="1"/>
    <cellStyle name="Hyperlink" xfId="2065" builtinId="8" hidden="1"/>
    <cellStyle name="Hyperlink" xfId="2067" builtinId="8" hidden="1"/>
    <cellStyle name="Hyperlink" xfId="2069" builtinId="8" hidden="1"/>
    <cellStyle name="Hyperlink" xfId="2071" builtinId="8" hidden="1"/>
    <cellStyle name="Hyperlink" xfId="2073" builtinId="8" hidden="1"/>
    <cellStyle name="Hyperlink" xfId="2075" builtinId="8" hidden="1"/>
    <cellStyle name="Hyperlink" xfId="2077" builtinId="8" hidden="1"/>
    <cellStyle name="Hyperlink" xfId="2079" builtinId="8" hidden="1"/>
    <cellStyle name="Hyperlink" xfId="2081" builtinId="8" hidden="1"/>
    <cellStyle name="Hyperlink" xfId="2083" builtinId="8" hidden="1"/>
    <cellStyle name="Hyperlink" xfId="2085" builtinId="8" hidden="1"/>
    <cellStyle name="Hyperlink" xfId="2087" builtinId="8" hidden="1"/>
    <cellStyle name="Hyperlink" xfId="2089" builtinId="8" hidden="1"/>
    <cellStyle name="Hyperlink" xfId="2091" builtinId="8" hidden="1"/>
    <cellStyle name="Hyperlink" xfId="2093" builtinId="8" hidden="1"/>
    <cellStyle name="Hyperlink" xfId="2095" builtinId="8" hidden="1"/>
    <cellStyle name="Hyperlink" xfId="2097" builtinId="8" hidden="1"/>
    <cellStyle name="Hyperlink" xfId="2099" builtinId="8" hidden="1"/>
    <cellStyle name="Hyperlink" xfId="2101" builtinId="8" hidden="1"/>
    <cellStyle name="Hyperlink" xfId="2103" builtinId="8" hidden="1"/>
    <cellStyle name="Hyperlink" xfId="2105" builtinId="8" hidden="1"/>
    <cellStyle name="Hyperlink" xfId="2107" builtinId="8" hidden="1"/>
    <cellStyle name="Hyperlink" xfId="2109" builtinId="8" hidden="1"/>
    <cellStyle name="Hyperlink" xfId="2111" builtinId="8" hidden="1"/>
    <cellStyle name="Hyperlink" xfId="2113" builtinId="8" hidden="1"/>
    <cellStyle name="Hyperlink" xfId="2115" builtinId="8" hidden="1"/>
    <cellStyle name="Hyperlink" xfId="2117" builtinId="8" hidden="1"/>
    <cellStyle name="Hyperlink" xfId="2119" builtinId="8" hidden="1"/>
    <cellStyle name="Hyperlink" xfId="2121" builtinId="8" hidden="1"/>
    <cellStyle name="Hyperlink" xfId="2123" builtinId="8" hidden="1"/>
    <cellStyle name="Hyperlink" xfId="2125" builtinId="8" hidden="1"/>
    <cellStyle name="Hyperlink" xfId="2127" builtinId="8" hidden="1"/>
    <cellStyle name="Hyperlink" xfId="2129" builtinId="8" hidden="1"/>
    <cellStyle name="Hyperlink" xfId="2131" builtinId="8" hidden="1"/>
    <cellStyle name="Hyperlink" xfId="2133" builtinId="8" hidden="1"/>
    <cellStyle name="Hyperlink" xfId="2135" builtinId="8" hidden="1"/>
    <cellStyle name="Hyperlink" xfId="2137" builtinId="8" hidden="1"/>
    <cellStyle name="Hyperlink" xfId="2139" builtinId="8" hidden="1"/>
    <cellStyle name="Hyperlink" xfId="2141" builtinId="8" hidden="1"/>
    <cellStyle name="Hyperlink" xfId="2143" builtinId="8" hidden="1"/>
    <cellStyle name="Hyperlink" xfId="2145" builtinId="8" hidden="1"/>
    <cellStyle name="Hyperlink" xfId="2147" builtinId="8" hidden="1"/>
    <cellStyle name="Hyperlink" xfId="2149" builtinId="8" hidden="1"/>
    <cellStyle name="Hyperlink" xfId="2151" builtinId="8" hidden="1"/>
    <cellStyle name="Hyperlink" xfId="2153" builtinId="8" hidden="1"/>
    <cellStyle name="Hyperlink" xfId="2155" builtinId="8" hidden="1"/>
    <cellStyle name="Hyperlink" xfId="2157" builtinId="8" hidden="1"/>
    <cellStyle name="Hyperlink" xfId="2159" builtinId="8" hidden="1"/>
    <cellStyle name="Hyperlink" xfId="2161" builtinId="8" hidden="1"/>
    <cellStyle name="Hyperlink" xfId="2163" builtinId="8" hidden="1"/>
    <cellStyle name="Hyperlink" xfId="2165" builtinId="8" hidden="1"/>
    <cellStyle name="Hyperlink" xfId="2167" builtinId="8" hidden="1"/>
    <cellStyle name="Hyperlink" xfId="2169" builtinId="8" hidden="1"/>
    <cellStyle name="Hyperlink" xfId="2171" builtinId="8" hidden="1"/>
    <cellStyle name="Hyperlink" xfId="2173" builtinId="8" hidden="1"/>
    <cellStyle name="Hyperlink" xfId="2175" builtinId="8" hidden="1"/>
    <cellStyle name="Hyperlink" xfId="2177" builtinId="8" hidden="1"/>
    <cellStyle name="Hyperlink" xfId="2179" builtinId="8" hidden="1"/>
    <cellStyle name="Hyperlink" xfId="2181" builtinId="8" hidden="1"/>
    <cellStyle name="Hyperlink" xfId="2183" builtinId="8" hidden="1"/>
    <cellStyle name="Hyperlink" xfId="2185" builtinId="8" hidden="1"/>
    <cellStyle name="Hyperlink" xfId="2187" builtinId="8" hidden="1"/>
    <cellStyle name="Hyperlink" xfId="2189" builtinId="8" hidden="1"/>
    <cellStyle name="Hyperlink" xfId="2191" builtinId="8" hidden="1"/>
    <cellStyle name="Hyperlink" xfId="2193" builtinId="8" hidden="1"/>
    <cellStyle name="Hyperlink" xfId="2195" builtinId="8" hidden="1"/>
    <cellStyle name="Hyperlink" xfId="2197" builtinId="8" hidden="1"/>
    <cellStyle name="Hyperlink" xfId="2199" builtinId="8" hidden="1"/>
    <cellStyle name="Hyperlink" xfId="2201" builtinId="8" hidden="1"/>
    <cellStyle name="Hyperlink" xfId="2203" builtinId="8" hidden="1"/>
    <cellStyle name="Hyperlink" xfId="2205" builtinId="8" hidden="1"/>
    <cellStyle name="Hyperlink" xfId="2207" builtinId="8" hidden="1"/>
    <cellStyle name="Hyperlink" xfId="2209" builtinId="8" hidden="1"/>
    <cellStyle name="Hyperlink" xfId="2211" builtinId="8" hidden="1"/>
    <cellStyle name="Hyperlink" xfId="2213" builtinId="8" hidden="1"/>
    <cellStyle name="Hyperlink" xfId="2215" builtinId="8" hidden="1"/>
    <cellStyle name="Hyperlink" xfId="2217" builtinId="8" hidden="1"/>
    <cellStyle name="Hyperlink" xfId="2219" builtinId="8" hidden="1"/>
    <cellStyle name="Hyperlink" xfId="2221" builtinId="8" hidden="1"/>
    <cellStyle name="Hyperlink" xfId="2223" builtinId="8" hidden="1"/>
    <cellStyle name="Hyperlink" xfId="2225" builtinId="8" hidden="1"/>
    <cellStyle name="Hyperlink" xfId="2227" builtinId="8" hidden="1"/>
    <cellStyle name="Hyperlink" xfId="2229" builtinId="8" hidden="1"/>
    <cellStyle name="Hyperlink" xfId="2231" builtinId="8" hidden="1"/>
    <cellStyle name="Hyperlink" xfId="2233" builtinId="8" hidden="1"/>
    <cellStyle name="Hyperlink" xfId="2235" builtinId="8" hidden="1"/>
    <cellStyle name="Hyperlink" xfId="2237" builtinId="8" hidden="1"/>
    <cellStyle name="Hyperlink" xfId="2239" builtinId="8" hidden="1"/>
    <cellStyle name="Hyperlink" xfId="2241" builtinId="8" hidden="1"/>
    <cellStyle name="Hyperlink" xfId="2243" builtinId="8" hidden="1"/>
    <cellStyle name="Hyperlink" xfId="2245" builtinId="8" hidden="1"/>
    <cellStyle name="Hyperlink" xfId="2247" builtinId="8" hidden="1"/>
    <cellStyle name="Hyperlink" xfId="2249" builtinId="8" hidden="1"/>
    <cellStyle name="Hyperlink" xfId="2251" builtinId="8" hidden="1"/>
    <cellStyle name="Hyperlink" xfId="2253" builtinId="8" hidden="1"/>
    <cellStyle name="Hyperlink" xfId="2255" builtinId="8" hidden="1"/>
    <cellStyle name="Hyperlink" xfId="2257" builtinId="8" hidden="1"/>
    <cellStyle name="Hyperlink" xfId="2259" builtinId="8" hidden="1"/>
    <cellStyle name="Hyperlink" xfId="2261" builtinId="8" hidden="1"/>
    <cellStyle name="Hyperlink" xfId="2263" builtinId="8" hidden="1"/>
    <cellStyle name="Hyperlink" xfId="2265" builtinId="8" hidden="1"/>
    <cellStyle name="Hyperlink" xfId="2267" builtinId="8" hidden="1"/>
    <cellStyle name="Hyperlink" xfId="2269" builtinId="8" hidden="1"/>
    <cellStyle name="Hyperlink" xfId="2271" builtinId="8" hidden="1"/>
    <cellStyle name="Hyperlink" xfId="2273" builtinId="8" hidden="1"/>
    <cellStyle name="Hyperlink" xfId="2275" builtinId="8" hidden="1"/>
    <cellStyle name="Hyperlink" xfId="2277" builtinId="8" hidden="1"/>
    <cellStyle name="Hyperlink" xfId="2279" builtinId="8" hidden="1"/>
    <cellStyle name="Hyperlink" xfId="2281" builtinId="8" hidden="1"/>
    <cellStyle name="Hyperlink" xfId="2283" builtinId="8" hidden="1"/>
    <cellStyle name="Hyperlink" xfId="2285" builtinId="8" hidden="1"/>
    <cellStyle name="Hyperlink" xfId="2287" builtinId="8" hidden="1"/>
    <cellStyle name="Hyperlink" xfId="2289" builtinId="8" hidden="1"/>
    <cellStyle name="Hyperlink" xfId="2291" builtinId="8" hidden="1"/>
    <cellStyle name="Hyperlink" xfId="2293" builtinId="8" hidden="1"/>
    <cellStyle name="Hyperlink" xfId="2295" builtinId="8" hidden="1"/>
    <cellStyle name="Hyperlink" xfId="2297" builtinId="8" hidden="1"/>
    <cellStyle name="Hyperlink" xfId="2299" builtinId="8" hidden="1"/>
    <cellStyle name="Hyperlink" xfId="2301" builtinId="8" hidden="1"/>
    <cellStyle name="Hyperlink" xfId="2303" builtinId="8" hidden="1"/>
    <cellStyle name="Hyperlink" xfId="2305" builtinId="8" hidden="1"/>
    <cellStyle name="Hyperlink" xfId="2307" builtinId="8" hidden="1"/>
    <cellStyle name="Hyperlink" xfId="2309" builtinId="8" hidden="1"/>
    <cellStyle name="Hyperlink" xfId="2311" builtinId="8" hidden="1"/>
    <cellStyle name="Hyperlink" xfId="2313" builtinId="8" hidden="1"/>
    <cellStyle name="Hyperlink" xfId="2315" builtinId="8" hidden="1"/>
    <cellStyle name="Hyperlink" xfId="2317" builtinId="8" hidden="1"/>
    <cellStyle name="Hyperlink" xfId="2319" builtinId="8" hidden="1"/>
    <cellStyle name="Hyperlink" xfId="2321" builtinId="8" hidden="1"/>
    <cellStyle name="Hyperlink" xfId="2323" builtinId="8" hidden="1"/>
    <cellStyle name="Hyperlink" xfId="2325" builtinId="8" hidden="1"/>
    <cellStyle name="Hyperlink" xfId="2327" builtinId="8" hidden="1"/>
    <cellStyle name="Hyperlink" xfId="2329" builtinId="8" hidden="1"/>
    <cellStyle name="Hyperlink" xfId="2331" builtinId="8" hidden="1"/>
    <cellStyle name="Hyperlink" xfId="2333" builtinId="8" hidden="1"/>
    <cellStyle name="Hyperlink" xfId="2335" builtinId="8" hidden="1"/>
    <cellStyle name="Hyperlink" xfId="2337" builtinId="8" hidden="1"/>
    <cellStyle name="Hyperlink" xfId="2339" builtinId="8" hidden="1"/>
    <cellStyle name="Hyperlink" xfId="2341" builtinId="8" hidden="1"/>
    <cellStyle name="Hyperlink" xfId="2343" builtinId="8" hidden="1"/>
    <cellStyle name="Hyperlink" xfId="2345" builtinId="8" hidden="1"/>
    <cellStyle name="Hyperlink" xfId="2347" builtinId="8" hidden="1"/>
    <cellStyle name="Hyperlink" xfId="2349" builtinId="8" hidden="1"/>
    <cellStyle name="Hyperlink" xfId="2351" builtinId="8" hidden="1"/>
    <cellStyle name="Hyperlink" xfId="2353" builtinId="8" hidden="1"/>
    <cellStyle name="Hyperlink" xfId="2355" builtinId="8" hidden="1"/>
    <cellStyle name="Hyperlink" xfId="2357" builtinId="8" hidden="1"/>
    <cellStyle name="Hyperlink" xfId="2361" builtinId="8" hidden="1"/>
    <cellStyle name="Hyperlink" xfId="2363" builtinId="8" hidden="1"/>
    <cellStyle name="Hyperlink" xfId="2365" builtinId="8" hidden="1"/>
    <cellStyle name="Hyperlink" xfId="2367" builtinId="8" hidden="1"/>
    <cellStyle name="Hyperlink" xfId="2369" builtinId="8" hidden="1"/>
    <cellStyle name="Hyperlink" xfId="2371" builtinId="8" hidden="1"/>
    <cellStyle name="Hyperlink" xfId="2373" builtinId="8" hidden="1"/>
    <cellStyle name="Hyperlink" xfId="2375" builtinId="8" hidden="1"/>
    <cellStyle name="Hyperlink" xfId="2377" builtinId="8" hidden="1"/>
    <cellStyle name="Hyperlink" xfId="2379" builtinId="8" hidden="1"/>
    <cellStyle name="Hyperlink" xfId="2381" builtinId="8" hidden="1"/>
    <cellStyle name="Hyperlink" xfId="2383" builtinId="8" hidden="1"/>
    <cellStyle name="Hyperlink" xfId="2385" builtinId="8" hidden="1"/>
    <cellStyle name="Hyperlink" xfId="2387" builtinId="8" hidden="1"/>
    <cellStyle name="Hyperlink" xfId="2389" builtinId="8" hidden="1"/>
    <cellStyle name="Hyperlink" xfId="2391" builtinId="8" hidden="1"/>
    <cellStyle name="Hyperlink" xfId="2393" builtinId="8" hidden="1"/>
    <cellStyle name="Hyperlink" xfId="2395" builtinId="8" hidden="1"/>
    <cellStyle name="Hyperlink" xfId="2397" builtinId="8" hidden="1"/>
    <cellStyle name="Hyperlink" xfId="2399" builtinId="8" hidden="1"/>
    <cellStyle name="Hyperlink" xfId="2401" builtinId="8" hidden="1"/>
    <cellStyle name="Hyperlink" xfId="2403" builtinId="8" hidden="1"/>
    <cellStyle name="Hyperlink" xfId="2405" builtinId="8" hidden="1"/>
    <cellStyle name="Hyperlink" xfId="2407" builtinId="8" hidden="1"/>
    <cellStyle name="Hyperlink" xfId="2409" builtinId="8" hidden="1"/>
    <cellStyle name="Hyperlink" xfId="2411" builtinId="8" hidden="1"/>
    <cellStyle name="Hyperlink" xfId="2413" builtinId="8" hidden="1"/>
    <cellStyle name="Hyperlink" xfId="2415" builtinId="8" hidden="1"/>
    <cellStyle name="Hyperlink" xfId="2417" builtinId="8" hidden="1"/>
    <cellStyle name="Hyperlink" xfId="2419" builtinId="8" hidden="1"/>
    <cellStyle name="Normal" xfId="0" builtinId="0"/>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externalLink" Target="externalLinks/externalLink1.xml"/><Relationship Id="rId14" Type="http://schemas.openxmlformats.org/officeDocument/2006/relationships/externalLink" Target="externalLinks/externalLink2.xml"/><Relationship Id="rId15" Type="http://schemas.openxmlformats.org/officeDocument/2006/relationships/theme" Target="theme/theme1.xml"/><Relationship Id="rId16" Type="http://schemas.openxmlformats.org/officeDocument/2006/relationships/styles" Target="styles.xml"/><Relationship Id="rId17" Type="http://schemas.openxmlformats.org/officeDocument/2006/relationships/sharedStrings" Target="sharedStrings.xml"/><Relationship Id="rId18"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4" Type="http://schemas.openxmlformats.org/officeDocument/2006/relationships/image" Target="../media/image4.png"/><Relationship Id="rId5" Type="http://schemas.openxmlformats.org/officeDocument/2006/relationships/image" Target="../media/image5.png"/><Relationship Id="rId6" Type="http://schemas.openxmlformats.org/officeDocument/2006/relationships/image" Target="../media/image6.png"/><Relationship Id="rId1" Type="http://schemas.openxmlformats.org/officeDocument/2006/relationships/image" Target="../media/image1.png"/><Relationship Id="rId2"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4" Type="http://schemas.openxmlformats.org/officeDocument/2006/relationships/image" Target="../media/image10.tif"/><Relationship Id="rId5" Type="http://schemas.openxmlformats.org/officeDocument/2006/relationships/image" Target="../media/image11.png"/><Relationship Id="rId6" Type="http://schemas.openxmlformats.org/officeDocument/2006/relationships/image" Target="../media/image12.tif"/><Relationship Id="rId1" Type="http://schemas.openxmlformats.org/officeDocument/2006/relationships/image" Target="../media/image7.png"/><Relationship Id="rId2"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3.tif"/><Relationship Id="rId2" Type="http://schemas.openxmlformats.org/officeDocument/2006/relationships/image" Target="../media/image14.tif"/></Relationships>
</file>

<file path=xl/drawings/_rels/drawing5.xml.rels><?xml version="1.0" encoding="UTF-8" standalone="yes"?>
<Relationships xmlns="http://schemas.openxmlformats.org/package/2006/relationships"><Relationship Id="rId3" Type="http://schemas.openxmlformats.org/officeDocument/2006/relationships/image" Target="../media/image16.tif"/><Relationship Id="rId4" Type="http://schemas.openxmlformats.org/officeDocument/2006/relationships/image" Target="../media/image17.tif"/><Relationship Id="rId5" Type="http://schemas.openxmlformats.org/officeDocument/2006/relationships/image" Target="../media/image18.tif"/><Relationship Id="rId1" Type="http://schemas.openxmlformats.org/officeDocument/2006/relationships/image" Target="../media/image15.tif"/><Relationship Id="rId2" Type="http://schemas.openxmlformats.org/officeDocument/2006/relationships/image" Target="../media/image14.tif"/></Relationships>
</file>

<file path=xl/drawings/_rels/drawing6.xml.rels><?xml version="1.0" encoding="UTF-8" standalone="yes"?>
<Relationships xmlns="http://schemas.openxmlformats.org/package/2006/relationships"><Relationship Id="rId1" Type="http://schemas.openxmlformats.org/officeDocument/2006/relationships/image" Target="../media/image19.tif"/><Relationship Id="rId2" Type="http://schemas.openxmlformats.org/officeDocument/2006/relationships/image" Target="../media/image20.tif"/><Relationship Id="rId3" Type="http://schemas.openxmlformats.org/officeDocument/2006/relationships/image" Target="../media/image21.tif"/></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9.png"/><Relationship Id="rId3"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22.tif"/></Relationships>
</file>

<file path=xl/drawings/drawing1.xml><?xml version="1.0" encoding="utf-8"?>
<xdr:wsDr xmlns:xdr="http://schemas.openxmlformats.org/drawingml/2006/spreadsheetDrawing" xmlns:a="http://schemas.openxmlformats.org/drawingml/2006/main">
  <xdr:twoCellAnchor editAs="oneCell">
    <xdr:from>
      <xdr:col>13</xdr:col>
      <xdr:colOff>469900</xdr:colOff>
      <xdr:row>28</xdr:row>
      <xdr:rowOff>19972</xdr:rowOff>
    </xdr:from>
    <xdr:to>
      <xdr:col>17</xdr:col>
      <xdr:colOff>534348</xdr:colOff>
      <xdr:row>42</xdr:row>
      <xdr:rowOff>73302</xdr:rowOff>
    </xdr:to>
    <xdr:pic>
      <xdr:nvPicPr>
        <xdr:cNvPr id="5" name="Picture 4" descr="Cv-ost-03.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744700" y="6166772"/>
          <a:ext cx="3417248" cy="2733030"/>
        </a:xfrm>
        <a:prstGeom prst="rect">
          <a:avLst/>
        </a:prstGeom>
      </xdr:spPr>
    </xdr:pic>
    <xdr:clientData/>
  </xdr:twoCellAnchor>
  <xdr:twoCellAnchor editAs="oneCell">
    <xdr:from>
      <xdr:col>17</xdr:col>
      <xdr:colOff>609600</xdr:colOff>
      <xdr:row>28</xdr:row>
      <xdr:rowOff>4642</xdr:rowOff>
    </xdr:from>
    <xdr:to>
      <xdr:col>21</xdr:col>
      <xdr:colOff>648250</xdr:colOff>
      <xdr:row>42</xdr:row>
      <xdr:rowOff>88900</xdr:rowOff>
    </xdr:to>
    <xdr:pic>
      <xdr:nvPicPr>
        <xdr:cNvPr id="8" name="Picture 7" descr="Cv-ost-03-count.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237200" y="6151442"/>
          <a:ext cx="3391450" cy="2763958"/>
        </a:xfrm>
        <a:prstGeom prst="rect">
          <a:avLst/>
        </a:prstGeom>
      </xdr:spPr>
    </xdr:pic>
    <xdr:clientData/>
  </xdr:twoCellAnchor>
  <xdr:twoCellAnchor editAs="oneCell">
    <xdr:from>
      <xdr:col>13</xdr:col>
      <xdr:colOff>482600</xdr:colOff>
      <xdr:row>46</xdr:row>
      <xdr:rowOff>159699</xdr:rowOff>
    </xdr:from>
    <xdr:to>
      <xdr:col>17</xdr:col>
      <xdr:colOff>674049</xdr:colOff>
      <xdr:row>59</xdr:row>
      <xdr:rowOff>111401</xdr:rowOff>
    </xdr:to>
    <xdr:pic>
      <xdr:nvPicPr>
        <xdr:cNvPr id="9" name="Picture 8" descr="Cv-ost-04.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757400" y="9748199"/>
          <a:ext cx="3544249" cy="2834602"/>
        </a:xfrm>
        <a:prstGeom prst="rect">
          <a:avLst/>
        </a:prstGeom>
      </xdr:spPr>
    </xdr:pic>
    <xdr:clientData/>
  </xdr:twoCellAnchor>
  <xdr:twoCellAnchor editAs="oneCell">
    <xdr:from>
      <xdr:col>18</xdr:col>
      <xdr:colOff>25400</xdr:colOff>
      <xdr:row>45</xdr:row>
      <xdr:rowOff>123896</xdr:rowOff>
    </xdr:from>
    <xdr:to>
      <xdr:col>23</xdr:col>
      <xdr:colOff>139700</xdr:colOff>
      <xdr:row>62</xdr:row>
      <xdr:rowOff>101599</xdr:rowOff>
    </xdr:to>
    <xdr:pic>
      <xdr:nvPicPr>
        <xdr:cNvPr id="10" name="Picture 9" descr="Cv-ost-04-count.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8491200" y="9521896"/>
          <a:ext cx="4305300" cy="3622603"/>
        </a:xfrm>
        <a:prstGeom prst="rect">
          <a:avLst/>
        </a:prstGeom>
      </xdr:spPr>
    </xdr:pic>
    <xdr:clientData/>
  </xdr:twoCellAnchor>
  <xdr:twoCellAnchor editAs="oneCell">
    <xdr:from>
      <xdr:col>13</xdr:col>
      <xdr:colOff>533400</xdr:colOff>
      <xdr:row>67</xdr:row>
      <xdr:rowOff>261342</xdr:rowOff>
    </xdr:from>
    <xdr:to>
      <xdr:col>18</xdr:col>
      <xdr:colOff>77149</xdr:colOff>
      <xdr:row>81</xdr:row>
      <xdr:rowOff>174901</xdr:rowOff>
    </xdr:to>
    <xdr:pic>
      <xdr:nvPicPr>
        <xdr:cNvPr id="11" name="Picture 10" descr="Cv-ost-05.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4808200" y="14256742"/>
          <a:ext cx="3734749" cy="2986959"/>
        </a:xfrm>
        <a:prstGeom prst="rect">
          <a:avLst/>
        </a:prstGeom>
      </xdr:spPr>
    </xdr:pic>
    <xdr:clientData/>
  </xdr:twoCellAnchor>
  <xdr:twoCellAnchor editAs="oneCell">
    <xdr:from>
      <xdr:col>18</xdr:col>
      <xdr:colOff>152400</xdr:colOff>
      <xdr:row>67</xdr:row>
      <xdr:rowOff>232052</xdr:rowOff>
    </xdr:from>
    <xdr:to>
      <xdr:col>22</xdr:col>
      <xdr:colOff>431800</xdr:colOff>
      <xdr:row>81</xdr:row>
      <xdr:rowOff>152400</xdr:rowOff>
    </xdr:to>
    <xdr:pic>
      <xdr:nvPicPr>
        <xdr:cNvPr id="12" name="Picture 11" descr="Cv-ost-05-count.pn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618200" y="14227452"/>
          <a:ext cx="3632200" cy="29937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711200</xdr:colOff>
      <xdr:row>8</xdr:row>
      <xdr:rowOff>111684</xdr:rowOff>
    </xdr:from>
    <xdr:to>
      <xdr:col>17</xdr:col>
      <xdr:colOff>394649</xdr:colOff>
      <xdr:row>22</xdr:row>
      <xdr:rowOff>187601</xdr:rowOff>
    </xdr:to>
    <xdr:pic>
      <xdr:nvPicPr>
        <xdr:cNvPr id="3" name="Picture 2" descr="Cv-cho-RR-01.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00" y="2448484"/>
          <a:ext cx="4636449" cy="370811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25400</xdr:colOff>
      <xdr:row>30</xdr:row>
      <xdr:rowOff>25400</xdr:rowOff>
    </xdr:from>
    <xdr:to>
      <xdr:col>17</xdr:col>
      <xdr:colOff>470849</xdr:colOff>
      <xdr:row>48</xdr:row>
      <xdr:rowOff>114017</xdr:rowOff>
    </xdr:to>
    <xdr:pic>
      <xdr:nvPicPr>
        <xdr:cNvPr id="15" name="Picture 14" descr="Cv-cho-RR-01.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79400" y="5956300"/>
          <a:ext cx="4636449" cy="3708117"/>
        </a:xfrm>
        <a:prstGeom prst="rect">
          <a:avLst/>
        </a:prstGeom>
      </xdr:spPr>
    </xdr:pic>
    <xdr:clientData/>
  </xdr:twoCellAnchor>
  <xdr:twoCellAnchor editAs="oneCell">
    <xdr:from>
      <xdr:col>12</xdr:col>
      <xdr:colOff>88901</xdr:colOff>
      <xdr:row>48</xdr:row>
      <xdr:rowOff>269100</xdr:rowOff>
    </xdr:from>
    <xdr:to>
      <xdr:col>16</xdr:col>
      <xdr:colOff>393701</xdr:colOff>
      <xdr:row>63</xdr:row>
      <xdr:rowOff>146357</xdr:rowOff>
    </xdr:to>
    <xdr:pic>
      <xdr:nvPicPr>
        <xdr:cNvPr id="7" name="Picture 6" descr="Cv-cho-RR-B-12-2.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042901" y="9819500"/>
          <a:ext cx="3657600" cy="2925257"/>
        </a:xfrm>
        <a:prstGeom prst="rect">
          <a:avLst/>
        </a:prstGeom>
      </xdr:spPr>
    </xdr:pic>
    <xdr:clientData/>
  </xdr:twoCellAnchor>
  <xdr:twoCellAnchor editAs="oneCell">
    <xdr:from>
      <xdr:col>11</xdr:col>
      <xdr:colOff>1077893</xdr:colOff>
      <xdr:row>66</xdr:row>
      <xdr:rowOff>25400</xdr:rowOff>
    </xdr:from>
    <xdr:to>
      <xdr:col>16</xdr:col>
      <xdr:colOff>506903</xdr:colOff>
      <xdr:row>82</xdr:row>
      <xdr:rowOff>47901</xdr:rowOff>
    </xdr:to>
    <xdr:pic>
      <xdr:nvPicPr>
        <xdr:cNvPr id="9" name="Picture 8" descr="Cv-cho-RR-02.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926993" y="13385800"/>
          <a:ext cx="3886710" cy="3070501"/>
        </a:xfrm>
        <a:prstGeom prst="rect">
          <a:avLst/>
        </a:prstGeom>
      </xdr:spPr>
    </xdr:pic>
    <xdr:clientData/>
  </xdr:twoCellAnchor>
  <xdr:twoCellAnchor editAs="oneCell">
    <xdr:from>
      <xdr:col>12</xdr:col>
      <xdr:colOff>50800</xdr:colOff>
      <xdr:row>92</xdr:row>
      <xdr:rowOff>157480</xdr:rowOff>
    </xdr:from>
    <xdr:to>
      <xdr:col>16</xdr:col>
      <xdr:colOff>660400</xdr:colOff>
      <xdr:row>108</xdr:row>
      <xdr:rowOff>88900</xdr:rowOff>
    </xdr:to>
    <xdr:pic>
      <xdr:nvPicPr>
        <xdr:cNvPr id="10" name="Picture 9" descr="Cv-cho-RR-B-04-2.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004800" y="18470880"/>
          <a:ext cx="3962400" cy="3169920"/>
        </a:xfrm>
        <a:prstGeom prst="rect">
          <a:avLst/>
        </a:prstGeom>
      </xdr:spPr>
    </xdr:pic>
    <xdr:clientData/>
  </xdr:twoCellAnchor>
  <xdr:twoCellAnchor editAs="oneCell">
    <xdr:from>
      <xdr:col>17</xdr:col>
      <xdr:colOff>12700</xdr:colOff>
      <xdr:row>93</xdr:row>
      <xdr:rowOff>55613</xdr:rowOff>
    </xdr:from>
    <xdr:to>
      <xdr:col>21</xdr:col>
      <xdr:colOff>445449</xdr:colOff>
      <xdr:row>108</xdr:row>
      <xdr:rowOff>35201</xdr:rowOff>
    </xdr:to>
    <xdr:pic>
      <xdr:nvPicPr>
        <xdr:cNvPr id="16" name="Picture 15" descr="Cv-cho-RR-B-01-2.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157700" y="18559513"/>
          <a:ext cx="3785549" cy="3027588"/>
        </a:xfrm>
        <a:prstGeom prst="rect">
          <a:avLst/>
        </a:prstGeom>
      </xdr:spPr>
    </xdr:pic>
    <xdr:clientData/>
  </xdr:twoCellAnchor>
  <xdr:twoCellAnchor editAs="oneCell">
    <xdr:from>
      <xdr:col>12</xdr:col>
      <xdr:colOff>355600</xdr:colOff>
      <xdr:row>110</xdr:row>
      <xdr:rowOff>0</xdr:rowOff>
    </xdr:from>
    <xdr:to>
      <xdr:col>16</xdr:col>
      <xdr:colOff>431800</xdr:colOff>
      <xdr:row>123</xdr:row>
      <xdr:rowOff>76200</xdr:rowOff>
    </xdr:to>
    <xdr:pic>
      <xdr:nvPicPr>
        <xdr:cNvPr id="17" name="Picture 16" descr="Cv-bw-22.tif"/>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3309600" y="21932900"/>
          <a:ext cx="3429000" cy="274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203200</xdr:colOff>
      <xdr:row>45</xdr:row>
      <xdr:rowOff>35560</xdr:rowOff>
    </xdr:from>
    <xdr:to>
      <xdr:col>9</xdr:col>
      <xdr:colOff>736599</xdr:colOff>
      <xdr:row>54</xdr:row>
      <xdr:rowOff>139699</xdr:rowOff>
    </xdr:to>
    <xdr:pic>
      <xdr:nvPicPr>
        <xdr:cNvPr id="4" name="Picture 3" descr="Cv-cho-RR-24.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59700" y="10233660"/>
          <a:ext cx="2781299" cy="2225039"/>
        </a:xfrm>
        <a:prstGeom prst="rect">
          <a:avLst/>
        </a:prstGeom>
      </xdr:spPr>
    </xdr:pic>
    <xdr:clientData/>
  </xdr:twoCellAnchor>
  <xdr:twoCellAnchor editAs="oneCell">
    <xdr:from>
      <xdr:col>5</xdr:col>
      <xdr:colOff>254000</xdr:colOff>
      <xdr:row>31</xdr:row>
      <xdr:rowOff>266700</xdr:rowOff>
    </xdr:from>
    <xdr:to>
      <xdr:col>8</xdr:col>
      <xdr:colOff>50800</xdr:colOff>
      <xdr:row>41</xdr:row>
      <xdr:rowOff>63500</xdr:rowOff>
    </xdr:to>
    <xdr:pic>
      <xdr:nvPicPr>
        <xdr:cNvPr id="6" name="Picture 5" descr="Cv-cho-RR-47.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575300" y="7010400"/>
          <a:ext cx="3111500" cy="2489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1092200</xdr:colOff>
      <xdr:row>2</xdr:row>
      <xdr:rowOff>43180</xdr:rowOff>
    </xdr:from>
    <xdr:to>
      <xdr:col>7</xdr:col>
      <xdr:colOff>841375</xdr:colOff>
      <xdr:row>10</xdr:row>
      <xdr:rowOff>177800</xdr:rowOff>
    </xdr:to>
    <xdr:pic>
      <xdr:nvPicPr>
        <xdr:cNvPr id="14" name="Picture 13" descr="Cv-cho-RR-20.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58000" y="424180"/>
          <a:ext cx="2073275" cy="1658620"/>
        </a:xfrm>
        <a:prstGeom prst="rect">
          <a:avLst/>
        </a:prstGeom>
      </xdr:spPr>
    </xdr:pic>
    <xdr:clientData/>
  </xdr:twoCellAnchor>
  <xdr:twoCellAnchor editAs="oneCell">
    <xdr:from>
      <xdr:col>7</xdr:col>
      <xdr:colOff>965200</xdr:colOff>
      <xdr:row>2</xdr:row>
      <xdr:rowOff>50800</xdr:rowOff>
    </xdr:from>
    <xdr:to>
      <xdr:col>9</xdr:col>
      <xdr:colOff>958850</xdr:colOff>
      <xdr:row>10</xdr:row>
      <xdr:rowOff>177800</xdr:rowOff>
    </xdr:to>
    <xdr:pic>
      <xdr:nvPicPr>
        <xdr:cNvPr id="15" name="Picture 14" descr="Cv-cho-RR-47.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055100" y="431800"/>
          <a:ext cx="2063750" cy="1651000"/>
        </a:xfrm>
        <a:prstGeom prst="rect">
          <a:avLst/>
        </a:prstGeom>
      </xdr:spPr>
    </xdr:pic>
    <xdr:clientData/>
  </xdr:twoCellAnchor>
  <xdr:twoCellAnchor editAs="oneCell">
    <xdr:from>
      <xdr:col>15</xdr:col>
      <xdr:colOff>800100</xdr:colOff>
      <xdr:row>17</xdr:row>
      <xdr:rowOff>152400</xdr:rowOff>
    </xdr:from>
    <xdr:to>
      <xdr:col>17</xdr:col>
      <xdr:colOff>212725</xdr:colOff>
      <xdr:row>22</xdr:row>
      <xdr:rowOff>279400</xdr:rowOff>
    </xdr:to>
    <xdr:pic>
      <xdr:nvPicPr>
        <xdr:cNvPr id="16" name="Picture 15" descr="Cv-cho-RR-47.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754600" y="4559300"/>
          <a:ext cx="1825625" cy="1460500"/>
        </a:xfrm>
        <a:prstGeom prst="rect">
          <a:avLst/>
        </a:prstGeom>
      </xdr:spPr>
    </xdr:pic>
    <xdr:clientData/>
  </xdr:twoCellAnchor>
  <xdr:twoCellAnchor editAs="oneCell">
    <xdr:from>
      <xdr:col>15</xdr:col>
      <xdr:colOff>762001</xdr:colOff>
      <xdr:row>24</xdr:row>
      <xdr:rowOff>152400</xdr:rowOff>
    </xdr:from>
    <xdr:to>
      <xdr:col>17</xdr:col>
      <xdr:colOff>279400</xdr:colOff>
      <xdr:row>32</xdr:row>
      <xdr:rowOff>172719</xdr:rowOff>
    </xdr:to>
    <xdr:pic>
      <xdr:nvPicPr>
        <xdr:cNvPr id="17" name="Picture 16" descr="Cv-cho-RR-41.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716501" y="7035800"/>
          <a:ext cx="1930399" cy="1544319"/>
        </a:xfrm>
        <a:prstGeom prst="rect">
          <a:avLst/>
        </a:prstGeom>
      </xdr:spPr>
    </xdr:pic>
    <xdr:clientData/>
  </xdr:twoCellAnchor>
  <xdr:twoCellAnchor editAs="oneCell">
    <xdr:from>
      <xdr:col>15</xdr:col>
      <xdr:colOff>762000</xdr:colOff>
      <xdr:row>33</xdr:row>
      <xdr:rowOff>22860</xdr:rowOff>
    </xdr:from>
    <xdr:to>
      <xdr:col>17</xdr:col>
      <xdr:colOff>241300</xdr:colOff>
      <xdr:row>41</xdr:row>
      <xdr:rowOff>12700</xdr:rowOff>
    </xdr:to>
    <xdr:pic>
      <xdr:nvPicPr>
        <xdr:cNvPr id="18" name="Picture 17" descr="Cv-cho-RR-09.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716500" y="7668260"/>
          <a:ext cx="1892300" cy="1513840"/>
        </a:xfrm>
        <a:prstGeom prst="rect">
          <a:avLst/>
        </a:prstGeom>
      </xdr:spPr>
    </xdr:pic>
    <xdr:clientData/>
  </xdr:twoCellAnchor>
  <xdr:twoCellAnchor editAs="oneCell">
    <xdr:from>
      <xdr:col>15</xdr:col>
      <xdr:colOff>723899</xdr:colOff>
      <xdr:row>49</xdr:row>
      <xdr:rowOff>116838</xdr:rowOff>
    </xdr:from>
    <xdr:to>
      <xdr:col>17</xdr:col>
      <xdr:colOff>292100</xdr:colOff>
      <xdr:row>57</xdr:row>
      <xdr:rowOff>177799</xdr:rowOff>
    </xdr:to>
    <xdr:pic>
      <xdr:nvPicPr>
        <xdr:cNvPr id="19" name="Picture 18" descr="Cv-cho-RR-20.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78399" y="11762738"/>
          <a:ext cx="1981201" cy="1584961"/>
        </a:xfrm>
        <a:prstGeom prst="rect">
          <a:avLst/>
        </a:prstGeom>
      </xdr:spPr>
    </xdr:pic>
    <xdr:clientData/>
  </xdr:twoCellAnchor>
  <xdr:twoCellAnchor editAs="oneCell">
    <xdr:from>
      <xdr:col>15</xdr:col>
      <xdr:colOff>762002</xdr:colOff>
      <xdr:row>41</xdr:row>
      <xdr:rowOff>40642</xdr:rowOff>
    </xdr:from>
    <xdr:to>
      <xdr:col>17</xdr:col>
      <xdr:colOff>266700</xdr:colOff>
      <xdr:row>49</xdr:row>
      <xdr:rowOff>50800</xdr:rowOff>
    </xdr:to>
    <xdr:pic>
      <xdr:nvPicPr>
        <xdr:cNvPr id="20" name="Picture 19" descr="Cv-cho-RR-17.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716502" y="10162542"/>
          <a:ext cx="1917698" cy="153415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393700</xdr:colOff>
      <xdr:row>15</xdr:row>
      <xdr:rowOff>55880</xdr:rowOff>
    </xdr:from>
    <xdr:to>
      <xdr:col>10</xdr:col>
      <xdr:colOff>495300</xdr:colOff>
      <xdr:row>27</xdr:row>
      <xdr:rowOff>152400</xdr:rowOff>
    </xdr:to>
    <xdr:pic>
      <xdr:nvPicPr>
        <xdr:cNvPr id="5" name="Picture 4" descr="Cv-cho-RR-04.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311900" y="4259580"/>
          <a:ext cx="3454400" cy="2763520"/>
        </a:xfrm>
        <a:prstGeom prst="rect">
          <a:avLst/>
        </a:prstGeom>
      </xdr:spPr>
    </xdr:pic>
    <xdr:clientData/>
  </xdr:twoCellAnchor>
  <xdr:twoCellAnchor editAs="oneCell">
    <xdr:from>
      <xdr:col>6</xdr:col>
      <xdr:colOff>368300</xdr:colOff>
      <xdr:row>29</xdr:row>
      <xdr:rowOff>561340</xdr:rowOff>
    </xdr:from>
    <xdr:to>
      <xdr:col>10</xdr:col>
      <xdr:colOff>584200</xdr:colOff>
      <xdr:row>44</xdr:row>
      <xdr:rowOff>177800</xdr:rowOff>
    </xdr:to>
    <xdr:pic>
      <xdr:nvPicPr>
        <xdr:cNvPr id="2" name="Picture 1" descr="Cv-cho-RR-53.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286500" y="7813040"/>
          <a:ext cx="3568700" cy="2854960"/>
        </a:xfrm>
        <a:prstGeom prst="rect">
          <a:avLst/>
        </a:prstGeom>
      </xdr:spPr>
    </xdr:pic>
    <xdr:clientData/>
  </xdr:twoCellAnchor>
  <xdr:twoCellAnchor editAs="oneCell">
    <xdr:from>
      <xdr:col>6</xdr:col>
      <xdr:colOff>444498</xdr:colOff>
      <xdr:row>48</xdr:row>
      <xdr:rowOff>165100</xdr:rowOff>
    </xdr:from>
    <xdr:to>
      <xdr:col>10</xdr:col>
      <xdr:colOff>695323</xdr:colOff>
      <xdr:row>62</xdr:row>
      <xdr:rowOff>0</xdr:rowOff>
    </xdr:to>
    <xdr:pic>
      <xdr:nvPicPr>
        <xdr:cNvPr id="3" name="Picture 2" descr="Cv-RR-30um-wax-16.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362698" y="11417300"/>
          <a:ext cx="3603625" cy="2882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12</xdr:col>
      <xdr:colOff>482600</xdr:colOff>
      <xdr:row>36</xdr:row>
      <xdr:rowOff>342900</xdr:rowOff>
    </xdr:from>
    <xdr:to>
      <xdr:col>17</xdr:col>
      <xdr:colOff>635949</xdr:colOff>
      <xdr:row>55</xdr:row>
      <xdr:rowOff>50517</xdr:rowOff>
    </xdr:to>
    <xdr:pic>
      <xdr:nvPicPr>
        <xdr:cNvPr id="2" name="Picture 1" descr="Cv-cho-RR-01.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845800" y="7594600"/>
          <a:ext cx="4636449" cy="3708117"/>
        </a:xfrm>
        <a:prstGeom prst="rect">
          <a:avLst/>
        </a:prstGeom>
      </xdr:spPr>
    </xdr:pic>
    <xdr:clientData/>
  </xdr:twoCellAnchor>
  <xdr:twoCellAnchor editAs="oneCell">
    <xdr:from>
      <xdr:col>12</xdr:col>
      <xdr:colOff>508000</xdr:colOff>
      <xdr:row>59</xdr:row>
      <xdr:rowOff>76200</xdr:rowOff>
    </xdr:from>
    <xdr:to>
      <xdr:col>18</xdr:col>
      <xdr:colOff>38100</xdr:colOff>
      <xdr:row>77</xdr:row>
      <xdr:rowOff>88773</xdr:rowOff>
    </xdr:to>
    <xdr:pic>
      <xdr:nvPicPr>
        <xdr:cNvPr id="3" name="Picture 2" descr="Cv-cho-RR-02.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71200" y="12090400"/>
          <a:ext cx="4838700" cy="3822573"/>
        </a:xfrm>
        <a:prstGeom prst="rect">
          <a:avLst/>
        </a:prstGeom>
      </xdr:spPr>
    </xdr:pic>
    <xdr:clientData/>
  </xdr:twoCellAnchor>
  <xdr:twoCellAnchor editAs="oneCell">
    <xdr:from>
      <xdr:col>12</xdr:col>
      <xdr:colOff>0</xdr:colOff>
      <xdr:row>93</xdr:row>
      <xdr:rowOff>79745</xdr:rowOff>
    </xdr:from>
    <xdr:to>
      <xdr:col>17</xdr:col>
      <xdr:colOff>393700</xdr:colOff>
      <xdr:row>111</xdr:row>
      <xdr:rowOff>170088</xdr:rowOff>
    </xdr:to>
    <xdr:pic>
      <xdr:nvPicPr>
        <xdr:cNvPr id="4" name="Picture 3" descr="Cv-cho-RR-B-01-2.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0363200" y="18951945"/>
          <a:ext cx="4876800" cy="390034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228600</xdr:colOff>
      <xdr:row>17</xdr:row>
      <xdr:rowOff>27940</xdr:rowOff>
    </xdr:from>
    <xdr:to>
      <xdr:col>11</xdr:col>
      <xdr:colOff>622300</xdr:colOff>
      <xdr:row>30</xdr:row>
      <xdr:rowOff>76200</xdr:rowOff>
    </xdr:to>
    <xdr:pic>
      <xdr:nvPicPr>
        <xdr:cNvPr id="2" name="Picture 1" descr="Cv-bw-11.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88200" y="3837940"/>
          <a:ext cx="3695700" cy="295656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anielleludeman/Documents/MSc/Paper-Cost%20of%20Filtration/Morphometric%20summarie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danielleludeman/Documents/MSc/Measurements%20of%20AV%20canal%20system-2011-09-19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Neopetrosia"/>
      <sheetName val="Haliclona"/>
      <sheetName val="Tethya"/>
      <sheetName val="Callyspongia"/>
      <sheetName val="Cliona"/>
      <sheetName val="Table 1"/>
      <sheetName val="Table 2"/>
      <sheetName val="Graphs"/>
      <sheetName val="Comparison"/>
      <sheetName val="Velocities from Karen"/>
    </sheetNames>
    <sheetDataSet>
      <sheetData sheetId="0">
        <row r="15">
          <cell r="B15" t="str">
            <v xml:space="preserve">Excurrent velocity (m/s) </v>
          </cell>
        </row>
      </sheetData>
      <sheetData sheetId="1"/>
      <sheetData sheetId="2"/>
      <sheetData sheetId="3">
        <row r="2">
          <cell r="A2"/>
        </row>
        <row r="17">
          <cell r="C17">
            <v>741.54465006981718</v>
          </cell>
          <cell r="H17"/>
          <cell r="K17" t="str">
            <v># chambers in 1mm3</v>
          </cell>
        </row>
        <row r="18">
          <cell r="H18"/>
          <cell r="K18" t="str">
            <v># chambers/sponge</v>
          </cell>
        </row>
        <row r="19">
          <cell r="C19"/>
          <cell r="H19"/>
          <cell r="K19" t="str">
            <v>Est # collars per chamber</v>
          </cell>
        </row>
        <row r="20">
          <cell r="K20" t="str">
            <v>Number of mv per collar</v>
          </cell>
        </row>
        <row r="22">
          <cell r="C22" t="str">
            <v>Diameter (um)</v>
          </cell>
          <cell r="H22" t="str">
            <v>XS area (mm2) of aquiferous system in 1mm3  pieces</v>
          </cell>
          <cell r="K22" t="str">
            <v xml:space="preserve">Velocity (per opening, m^3/s) </v>
          </cell>
        </row>
        <row r="25">
          <cell r="C25">
            <v>406.50412499999999</v>
          </cell>
          <cell r="H25">
            <v>0.1405165127072632</v>
          </cell>
          <cell r="K25">
            <v>3.6156792730196739E-4</v>
          </cell>
        </row>
        <row r="26">
          <cell r="C26">
            <v>194.959</v>
          </cell>
          <cell r="H26">
            <v>2.698058389881177E-2</v>
          </cell>
          <cell r="K26">
            <v>1.8830676327024646E-3</v>
          </cell>
        </row>
      </sheetData>
      <sheetData sheetId="4"/>
      <sheetData sheetId="5"/>
      <sheetData sheetId="6"/>
      <sheetData sheetId="7"/>
      <sheetData sheetId="8"/>
      <sheetData sheetId="9"/>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Summary"/>
      <sheetName val="Summary (2)"/>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sheetData sheetId="1"/>
      <sheetData sheetId="2"/>
      <sheetData sheetId="3"/>
      <sheetData sheetId="4">
        <row r="17">
          <cell r="E17">
            <v>4.4733679854839021</v>
          </cell>
          <cell r="F17">
            <v>0.30442857142857138</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vmlDrawing" Target="../drawings/vmlDrawing1.vml"/><Relationship Id="rId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 Id="rId2" Type="http://schemas.openxmlformats.org/officeDocument/2006/relationships/vmlDrawing" Target="../drawings/vmlDrawing3.vml"/><Relationship Id="rId3"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 Id="rId2" Type="http://schemas.openxmlformats.org/officeDocument/2006/relationships/vmlDrawing" Target="../drawings/vmlDrawing5.vml"/><Relationship Id="rId3" Type="http://schemas.openxmlformats.org/officeDocument/2006/relationships/comments" Target="../comments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 Id="rId2" Type="http://schemas.openxmlformats.org/officeDocument/2006/relationships/vmlDrawing" Target="../drawings/vmlDrawing6.vml"/><Relationship Id="rId3" Type="http://schemas.openxmlformats.org/officeDocument/2006/relationships/comments" Target="../comments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7.vml"/><Relationship Id="rId2" Type="http://schemas.openxmlformats.org/officeDocument/2006/relationships/comments" Target="../comments7.xml"/></Relationships>
</file>

<file path=xl/worksheets/_rels/sheet11.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54"/>
  <sheetViews>
    <sheetView topLeftCell="H18" workbookViewId="0">
      <selection activeCell="L25" sqref="L25"/>
    </sheetView>
  </sheetViews>
  <sheetFormatPr baseColWidth="10" defaultColWidth="11" defaultRowHeight="15" x14ac:dyDescent="0"/>
  <cols>
    <col min="1" max="1" width="27.83203125" customWidth="1"/>
    <col min="2" max="2" width="21.1640625" customWidth="1"/>
    <col min="3" max="3" width="12.1640625" bestFit="1" customWidth="1"/>
    <col min="8" max="8" width="12.1640625" bestFit="1" customWidth="1"/>
    <col min="10" max="10" width="18.83203125" customWidth="1"/>
    <col min="11" max="11" width="17.5" customWidth="1"/>
    <col min="12" max="12" width="12.1640625" bestFit="1" customWidth="1"/>
    <col min="13" max="13" width="12.5" customWidth="1"/>
    <col min="14" max="14" width="14.33203125" customWidth="1"/>
    <col min="16" max="16" width="13" customWidth="1"/>
    <col min="19" max="19" width="16.83203125" customWidth="1"/>
    <col min="20" max="20" width="16.83203125" bestFit="1" customWidth="1"/>
    <col min="21" max="21" width="13.5" customWidth="1"/>
    <col min="22" max="22" width="12.1640625" bestFit="1" customWidth="1"/>
    <col min="25" max="25" width="12.1640625" bestFit="1" customWidth="1"/>
    <col min="27" max="27" width="11.1640625" bestFit="1" customWidth="1"/>
  </cols>
  <sheetData>
    <row r="1" spans="1:15" ht="20">
      <c r="A1" s="185" t="s">
        <v>327</v>
      </c>
    </row>
    <row r="2" spans="1:15">
      <c r="A2" s="30"/>
    </row>
    <row r="3" spans="1:15">
      <c r="A3" s="30" t="s">
        <v>328</v>
      </c>
    </row>
    <row r="4" spans="1:15">
      <c r="A4" s="186" t="s">
        <v>329</v>
      </c>
    </row>
    <row r="5" spans="1:15">
      <c r="A5" s="186" t="s">
        <v>330</v>
      </c>
    </row>
    <row r="6" spans="1:15">
      <c r="A6" s="186" t="s">
        <v>331</v>
      </c>
    </row>
    <row r="7" spans="1:15">
      <c r="A7" s="186"/>
    </row>
    <row r="8" spans="1:15">
      <c r="A8" s="186" t="s">
        <v>332</v>
      </c>
    </row>
    <row r="9" spans="1:15">
      <c r="A9" s="30"/>
    </row>
    <row r="10" spans="1:15">
      <c r="A10" s="186" t="s">
        <v>333</v>
      </c>
    </row>
    <row r="11" spans="1:15">
      <c r="A11" s="30" t="s">
        <v>334</v>
      </c>
    </row>
    <row r="12" spans="1:15">
      <c r="A12" s="30" t="s">
        <v>335</v>
      </c>
    </row>
    <row r="13" spans="1:15">
      <c r="A13" s="30"/>
    </row>
    <row r="15" spans="1:15" ht="70">
      <c r="A15" s="137" t="s">
        <v>248</v>
      </c>
      <c r="B15" s="138" t="s">
        <v>249</v>
      </c>
      <c r="C15" s="138" t="s">
        <v>250</v>
      </c>
      <c r="D15" s="139" t="s">
        <v>251</v>
      </c>
      <c r="E15" s="140" t="s">
        <v>252</v>
      </c>
      <c r="F15" s="140" t="s">
        <v>253</v>
      </c>
      <c r="G15" s="141" t="s">
        <v>254</v>
      </c>
      <c r="H15" s="139" t="s">
        <v>255</v>
      </c>
      <c r="I15" s="139" t="s">
        <v>256</v>
      </c>
      <c r="J15" s="142" t="s">
        <v>257</v>
      </c>
      <c r="K15" s="143" t="s">
        <v>258</v>
      </c>
      <c r="L15" s="144" t="s">
        <v>259</v>
      </c>
      <c r="M15" s="145" t="s">
        <v>260</v>
      </c>
      <c r="N15" s="146"/>
      <c r="O15" s="17"/>
    </row>
    <row r="16" spans="1:15">
      <c r="A16" s="147">
        <f>J16/(3/10)</f>
        <v>139.76783019177927</v>
      </c>
      <c r="B16" s="138">
        <f>Osculum!M18</f>
        <v>5.9332341400000002E-2</v>
      </c>
      <c r="C16" s="148">
        <f>Osculum!N18</f>
        <v>12.35907750116362</v>
      </c>
      <c r="D16" s="149">
        <f>100/3</f>
        <v>33.333333333333336</v>
      </c>
      <c r="E16" s="150">
        <v>1022</v>
      </c>
      <c r="F16" s="151">
        <v>9.8066499999999994</v>
      </c>
      <c r="G16" s="152">
        <f>E16*9.81</f>
        <v>10025.82</v>
      </c>
      <c r="H16" s="153">
        <v>1.207E-3</v>
      </c>
      <c r="I16" s="153"/>
      <c r="J16" s="154">
        <f>'Sponge Volume'!M26</f>
        <v>41.930349057533782</v>
      </c>
      <c r="K16" s="155">
        <f>C16*60/J16</f>
        <v>17.685153277696863</v>
      </c>
      <c r="L16" s="155">
        <f>K16/60</f>
        <v>0.29475255462828104</v>
      </c>
      <c r="M16" s="156">
        <f>(C16*3600*1000000)/(L18*L19*L20)</f>
        <v>2.4457382702333132E-2</v>
      </c>
      <c r="N16" s="100"/>
      <c r="O16" s="17"/>
    </row>
    <row r="17" spans="1:29">
      <c r="A17" s="157"/>
      <c r="B17" s="157"/>
      <c r="C17" s="158">
        <f>C16*60</f>
        <v>741.54465006981718</v>
      </c>
      <c r="D17" s="157"/>
      <c r="E17" s="157"/>
      <c r="G17" s="159"/>
      <c r="H17" s="157"/>
      <c r="I17" s="157"/>
      <c r="J17" s="157"/>
      <c r="K17" s="160" t="s">
        <v>261</v>
      </c>
      <c r="L17" s="161">
        <f>Collars!K13</f>
        <v>14358.317270685819</v>
      </c>
      <c r="M17" s="157"/>
      <c r="V17" s="158"/>
    </row>
    <row r="18" spans="1:29">
      <c r="A18" s="157"/>
      <c r="B18" s="157">
        <f>B16*100</f>
        <v>5.9332341400000006</v>
      </c>
      <c r="C18" s="158"/>
      <c r="D18" s="159"/>
      <c r="E18" s="157"/>
      <c r="G18" s="159"/>
      <c r="H18" s="157"/>
      <c r="I18" s="157"/>
      <c r="J18" s="157"/>
      <c r="K18" s="162" t="s">
        <v>262</v>
      </c>
      <c r="L18" s="163">
        <f>L17*(J16*1000)</f>
        <v>602049255.03867209</v>
      </c>
      <c r="M18" s="157"/>
      <c r="R18" s="17"/>
    </row>
    <row r="19" spans="1:29">
      <c r="A19" s="157"/>
      <c r="B19" s="157"/>
      <c r="C19" s="157"/>
      <c r="D19" s="159"/>
      <c r="E19" s="157"/>
      <c r="G19" s="159"/>
      <c r="H19" s="157"/>
      <c r="I19" s="157"/>
      <c r="J19" s="157"/>
      <c r="K19" s="162" t="s">
        <v>263</v>
      </c>
      <c r="L19" s="164">
        <f>Collars!I13</f>
        <v>92.5</v>
      </c>
      <c r="M19" s="165"/>
      <c r="R19" s="17"/>
      <c r="T19" s="11"/>
      <c r="U19" s="11"/>
      <c r="V19" s="11"/>
      <c r="W19" s="11"/>
      <c r="X19" s="11"/>
      <c r="Y19" s="11"/>
      <c r="Z19" s="11"/>
      <c r="AA19" s="11"/>
      <c r="AB19" s="11"/>
      <c r="AC19" s="11"/>
    </row>
    <row r="20" spans="1:29">
      <c r="K20" s="166" t="s">
        <v>264</v>
      </c>
      <c r="L20" s="167">
        <f>Collars!B13</f>
        <v>32.666666666666664</v>
      </c>
      <c r="R20" s="17"/>
      <c r="T20" s="11"/>
      <c r="U20" s="11"/>
      <c r="V20" s="11"/>
      <c r="W20" s="11"/>
      <c r="X20" s="11"/>
      <c r="Y20" s="11"/>
      <c r="Z20" s="11"/>
      <c r="AA20" s="11"/>
      <c r="AB20" s="11"/>
      <c r="AC20" s="11"/>
    </row>
    <row r="21" spans="1:29">
      <c r="R21" s="17"/>
      <c r="T21" s="11"/>
      <c r="U21" s="11"/>
      <c r="V21" s="11"/>
      <c r="W21" s="11"/>
      <c r="X21" s="11"/>
      <c r="Y21" s="11"/>
      <c r="Z21" s="11"/>
      <c r="AA21" s="11"/>
      <c r="AB21" s="11"/>
      <c r="AC21" s="11"/>
    </row>
    <row r="22" spans="1:29" s="171" customFormat="1" ht="60">
      <c r="A22" s="168" t="s">
        <v>265</v>
      </c>
      <c r="B22" s="169" t="s">
        <v>266</v>
      </c>
      <c r="C22" s="169" t="s">
        <v>42</v>
      </c>
      <c r="D22" s="169" t="s">
        <v>267</v>
      </c>
      <c r="E22" s="169" t="s">
        <v>268</v>
      </c>
      <c r="F22" s="169" t="s">
        <v>269</v>
      </c>
      <c r="G22" s="169" t="s">
        <v>270</v>
      </c>
      <c r="H22" s="169" t="s">
        <v>271</v>
      </c>
      <c r="I22" s="169" t="s">
        <v>272</v>
      </c>
      <c r="J22" s="169" t="s">
        <v>273</v>
      </c>
      <c r="K22" s="170" t="s">
        <v>274</v>
      </c>
      <c r="L22" s="200" t="s">
        <v>151</v>
      </c>
      <c r="M22" s="201" t="s">
        <v>342</v>
      </c>
      <c r="N22" s="202" t="s">
        <v>343</v>
      </c>
      <c r="O22" s="190" t="s">
        <v>308</v>
      </c>
      <c r="P22" s="191" t="s">
        <v>309</v>
      </c>
      <c r="Q22" s="191" t="s">
        <v>151</v>
      </c>
      <c r="R22" s="191" t="s">
        <v>310</v>
      </c>
      <c r="S22" s="191" t="s">
        <v>311</v>
      </c>
      <c r="T22" s="191"/>
      <c r="U22" s="191"/>
      <c r="V22" s="191"/>
      <c r="W22" s="191"/>
      <c r="X22" s="192"/>
    </row>
    <row r="23" spans="1:29">
      <c r="A23" s="172" t="s">
        <v>12</v>
      </c>
      <c r="B23" t="s">
        <v>275</v>
      </c>
      <c r="C23" s="70">
        <f>(Ostia!B23)</f>
        <v>31.19580952380953</v>
      </c>
      <c r="D23" s="70">
        <v>0.5</v>
      </c>
      <c r="E23">
        <v>0</v>
      </c>
      <c r="F23">
        <f t="shared" ref="F23:F37" si="0">E23/$E$37</f>
        <v>0</v>
      </c>
      <c r="G23">
        <f t="shared" ref="G23:G37" si="1">F23*100</f>
        <v>0</v>
      </c>
      <c r="H23" s="70">
        <f>Ostia!J23</f>
        <v>0.38471454201444044</v>
      </c>
      <c r="I23" s="70">
        <f>H23*$D$16</f>
        <v>12.823818067148016</v>
      </c>
      <c r="J23" s="70">
        <f>I23/$D$16*100</f>
        <v>38.471454201444047</v>
      </c>
      <c r="K23" s="173">
        <f>$K$37/(J23/$J$37)</f>
        <v>6.8308055269572163E-4</v>
      </c>
      <c r="L23" s="203">
        <f>K23*1000</f>
        <v>0.68308055269572165</v>
      </c>
      <c r="M23" s="204">
        <f t="shared" ref="M23:M37" si="2">(8*Viscosity*L23*($D23/1000))/($F$16*(($C23/1000/2)^2))</f>
        <v>1.3822480260930173E-3</v>
      </c>
      <c r="N23" s="205">
        <f>M23*1000</f>
        <v>1.3822480260930172</v>
      </c>
      <c r="O23" s="193" t="s">
        <v>312</v>
      </c>
      <c r="P23" s="187">
        <v>15</v>
      </c>
      <c r="Q23" s="187">
        <f t="shared" ref="Q23:Q37" si="3">K23*1000</f>
        <v>0.68308055269572165</v>
      </c>
      <c r="R23" s="187">
        <f>(6*PI()*Viscosity*Q23)/($F$16*(C23/1000))</f>
        <v>5.0799960991191905E-2</v>
      </c>
      <c r="S23" s="188">
        <f>R23*1000</f>
        <v>50.799960991191902</v>
      </c>
      <c r="T23" s="187"/>
      <c r="U23" s="187"/>
      <c r="V23" s="187"/>
      <c r="W23" s="189"/>
      <c r="X23" s="194"/>
    </row>
    <row r="24" spans="1:29">
      <c r="A24" s="172" t="s">
        <v>65</v>
      </c>
      <c r="B24" s="174" t="s">
        <v>65</v>
      </c>
      <c r="C24" s="70">
        <f>'Subdermal space'!C7</f>
        <v>168.233125</v>
      </c>
      <c r="D24" s="70">
        <f>'Subdermal space'!B7</f>
        <v>130.89681250000001</v>
      </c>
      <c r="E24">
        <f>D23</f>
        <v>0.5</v>
      </c>
      <c r="F24">
        <f t="shared" si="0"/>
        <v>1.1780645828687132E-4</v>
      </c>
      <c r="G24">
        <f t="shared" si="1"/>
        <v>1.1780645828687132E-2</v>
      </c>
      <c r="H24" s="70">
        <f>'Subdermal space'!D7</f>
        <v>0.65513089040080996</v>
      </c>
      <c r="I24" s="70">
        <f>H24*$D$16</f>
        <v>21.837696346693669</v>
      </c>
      <c r="J24" s="70">
        <f t="shared" ref="J24:J37" si="4">I24/$D$16*100</f>
        <v>65.513089040080999</v>
      </c>
      <c r="K24" s="173">
        <f t="shared" ref="K24:K36" si="5">$K$37/(J24/$J$37)</f>
        <v>4.0112750877695534E-4</v>
      </c>
      <c r="L24" s="203">
        <f t="shared" ref="L24:L37" si="6">K24*1000</f>
        <v>0.40112750877695535</v>
      </c>
      <c r="M24" s="204">
        <f t="shared" si="2"/>
        <v>7.3067637555253575E-3</v>
      </c>
      <c r="N24" s="205">
        <f t="shared" ref="N24:N37" si="7">M24*1000</f>
        <v>7.306763755525358</v>
      </c>
      <c r="O24" s="193" t="s">
        <v>313</v>
      </c>
      <c r="P24" s="187">
        <v>21</v>
      </c>
      <c r="Q24" s="187">
        <f t="shared" si="3"/>
        <v>0.40112750877695535</v>
      </c>
      <c r="R24" s="187">
        <f>(12*Viscosity*Q23*(C24/1000))/($F$16*(D24/1000)^2)</f>
        <v>9.9058815772248444E-3</v>
      </c>
      <c r="S24" s="188">
        <f t="shared" ref="S24:S37" si="8">R24*1000</f>
        <v>9.9058815772248447</v>
      </c>
      <c r="T24" s="187"/>
      <c r="U24" s="187"/>
      <c r="V24" s="187"/>
      <c r="W24" s="189"/>
      <c r="X24" s="194"/>
    </row>
    <row r="25" spans="1:29">
      <c r="A25" s="172" t="s">
        <v>276</v>
      </c>
      <c r="B25" t="s">
        <v>277</v>
      </c>
      <c r="C25" s="70">
        <f>'Incurrent Canals'!C26</f>
        <v>406.50412499999999</v>
      </c>
      <c r="D25" s="70">
        <f>'Incurrent Canals'!Q20</f>
        <v>923.13199999999995</v>
      </c>
      <c r="E25">
        <f t="shared" ref="E25:E37" si="9">E24+D24</f>
        <v>131.39681250000001</v>
      </c>
      <c r="F25">
        <f t="shared" si="0"/>
        <v>3.0958786221618205E-2</v>
      </c>
      <c r="G25">
        <f t="shared" si="1"/>
        <v>3.0958786221618206</v>
      </c>
      <c r="H25" s="70">
        <f>'Incurrent Canals'!K26</f>
        <v>0.1405165127072632</v>
      </c>
      <c r="I25" s="70">
        <f>H25*100</f>
        <v>14.051651270726321</v>
      </c>
      <c r="J25" s="70">
        <f t="shared" si="4"/>
        <v>42.15495381217896</v>
      </c>
      <c r="K25" s="173">
        <f t="shared" si="5"/>
        <v>6.2339297810684038E-4</v>
      </c>
      <c r="L25" s="203">
        <f t="shared" si="6"/>
        <v>0.62339297810684036</v>
      </c>
      <c r="M25" s="204">
        <f t="shared" si="2"/>
        <v>1.3716154578266216E-2</v>
      </c>
      <c r="N25" s="205">
        <f t="shared" si="7"/>
        <v>13.716154578266215</v>
      </c>
      <c r="O25" s="193" t="s">
        <v>313</v>
      </c>
      <c r="P25" s="187">
        <v>19</v>
      </c>
      <c r="Q25" s="187">
        <f t="shared" si="3"/>
        <v>0.62339297810684036</v>
      </c>
      <c r="R25" s="187">
        <f>(8*Viscosity*Q24*(D25/1000))/($F$16*((C25/1000/2)^2))</f>
        <v>8.8257762105183827E-3</v>
      </c>
      <c r="S25" s="188">
        <f t="shared" si="8"/>
        <v>8.8257762105183826</v>
      </c>
      <c r="T25" s="187"/>
      <c r="U25" s="187"/>
      <c r="V25" s="187"/>
      <c r="W25" s="189"/>
      <c r="X25" s="194"/>
    </row>
    <row r="26" spans="1:29">
      <c r="A26" s="172"/>
      <c r="B26" t="s">
        <v>278</v>
      </c>
      <c r="C26" s="70">
        <f>'Incurrent Canals'!C27</f>
        <v>194.959</v>
      </c>
      <c r="D26" s="70">
        <f>'Incurrent Canals'!R20</f>
        <v>725.45550000000003</v>
      </c>
      <c r="E26">
        <f t="shared" si="9"/>
        <v>1054.5288125</v>
      </c>
      <c r="F26">
        <f t="shared" si="0"/>
        <v>0.24846060912417037</v>
      </c>
      <c r="G26">
        <f t="shared" si="1"/>
        <v>24.846060912417038</v>
      </c>
      <c r="H26" s="70">
        <f>'Incurrent Canals'!K27</f>
        <v>2.698058389881177E-2</v>
      </c>
      <c r="I26" s="70">
        <f>H26*100</f>
        <v>2.6980583898811772</v>
      </c>
      <c r="J26" s="70">
        <f t="shared" si="4"/>
        <v>8.0941751696435311</v>
      </c>
      <c r="K26" s="173">
        <f t="shared" si="5"/>
        <v>3.2466683322456289E-3</v>
      </c>
      <c r="L26" s="203">
        <f t="shared" si="6"/>
        <v>3.2466683322456289</v>
      </c>
      <c r="M26" s="204">
        <f t="shared" si="2"/>
        <v>0.24406117528675125</v>
      </c>
      <c r="N26" s="205">
        <f t="shared" si="7"/>
        <v>244.06117528675125</v>
      </c>
      <c r="O26" s="193" t="s">
        <v>313</v>
      </c>
      <c r="P26" s="187">
        <v>19</v>
      </c>
      <c r="Q26" s="187">
        <f t="shared" si="3"/>
        <v>3.2466683322456289</v>
      </c>
      <c r="R26" s="187">
        <f>(8*Viscosity*Q25*(D26/1000))/($F$16*((C26/1000/2)^2))</f>
        <v>4.6862200672351507E-2</v>
      </c>
      <c r="S26" s="188">
        <f t="shared" si="8"/>
        <v>46.862200672351506</v>
      </c>
      <c r="T26" s="187"/>
      <c r="U26" s="187" t="s">
        <v>324</v>
      </c>
      <c r="V26" s="187"/>
      <c r="W26" s="189"/>
      <c r="X26" s="194"/>
    </row>
    <row r="27" spans="1:29">
      <c r="A27" s="175"/>
      <c r="B27" t="s">
        <v>279</v>
      </c>
      <c r="C27" s="70">
        <f>'Incurrent Canals'!C28</f>
        <v>43.806322727272722</v>
      </c>
      <c r="D27" s="70">
        <f>'Incurrent Canals'!S20</f>
        <v>0.5</v>
      </c>
      <c r="E27">
        <f t="shared" si="9"/>
        <v>1779.9843125</v>
      </c>
      <c r="F27">
        <f t="shared" si="0"/>
        <v>0.41938729532363311</v>
      </c>
      <c r="G27">
        <f t="shared" si="1"/>
        <v>41.938729532363311</v>
      </c>
      <c r="H27" s="70">
        <f>'Incurrent Canals'!K28</f>
        <v>3.6651154155832068E-2</v>
      </c>
      <c r="I27" s="70">
        <f>'Incurrent Canals'!M28</f>
        <v>3.6651154155832066</v>
      </c>
      <c r="J27" s="70">
        <f t="shared" si="4"/>
        <v>10.995346246749619</v>
      </c>
      <c r="K27" s="173">
        <f t="shared" si="5"/>
        <v>2.3900204331172401E-3</v>
      </c>
      <c r="L27" s="203">
        <f t="shared" si="6"/>
        <v>2.3900204331172401</v>
      </c>
      <c r="M27" s="204">
        <f t="shared" si="2"/>
        <v>2.4526444474102125E-3</v>
      </c>
      <c r="N27" s="205">
        <f t="shared" si="7"/>
        <v>2.4526444474102127</v>
      </c>
      <c r="O27" s="193" t="s">
        <v>313</v>
      </c>
      <c r="P27" s="187">
        <v>19</v>
      </c>
      <c r="Q27" s="187">
        <f t="shared" si="3"/>
        <v>2.3900204331172401</v>
      </c>
      <c r="R27" s="187">
        <f>(8*Viscosity*Q26*(D27/1000))/($F$16*((C27/1000/2)^2))</f>
        <v>3.3317384852977971E-3</v>
      </c>
      <c r="S27" s="188">
        <f t="shared" si="8"/>
        <v>3.3317384852977971</v>
      </c>
      <c r="T27" s="187"/>
      <c r="U27" s="187" t="s">
        <v>314</v>
      </c>
      <c r="V27" s="187">
        <f>Collars!C13/1000</f>
        <v>1.086E-4</v>
      </c>
      <c r="W27" s="187" t="s">
        <v>336</v>
      </c>
      <c r="X27" s="194"/>
    </row>
    <row r="28" spans="1:29">
      <c r="A28" s="172" t="s">
        <v>43</v>
      </c>
      <c r="B28" t="s">
        <v>280</v>
      </c>
      <c r="C28" s="70">
        <f>(Prosopyles!B21+Prosopyles!C21)/2</f>
        <v>1.6144999999999998</v>
      </c>
      <c r="D28" s="70">
        <f>0.5</f>
        <v>0.5</v>
      </c>
      <c r="E28">
        <f t="shared" si="9"/>
        <v>1780.4843125</v>
      </c>
      <c r="F28">
        <f t="shared" si="0"/>
        <v>0.41950510178191996</v>
      </c>
      <c r="G28">
        <f t="shared" si="1"/>
        <v>41.950510178191998</v>
      </c>
      <c r="H28" s="51">
        <f>Prosopyles!E29</f>
        <v>0.55157698793055054</v>
      </c>
      <c r="I28" s="70">
        <f t="shared" ref="I28:I37" si="10">H28*100</f>
        <v>55.157698793055054</v>
      </c>
      <c r="J28" s="70">
        <f t="shared" si="4"/>
        <v>165.47309637916513</v>
      </c>
      <c r="K28" s="173">
        <f t="shared" si="5"/>
        <v>1.5881193241658209E-4</v>
      </c>
      <c r="L28" s="203">
        <f>K28*1000</f>
        <v>0.15881193241658209</v>
      </c>
      <c r="M28" s="204">
        <f t="shared" si="2"/>
        <v>0.11998131257286317</v>
      </c>
      <c r="N28" s="205">
        <f t="shared" si="7"/>
        <v>119.98131257286316</v>
      </c>
      <c r="O28" s="193" t="s">
        <v>312</v>
      </c>
      <c r="P28" s="187">
        <v>15</v>
      </c>
      <c r="Q28" s="187">
        <f t="shared" si="3"/>
        <v>0.15881193241658209</v>
      </c>
      <c r="R28" s="187">
        <f>(6*PI()*(Viscosity*1000)*K27)/($F$16*(C28/1000))</f>
        <v>3.4344032159638824</v>
      </c>
      <c r="S28" s="188">
        <f t="shared" si="8"/>
        <v>3434.4032159638823</v>
      </c>
      <c r="T28" s="187"/>
      <c r="U28" s="187" t="s">
        <v>315</v>
      </c>
      <c r="V28" s="187">
        <f>Collars!D13/1000</f>
        <v>6.9399999999999993E-5</v>
      </c>
      <c r="W28" s="187" t="s">
        <v>337</v>
      </c>
      <c r="X28" s="194"/>
    </row>
    <row r="29" spans="1:29">
      <c r="A29" s="172" t="s">
        <v>281</v>
      </c>
      <c r="B29" t="s">
        <v>68</v>
      </c>
      <c r="C29" s="70">
        <f>Collars!B19</f>
        <v>0.49100000000000005</v>
      </c>
      <c r="D29" s="70">
        <f>Collars!C19</f>
        <v>2.6087499999999997</v>
      </c>
      <c r="E29">
        <f t="shared" si="9"/>
        <v>1780.9843125</v>
      </c>
      <c r="F29">
        <f t="shared" si="0"/>
        <v>0.41962290824020687</v>
      </c>
      <c r="G29">
        <f t="shared" si="1"/>
        <v>41.962290824020684</v>
      </c>
      <c r="H29" s="51">
        <f>Collars!G19</f>
        <v>1.7012151142206824</v>
      </c>
      <c r="I29" s="70">
        <f t="shared" si="10"/>
        <v>170.12151142206824</v>
      </c>
      <c r="J29" s="70">
        <f t="shared" si="4"/>
        <v>510.36453426620466</v>
      </c>
      <c r="K29" s="173">
        <f t="shared" si="5"/>
        <v>5.1490847099542851E-5</v>
      </c>
      <c r="L29" s="203">
        <f t="shared" si="6"/>
        <v>5.1490847099542852E-2</v>
      </c>
      <c r="M29" s="204">
        <f t="shared" si="2"/>
        <v>2.1945025373784404</v>
      </c>
      <c r="N29" s="205">
        <f t="shared" si="7"/>
        <v>2194.5025373784401</v>
      </c>
      <c r="O29" s="193" t="s">
        <v>313</v>
      </c>
      <c r="P29" s="187">
        <v>19</v>
      </c>
      <c r="Q29" s="187">
        <f t="shared" si="3"/>
        <v>5.1490847099542852E-2</v>
      </c>
      <c r="R29" s="187">
        <f>(8*Viscosity*Q28*(D29/1000))/($F$16*((C29/1000/2)^2))</f>
        <v>6.7684493125625229</v>
      </c>
      <c r="S29" s="188">
        <f t="shared" si="8"/>
        <v>6768.4493125625231</v>
      </c>
      <c r="T29" s="187"/>
      <c r="U29" s="187" t="s">
        <v>316</v>
      </c>
      <c r="V29" s="187">
        <f>Collars!F13/1000</f>
        <v>5.1818181818181812E-5</v>
      </c>
      <c r="W29" s="187" t="s">
        <v>338</v>
      </c>
      <c r="X29" s="194"/>
    </row>
    <row r="30" spans="1:29">
      <c r="B30" t="s">
        <v>282</v>
      </c>
      <c r="C30" s="70">
        <f>Collars!F13</f>
        <v>5.1818181818181812E-2</v>
      </c>
      <c r="D30" s="70">
        <f>Collars!C13</f>
        <v>0.1086</v>
      </c>
      <c r="E30">
        <f t="shared" si="9"/>
        <v>1783.5930625000001</v>
      </c>
      <c r="F30">
        <f t="shared" si="0"/>
        <v>0.42023756343631863</v>
      </c>
      <c r="G30">
        <f t="shared" si="1"/>
        <v>42.02375634363186</v>
      </c>
      <c r="H30" s="70">
        <f>Collars!M13</f>
        <v>4.9157451781115586</v>
      </c>
      <c r="I30" s="70">
        <f t="shared" si="10"/>
        <v>491.57451781115589</v>
      </c>
      <c r="J30" s="70">
        <f t="shared" si="4"/>
        <v>1474.7235534334675</v>
      </c>
      <c r="K30" s="173">
        <f t="shared" si="5"/>
        <v>1.781968026329223E-5</v>
      </c>
      <c r="L30" s="203">
        <f t="shared" si="6"/>
        <v>1.7819680263292229E-2</v>
      </c>
      <c r="M30" s="204">
        <f t="shared" si="2"/>
        <v>2.8385853977040036</v>
      </c>
      <c r="N30" s="205">
        <f t="shared" si="7"/>
        <v>2838.5853977040038</v>
      </c>
      <c r="O30" s="193" t="s">
        <v>317</v>
      </c>
      <c r="P30" s="187">
        <v>17</v>
      </c>
      <c r="Q30" s="187">
        <f t="shared" si="3"/>
        <v>1.7819680263292229E-2</v>
      </c>
      <c r="R30" s="187">
        <f>(V30*Viscosity*Q29)/(F16*V33)</f>
        <v>0.66771185926838028</v>
      </c>
      <c r="S30" s="188">
        <f t="shared" si="8"/>
        <v>667.71185926838029</v>
      </c>
      <c r="T30" s="187"/>
      <c r="U30" s="187" t="s">
        <v>318</v>
      </c>
      <c r="V30" s="187">
        <f>(8*PI())/(1-2*LN(V31)+((V31^2)/6))</f>
        <v>3.1256930995930423</v>
      </c>
      <c r="W30" s="189"/>
      <c r="X30" s="194"/>
    </row>
    <row r="31" spans="1:29">
      <c r="A31" s="172"/>
      <c r="B31" t="s">
        <v>71</v>
      </c>
      <c r="C31" s="70">
        <f>Collars!B20</f>
        <v>2.6087499999999997</v>
      </c>
      <c r="D31" s="70">
        <f>Collars!C20</f>
        <v>1.6326000000000001</v>
      </c>
      <c r="E31">
        <f t="shared" si="9"/>
        <v>1783.7016625000001</v>
      </c>
      <c r="F31">
        <f t="shared" si="0"/>
        <v>0.42026315099905853</v>
      </c>
      <c r="G31">
        <f t="shared" si="1"/>
        <v>42.026315099905851</v>
      </c>
      <c r="H31" s="51">
        <f>Collars!G20</f>
        <v>5.6566268746979338</v>
      </c>
      <c r="I31" s="70">
        <f t="shared" si="10"/>
        <v>565.66268746979335</v>
      </c>
      <c r="J31" s="70">
        <f t="shared" si="4"/>
        <v>1696.9880624093801</v>
      </c>
      <c r="K31" s="173">
        <f t="shared" si="5"/>
        <v>1.5485731915886038E-5</v>
      </c>
      <c r="L31" s="203">
        <f t="shared" si="6"/>
        <v>1.5485731915886038E-2</v>
      </c>
      <c r="M31" s="204">
        <f t="shared" si="2"/>
        <v>1.4631308837119687E-2</v>
      </c>
      <c r="N31" s="205">
        <f t="shared" si="7"/>
        <v>14.631308837119686</v>
      </c>
      <c r="O31" s="193" t="s">
        <v>313</v>
      </c>
      <c r="P31" s="187">
        <v>19</v>
      </c>
      <c r="Q31" s="187">
        <f t="shared" si="3"/>
        <v>1.5485731915886038E-2</v>
      </c>
      <c r="R31" s="187">
        <f>(8*Viscosity*Q30*(D31/1000))/($F$16*((C31/1000/2)^2))</f>
        <v>1.683648191297241E-2</v>
      </c>
      <c r="S31" s="188">
        <f t="shared" si="8"/>
        <v>16.83648191297241</v>
      </c>
      <c r="T31" s="187"/>
      <c r="U31" s="187" t="s">
        <v>319</v>
      </c>
      <c r="V31" s="187">
        <f>(PI()*V27)/V32</f>
        <v>8.2169690216627256</v>
      </c>
      <c r="W31" s="189"/>
      <c r="X31" s="194"/>
    </row>
    <row r="32" spans="1:29">
      <c r="A32" s="172" t="s">
        <v>283</v>
      </c>
      <c r="B32" t="s">
        <v>284</v>
      </c>
      <c r="C32" s="70">
        <f>'Choanocyte Chambers'!D12</f>
        <v>19.748556565656564</v>
      </c>
      <c r="D32" s="70">
        <f>C32</f>
        <v>19.748556565656564</v>
      </c>
      <c r="E32">
        <f t="shared" si="9"/>
        <v>1785.3342625</v>
      </c>
      <c r="F32">
        <f t="shared" si="0"/>
        <v>0.42064781264665685</v>
      </c>
      <c r="G32">
        <f t="shared" si="1"/>
        <v>42.064781264665683</v>
      </c>
      <c r="H32" s="70">
        <f>'Choanocyte Chambers'!J12</f>
        <v>4.0598912443223591</v>
      </c>
      <c r="I32" s="70">
        <f t="shared" si="10"/>
        <v>405.98912443223594</v>
      </c>
      <c r="J32" s="70">
        <f t="shared" si="4"/>
        <v>1217.9673732967076</v>
      </c>
      <c r="K32" s="173">
        <f t="shared" si="5"/>
        <v>2.1576195532890292E-5</v>
      </c>
      <c r="L32" s="203">
        <f t="shared" si="6"/>
        <v>2.1576195532890294E-2</v>
      </c>
      <c r="M32" s="204">
        <f t="shared" si="2"/>
        <v>4.3030469416849718E-3</v>
      </c>
      <c r="N32" s="205">
        <f t="shared" si="7"/>
        <v>4.3030469416849719</v>
      </c>
      <c r="O32" s="193" t="s">
        <v>313</v>
      </c>
      <c r="P32" s="187">
        <v>19</v>
      </c>
      <c r="Q32" s="187">
        <f t="shared" si="3"/>
        <v>2.1576195532890294E-2</v>
      </c>
      <c r="R32" s="187">
        <f>(8*Viscosity*Q31*(D32/1000))/($F$16*((C32/1000/2)^2))</f>
        <v>3.0883957859405074E-3</v>
      </c>
      <c r="S32" s="188">
        <f t="shared" si="8"/>
        <v>3.0883957859405076</v>
      </c>
      <c r="T32" s="187"/>
      <c r="U32" s="187" t="s">
        <v>320</v>
      </c>
      <c r="V32" s="187">
        <f>(V28*V29)/(SQRT((V28^2)+(V29^2)))</f>
        <v>4.1521023297081079E-5</v>
      </c>
      <c r="W32" s="189"/>
      <c r="X32" s="194"/>
    </row>
    <row r="33" spans="1:24">
      <c r="A33" s="172" t="s">
        <v>285</v>
      </c>
      <c r="B33" t="s">
        <v>286</v>
      </c>
      <c r="C33" s="51">
        <f>Apopyle!D12</f>
        <v>5.9745000000000008</v>
      </c>
      <c r="D33" s="70">
        <v>0.5</v>
      </c>
      <c r="E33">
        <f t="shared" si="9"/>
        <v>1805.0828190656566</v>
      </c>
      <c r="F33">
        <f t="shared" si="0"/>
        <v>0.42530082765721272</v>
      </c>
      <c r="G33">
        <f t="shared" si="1"/>
        <v>42.530082765721275</v>
      </c>
      <c r="H33" s="51">
        <f>Apopyle!G12</f>
        <v>0.40252842858589472</v>
      </c>
      <c r="I33" s="70">
        <f t="shared" si="10"/>
        <v>40.252842858589474</v>
      </c>
      <c r="J33" s="70">
        <f t="shared" si="4"/>
        <v>120.75852857576841</v>
      </c>
      <c r="K33" s="173">
        <f t="shared" si="5"/>
        <v>2.1761694605646056E-4</v>
      </c>
      <c r="L33" s="203">
        <f t="shared" si="6"/>
        <v>0.21761694605646056</v>
      </c>
      <c r="M33" s="204">
        <f t="shared" si="2"/>
        <v>1.2005939693746992E-2</v>
      </c>
      <c r="N33" s="205">
        <f t="shared" si="7"/>
        <v>12.005939693746992</v>
      </c>
      <c r="O33" s="193" t="s">
        <v>312</v>
      </c>
      <c r="P33" s="187">
        <v>15</v>
      </c>
      <c r="Q33" s="187">
        <f t="shared" si="3"/>
        <v>0.21761694605646056</v>
      </c>
      <c r="R33" s="187">
        <f>(6*PI()*(Viscosity*1000)*K32)/($F$16*(C33/1000))</f>
        <v>8.3783986656831705E-3</v>
      </c>
      <c r="S33" s="188">
        <f t="shared" si="8"/>
        <v>8.3783986656831697</v>
      </c>
      <c r="T33" s="187"/>
      <c r="U33" s="187" t="s">
        <v>321</v>
      </c>
      <c r="V33" s="187">
        <f>(V28*V29)/(V28+V29)</f>
        <v>2.9667016649167541E-5</v>
      </c>
      <c r="W33" s="189"/>
      <c r="X33" s="194"/>
    </row>
    <row r="34" spans="1:24">
      <c r="A34" s="172" t="s">
        <v>287</v>
      </c>
      <c r="B34" t="s">
        <v>288</v>
      </c>
      <c r="C34" s="70">
        <f>('Excurrent Canals'!C30+'Excurrent Canals'!D30)/2</f>
        <v>52.886501262626268</v>
      </c>
      <c r="D34" s="70">
        <f>'Excurrent Canals'!S21</f>
        <v>0.5</v>
      </c>
      <c r="E34">
        <f t="shared" si="9"/>
        <v>1805.5828190656566</v>
      </c>
      <c r="F34">
        <f t="shared" si="0"/>
        <v>0.42541863411549957</v>
      </c>
      <c r="G34">
        <f t="shared" si="1"/>
        <v>42.541863411549954</v>
      </c>
      <c r="H34" s="70">
        <f>'Excurrent Canals'!K30</f>
        <v>5.16807342470532E-3</v>
      </c>
      <c r="I34" s="70">
        <f t="shared" si="10"/>
        <v>0.51680734247053195</v>
      </c>
      <c r="J34" s="70">
        <f t="shared" si="4"/>
        <v>1.5504220274115958</v>
      </c>
      <c r="K34" s="173">
        <f t="shared" si="5"/>
        <v>1.6949644506020774E-2</v>
      </c>
      <c r="L34" s="203">
        <f t="shared" si="6"/>
        <v>16.949644506020775</v>
      </c>
      <c r="M34" s="204">
        <f t="shared" si="2"/>
        <v>1.1933765432422151E-2</v>
      </c>
      <c r="N34" s="205">
        <f t="shared" si="7"/>
        <v>11.933765432422151</v>
      </c>
      <c r="O34" s="193" t="s">
        <v>313</v>
      </c>
      <c r="P34" s="187">
        <v>19</v>
      </c>
      <c r="Q34" s="187">
        <f t="shared" si="3"/>
        <v>16.949644506020775</v>
      </c>
      <c r="R34" s="187">
        <f>(8*Viscosity*Q33*(D34/1000))/($F$16*((C34/1000/2)^2))</f>
        <v>1.5321793843141516E-4</v>
      </c>
      <c r="S34" s="188">
        <f t="shared" si="8"/>
        <v>0.15321793843141515</v>
      </c>
      <c r="T34" s="187"/>
      <c r="U34" s="187"/>
      <c r="V34" s="187"/>
      <c r="W34" s="189"/>
      <c r="X34" s="194"/>
    </row>
    <row r="35" spans="1:24">
      <c r="A35" s="30"/>
      <c r="B35" t="s">
        <v>289</v>
      </c>
      <c r="C35" s="70">
        <f>('Excurrent Canals'!C29+'Excurrent Canals'!D29)/2</f>
        <v>178.83952380952383</v>
      </c>
      <c r="D35" s="70">
        <f>'Excurrent Canals'!R21</f>
        <v>1096.0216666666665</v>
      </c>
      <c r="E35">
        <f t="shared" si="9"/>
        <v>1806.0828190656566</v>
      </c>
      <c r="F35">
        <f t="shared" si="0"/>
        <v>0.42553644057378642</v>
      </c>
      <c r="G35">
        <f t="shared" si="1"/>
        <v>42.553644057378641</v>
      </c>
      <c r="H35" s="70">
        <f>'Excurrent Canals'!K29</f>
        <v>2.8734333938444625E-2</v>
      </c>
      <c r="I35" s="70">
        <f t="shared" si="10"/>
        <v>2.8734333938444623</v>
      </c>
      <c r="J35" s="70">
        <f t="shared" si="4"/>
        <v>8.620300181533386</v>
      </c>
      <c r="K35" s="173">
        <f t="shared" si="5"/>
        <v>3.048513583694715E-3</v>
      </c>
      <c r="L35" s="203">
        <f t="shared" si="6"/>
        <v>3.048513583694715</v>
      </c>
      <c r="M35" s="204">
        <f t="shared" si="2"/>
        <v>0.41144978269361493</v>
      </c>
      <c r="N35" s="205">
        <f t="shared" si="7"/>
        <v>411.44978269361491</v>
      </c>
      <c r="O35" s="193" t="s">
        <v>313</v>
      </c>
      <c r="P35" s="187">
        <v>19</v>
      </c>
      <c r="Q35" s="187">
        <f t="shared" si="3"/>
        <v>3.048513583694715</v>
      </c>
      <c r="R35" s="187">
        <f>(8*Viscosity*Q34*(D35/1000))/($F$16*((C35/1000/2)^2))</f>
        <v>2.2876485071403434</v>
      </c>
      <c r="S35" s="188">
        <f t="shared" si="8"/>
        <v>2287.6485071403436</v>
      </c>
      <c r="T35" s="187"/>
      <c r="U35" s="187"/>
      <c r="V35" s="187"/>
      <c r="W35" s="189"/>
      <c r="X35" s="194"/>
    </row>
    <row r="36" spans="1:24">
      <c r="A36" s="30"/>
      <c r="B36" t="s">
        <v>290</v>
      </c>
      <c r="C36" s="70">
        <f>('Excurrent Canals'!C28+'Excurrent Canals'!D28)/2</f>
        <v>339.41449999999998</v>
      </c>
      <c r="D36" s="70">
        <f>'Excurrent Canals'!Q21</f>
        <v>1342.145</v>
      </c>
      <c r="E36">
        <f t="shared" si="9"/>
        <v>2902.1044857323232</v>
      </c>
      <c r="F36">
        <f t="shared" si="0"/>
        <v>0.68377330208513409</v>
      </c>
      <c r="G36">
        <f t="shared" si="1"/>
        <v>68.377330208513413</v>
      </c>
      <c r="H36" s="70">
        <f>'Excurrent Canals'!K28</f>
        <v>3.0390099043091943E-2</v>
      </c>
      <c r="I36" s="70">
        <f t="shared" si="10"/>
        <v>3.0390099043091943</v>
      </c>
      <c r="J36" s="70">
        <f t="shared" si="4"/>
        <v>9.1170297129275824</v>
      </c>
      <c r="K36" s="173">
        <f t="shared" si="5"/>
        <v>2.88241927759299E-3</v>
      </c>
      <c r="L36" s="203">
        <f t="shared" si="6"/>
        <v>2.88241927759299</v>
      </c>
      <c r="M36" s="204">
        <f t="shared" si="2"/>
        <v>0.13226117630489009</v>
      </c>
      <c r="N36" s="205">
        <f t="shared" si="7"/>
        <v>132.26117630489009</v>
      </c>
      <c r="O36" s="193" t="s">
        <v>313</v>
      </c>
      <c r="P36" s="187">
        <v>19</v>
      </c>
      <c r="Q36" s="187">
        <f t="shared" si="3"/>
        <v>2.88241927759299</v>
      </c>
      <c r="R36" s="187">
        <f>(8*Viscosity*Q35*(D36/1000))/($F$16*((C36/1000/2)^2))</f>
        <v>0.13988249235468533</v>
      </c>
      <c r="S36" s="188">
        <f t="shared" si="8"/>
        <v>139.88249235468533</v>
      </c>
      <c r="T36" s="187"/>
      <c r="U36" s="187"/>
      <c r="V36" s="187"/>
      <c r="W36" s="189"/>
      <c r="X36" s="194"/>
    </row>
    <row r="37" spans="1:24">
      <c r="A37" s="172" t="s">
        <v>44</v>
      </c>
      <c r="B37" t="s">
        <v>291</v>
      </c>
      <c r="C37" s="70">
        <f>Osculum!G18</f>
        <v>16209.05</v>
      </c>
      <c r="D37" s="70">
        <f>'Sponge Volume'!F26</f>
        <v>198410</v>
      </c>
      <c r="E37">
        <f t="shared" si="9"/>
        <v>4244.2494857323236</v>
      </c>
      <c r="F37">
        <f t="shared" si="0"/>
        <v>1</v>
      </c>
      <c r="G37">
        <f t="shared" si="1"/>
        <v>100</v>
      </c>
      <c r="H37" s="70">
        <f>(PI()*(C37/2/1000)^2)/(A16*1000)</f>
        <v>1.4763787381862614E-3</v>
      </c>
      <c r="I37" s="70">
        <f t="shared" si="10"/>
        <v>0.14763787381862614</v>
      </c>
      <c r="J37" s="70">
        <f t="shared" si="4"/>
        <v>0.44291362145587843</v>
      </c>
      <c r="K37" s="173">
        <f>B16</f>
        <v>5.9332341400000002E-2</v>
      </c>
      <c r="L37" s="203">
        <f t="shared" si="6"/>
        <v>59.332341400000004</v>
      </c>
      <c r="M37" s="204">
        <f t="shared" si="2"/>
        <v>0.17647227851255654</v>
      </c>
      <c r="N37" s="205">
        <f t="shared" si="7"/>
        <v>176.47227851255653</v>
      </c>
      <c r="O37" s="195" t="s">
        <v>322</v>
      </c>
      <c r="P37" s="196">
        <v>22</v>
      </c>
      <c r="Q37" s="196">
        <f t="shared" si="3"/>
        <v>59.332341400000004</v>
      </c>
      <c r="R37" s="196">
        <f>((Q37^2)/(2*F16))/1000</f>
        <v>0.17948671238425734</v>
      </c>
      <c r="S37" s="197">
        <f t="shared" si="8"/>
        <v>179.48671238425734</v>
      </c>
      <c r="T37" s="196"/>
      <c r="U37" s="196"/>
      <c r="V37" s="196"/>
      <c r="W37" s="196"/>
      <c r="X37" s="198"/>
    </row>
    <row r="38" spans="1:24">
      <c r="N38" s="206">
        <f>SUM(N23:N37)</f>
        <v>6185.0455321653881</v>
      </c>
      <c r="O38" s="11"/>
      <c r="Q38" s="11"/>
      <c r="R38" s="11"/>
      <c r="S38" s="199">
        <f>SUM(S23:S37)</f>
        <v>13625.764151913685</v>
      </c>
      <c r="T38" s="17"/>
      <c r="U38" s="11"/>
      <c r="V38" s="11"/>
      <c r="W38" s="11"/>
    </row>
    <row r="39" spans="1:24">
      <c r="N39" s="11"/>
      <c r="O39" s="11"/>
      <c r="P39" s="11"/>
      <c r="Q39" s="11"/>
      <c r="R39" s="11"/>
      <c r="S39" s="11"/>
      <c r="T39" s="11"/>
      <c r="U39" s="11"/>
      <c r="V39" s="11"/>
      <c r="W39" s="11"/>
    </row>
    <row r="40" spans="1:24">
      <c r="O40" s="17"/>
      <c r="P40" s="17"/>
      <c r="Q40" s="17"/>
      <c r="R40" s="17"/>
      <c r="S40" s="17"/>
      <c r="T40" s="17"/>
      <c r="U40" s="17"/>
    </row>
    <row r="41" spans="1:24">
      <c r="F41" s="17"/>
      <c r="G41" s="17"/>
      <c r="H41" s="17"/>
    </row>
    <row r="42" spans="1:24">
      <c r="A42" t="s">
        <v>292</v>
      </c>
      <c r="C42" s="180" t="s">
        <v>303</v>
      </c>
      <c r="D42" s="178"/>
      <c r="F42" s="181"/>
      <c r="G42" s="17"/>
      <c r="H42" s="17"/>
    </row>
    <row r="43" spans="1:24">
      <c r="A43" t="s">
        <v>293</v>
      </c>
      <c r="C43" s="178">
        <f>Osculum!Q18</f>
        <v>2.6761350868010902</v>
      </c>
      <c r="D43" s="178" t="s">
        <v>294</v>
      </c>
      <c r="F43" s="17"/>
      <c r="G43" s="17"/>
      <c r="H43" s="17"/>
    </row>
    <row r="44" spans="1:24">
      <c r="A44" t="s">
        <v>295</v>
      </c>
      <c r="C44" s="178">
        <f>(C43/44.661)*1000</f>
        <v>59.921074019862751</v>
      </c>
      <c r="D44" s="178" t="s">
        <v>296</v>
      </c>
      <c r="F44" s="17"/>
      <c r="G44" s="17"/>
      <c r="H44" s="17"/>
    </row>
    <row r="45" spans="1:24">
      <c r="A45" t="s">
        <v>307</v>
      </c>
      <c r="C45" s="179">
        <f>C44*(C16/1000*60*60)</f>
        <v>2666.0491119520043</v>
      </c>
      <c r="D45" s="178" t="s">
        <v>297</v>
      </c>
      <c r="F45" s="100"/>
      <c r="G45" s="17"/>
      <c r="H45" s="17"/>
    </row>
    <row r="46" spans="1:24">
      <c r="C46" s="178">
        <f>C45*5.333</f>
        <v>14218.039914040039</v>
      </c>
      <c r="D46" s="178" t="s">
        <v>298</v>
      </c>
      <c r="F46" s="17"/>
      <c r="G46" s="17"/>
      <c r="H46" s="17"/>
    </row>
    <row r="47" spans="1:24">
      <c r="C47" s="178"/>
      <c r="D47" s="178"/>
      <c r="F47" s="17"/>
      <c r="G47" s="100"/>
      <c r="H47" s="17"/>
    </row>
    <row r="48" spans="1:24">
      <c r="C48" t="s">
        <v>323</v>
      </c>
      <c r="D48" s="113"/>
      <c r="E48" s="17"/>
      <c r="F48" t="s">
        <v>344</v>
      </c>
      <c r="G48" s="113"/>
    </row>
    <row r="49" spans="3:8">
      <c r="C49" s="182">
        <f>$E$16*$F$16*($S$38/1000)*($C$17/1000/60)</f>
        <v>1687.790330577564</v>
      </c>
      <c r="D49" t="s">
        <v>299</v>
      </c>
      <c r="E49" s="17"/>
      <c r="F49" s="182">
        <f>$E$16*$F$16*($N$38/1000)*($C$17/1000/60)</f>
        <v>766.12657660778461</v>
      </c>
      <c r="G49" t="s">
        <v>299</v>
      </c>
    </row>
    <row r="50" spans="3:8">
      <c r="C50" s="183">
        <f>$C$49/$C$46*100</f>
        <v>11.87076658091882</v>
      </c>
      <c r="D50" t="s">
        <v>300</v>
      </c>
      <c r="E50" s="17"/>
      <c r="F50" s="183">
        <f>$F$49/$C$46*100</f>
        <v>5.3884120542610763</v>
      </c>
      <c r="G50" t="s">
        <v>300</v>
      </c>
    </row>
    <row r="51" spans="3:8">
      <c r="F51" s="17"/>
      <c r="G51" s="100"/>
      <c r="H51" s="17"/>
    </row>
    <row r="52" spans="3:8">
      <c r="G52" s="86"/>
    </row>
    <row r="53" spans="3:8">
      <c r="G53" s="86"/>
    </row>
    <row r="54" spans="3:8">
      <c r="G54" s="86"/>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206"/>
  <sheetViews>
    <sheetView workbookViewId="0">
      <selection activeCell="L45" sqref="L45"/>
    </sheetView>
  </sheetViews>
  <sheetFormatPr baseColWidth="10" defaultColWidth="11" defaultRowHeight="15" x14ac:dyDescent="0"/>
  <cols>
    <col min="1" max="1" width="25.6640625" customWidth="1"/>
    <col min="4" max="5" width="12.5" customWidth="1"/>
    <col min="6" max="6" width="12.1640625" customWidth="1"/>
    <col min="7" max="7" width="13.83203125" customWidth="1"/>
    <col min="8" max="8" width="13.5" customWidth="1"/>
    <col min="9" max="9" width="14.1640625" customWidth="1"/>
    <col min="10" max="10" width="20.1640625" customWidth="1"/>
    <col min="11" max="11" width="18.83203125" customWidth="1"/>
  </cols>
  <sheetData>
    <row r="1" spans="1:13">
      <c r="A1" t="s">
        <v>78</v>
      </c>
    </row>
    <row r="3" spans="1:13">
      <c r="A3" t="s">
        <v>0</v>
      </c>
    </row>
    <row r="5" spans="1:13">
      <c r="A5" t="s">
        <v>1</v>
      </c>
    </row>
    <row r="6" spans="1:13">
      <c r="A6" t="s">
        <v>82</v>
      </c>
    </row>
    <row r="7" spans="1:13">
      <c r="A7" t="s">
        <v>83</v>
      </c>
    </row>
    <row r="8" spans="1:13">
      <c r="A8" t="s">
        <v>2</v>
      </c>
    </row>
    <row r="9" spans="1:13">
      <c r="A9" t="s">
        <v>84</v>
      </c>
    </row>
    <row r="10" spans="1:13">
      <c r="A10" s="30" t="s">
        <v>162</v>
      </c>
    </row>
    <row r="12" spans="1:13">
      <c r="A12" s="17" t="s">
        <v>3</v>
      </c>
      <c r="B12" s="17"/>
      <c r="C12" s="17"/>
      <c r="D12" s="17"/>
      <c r="E12" s="17"/>
      <c r="F12" s="17"/>
      <c r="G12" s="17"/>
      <c r="H12" s="17"/>
      <c r="I12" s="17"/>
      <c r="J12" s="17"/>
      <c r="K12" s="17"/>
    </row>
    <row r="13" spans="1:13">
      <c r="A13" s="17"/>
      <c r="B13" s="17"/>
      <c r="C13" s="17"/>
      <c r="D13" s="17"/>
      <c r="E13" s="17"/>
      <c r="F13" s="17"/>
      <c r="G13" s="17"/>
      <c r="H13" s="17"/>
      <c r="I13" s="17"/>
      <c r="J13" s="17"/>
      <c r="K13" s="17"/>
    </row>
    <row r="14" spans="1:13" s="16" customFormat="1" ht="46" thickBot="1">
      <c r="A14" s="8" t="s">
        <v>4</v>
      </c>
      <c r="B14" s="8" t="s">
        <v>5</v>
      </c>
      <c r="C14" s="8" t="s">
        <v>79</v>
      </c>
      <c r="D14" s="8" t="s">
        <v>10</v>
      </c>
      <c r="E14" s="8" t="s">
        <v>80</v>
      </c>
      <c r="F14" s="8" t="s">
        <v>6</v>
      </c>
      <c r="G14" s="8" t="s">
        <v>7</v>
      </c>
      <c r="H14" s="8" t="s">
        <v>13</v>
      </c>
      <c r="I14" s="8" t="s">
        <v>14</v>
      </c>
      <c r="J14" s="8" t="s">
        <v>11</v>
      </c>
      <c r="K14" s="8" t="s">
        <v>9</v>
      </c>
      <c r="L14" s="8" t="s">
        <v>91</v>
      </c>
      <c r="M14" s="8" t="s">
        <v>92</v>
      </c>
    </row>
    <row r="15" spans="1:13" ht="16" thickTop="1">
      <c r="A15" s="4" t="str">
        <f>A45</f>
        <v>Cv-ost-03</v>
      </c>
      <c r="B15" s="4">
        <f t="shared" ref="B15:M15" si="0">B45</f>
        <v>37.821937500000004</v>
      </c>
      <c r="C15" s="4">
        <f t="shared" si="0"/>
        <v>28.342499999999998</v>
      </c>
      <c r="D15" s="4">
        <f t="shared" si="0"/>
        <v>18.910968750000002</v>
      </c>
      <c r="E15" s="4">
        <f t="shared" si="0"/>
        <v>14.171249999999999</v>
      </c>
      <c r="F15" s="4">
        <f t="shared" si="0"/>
        <v>838.07363447422074</v>
      </c>
      <c r="G15" s="4">
        <f t="shared" si="0"/>
        <v>101</v>
      </c>
      <c r="H15" s="4">
        <f t="shared" si="0"/>
        <v>84645.437081896293</v>
      </c>
      <c r="I15" s="4">
        <f t="shared" si="0"/>
        <v>208206.06599999999</v>
      </c>
      <c r="J15" s="4">
        <f t="shared" si="0"/>
        <v>0.40654645038966492</v>
      </c>
      <c r="K15" s="4">
        <f t="shared" si="0"/>
        <v>40.654645038966493</v>
      </c>
      <c r="L15" s="4">
        <f t="shared" si="0"/>
        <v>13.550193191487532</v>
      </c>
      <c r="M15" s="4">
        <f t="shared" si="0"/>
        <v>40.654645038966493</v>
      </c>
    </row>
    <row r="16" spans="1:13">
      <c r="A16" s="4" t="str">
        <f>A65</f>
        <v>Cv-ost-04</v>
      </c>
      <c r="B16" s="4">
        <f t="shared" ref="B16:M16" si="1">B65</f>
        <v>34.7169375</v>
      </c>
      <c r="C16" s="4">
        <f t="shared" si="1"/>
        <v>22.400625000000002</v>
      </c>
      <c r="D16" s="4">
        <f t="shared" si="1"/>
        <v>17.35846875</v>
      </c>
      <c r="E16" s="4">
        <f t="shared" si="1"/>
        <v>11.200312500000001</v>
      </c>
      <c r="F16" s="4">
        <f t="shared" si="1"/>
        <v>612.574999270646</v>
      </c>
      <c r="G16" s="4">
        <f t="shared" si="1"/>
        <v>107</v>
      </c>
      <c r="H16" s="4">
        <f t="shared" si="1"/>
        <v>65545.524921959121</v>
      </c>
      <c r="I16" s="4">
        <f t="shared" si="1"/>
        <v>214410.27799999999</v>
      </c>
      <c r="J16" s="4">
        <f t="shared" si="1"/>
        <v>0.30570141288636882</v>
      </c>
      <c r="K16" s="4">
        <f t="shared" si="1"/>
        <v>30.570141288636883</v>
      </c>
      <c r="L16" s="4">
        <f t="shared" si="1"/>
        <v>10.189028091502673</v>
      </c>
      <c r="M16" s="4">
        <f t="shared" si="1"/>
        <v>30.570141288636883</v>
      </c>
    </row>
    <row r="17" spans="1:13">
      <c r="A17" s="4" t="str">
        <f>A83</f>
        <v>Cv-ost-05</v>
      </c>
      <c r="B17" s="4">
        <f t="shared" ref="B17:M17" si="2">B83</f>
        <v>36.951571428571427</v>
      </c>
      <c r="C17" s="4">
        <f t="shared" si="2"/>
        <v>26.941285714285716</v>
      </c>
      <c r="D17" s="4">
        <f t="shared" si="2"/>
        <v>18.475785714285713</v>
      </c>
      <c r="E17" s="4">
        <f t="shared" si="2"/>
        <v>13.470642857142858</v>
      </c>
      <c r="F17" s="4">
        <f t="shared" si="2"/>
        <v>802.12715740518331</v>
      </c>
      <c r="G17" s="4">
        <f t="shared" si="2"/>
        <v>114</v>
      </c>
      <c r="H17" s="4">
        <f t="shared" si="2"/>
        <v>91442.495944190901</v>
      </c>
      <c r="I17" s="4">
        <f t="shared" si="2"/>
        <v>206932.27600000001</v>
      </c>
      <c r="J17" s="4">
        <f t="shared" si="2"/>
        <v>0.44189576276728765</v>
      </c>
      <c r="K17" s="4">
        <f t="shared" si="2"/>
        <v>44.189576276728765</v>
      </c>
      <c r="L17" s="4">
        <f t="shared" si="2"/>
        <v>14.728385773033697</v>
      </c>
      <c r="M17" s="4">
        <f t="shared" si="2"/>
        <v>44.189576276728765</v>
      </c>
    </row>
    <row r="18" spans="1:13">
      <c r="A18" s="4"/>
      <c r="B18" s="4"/>
      <c r="C18" s="4"/>
      <c r="D18" s="4"/>
      <c r="E18" s="4"/>
      <c r="F18" s="4"/>
      <c r="G18" s="4"/>
      <c r="H18" s="4"/>
      <c r="I18" s="4"/>
      <c r="J18" s="4"/>
      <c r="K18" s="4"/>
      <c r="L18" s="4"/>
      <c r="M18" s="4"/>
    </row>
    <row r="19" spans="1:13">
      <c r="A19" s="4"/>
      <c r="B19" s="4"/>
      <c r="C19" s="4"/>
      <c r="D19" s="4"/>
      <c r="E19" s="4"/>
      <c r="F19" s="4"/>
      <c r="G19" s="4"/>
      <c r="H19" s="4"/>
      <c r="I19" s="4"/>
      <c r="J19" s="4"/>
      <c r="K19" s="4"/>
      <c r="L19" s="4"/>
      <c r="M19" s="4"/>
    </row>
    <row r="20" spans="1:13">
      <c r="A20" s="4"/>
      <c r="B20" s="4"/>
      <c r="C20" s="4"/>
      <c r="D20" s="4"/>
      <c r="E20" s="4"/>
      <c r="F20" s="4"/>
      <c r="G20" s="4"/>
      <c r="H20" s="4"/>
      <c r="I20" s="4"/>
      <c r="J20" s="4"/>
      <c r="K20" s="4"/>
      <c r="L20" s="4"/>
      <c r="M20" s="4"/>
    </row>
    <row r="21" spans="1:13">
      <c r="A21" s="4"/>
      <c r="B21" s="4"/>
      <c r="C21" s="4"/>
      <c r="D21" s="4"/>
      <c r="E21" s="4"/>
      <c r="F21" s="4"/>
      <c r="G21" s="4"/>
      <c r="H21" s="4"/>
      <c r="I21" s="4"/>
      <c r="J21" s="4"/>
      <c r="K21" s="4"/>
      <c r="L21" s="4"/>
      <c r="M21" s="4"/>
    </row>
    <row r="22" spans="1:13">
      <c r="A22" s="4"/>
      <c r="B22" s="4"/>
      <c r="C22" s="4"/>
      <c r="D22" s="4"/>
      <c r="E22" s="4"/>
      <c r="F22" s="4"/>
      <c r="G22" s="4"/>
      <c r="H22" s="4"/>
      <c r="I22" s="4"/>
      <c r="J22" s="4"/>
      <c r="K22" s="4"/>
      <c r="L22" s="4"/>
      <c r="M22" s="4"/>
    </row>
    <row r="23" spans="1:13" ht="16" thickBot="1">
      <c r="A23" s="4"/>
      <c r="B23" s="5">
        <f>AVERAGE(B15:C22)</f>
        <v>31.19580952380953</v>
      </c>
      <c r="C23" s="5"/>
      <c r="D23" s="5">
        <f>AVERAGE(D15:E22)</f>
        <v>15.597904761904765</v>
      </c>
      <c r="E23" s="5"/>
      <c r="F23" s="5">
        <f>AVERAGE(F15:F22)</f>
        <v>750.92526371668339</v>
      </c>
      <c r="G23" s="5">
        <f t="shared" ref="G23:M23" si="3">AVERAGE(G15:G22)</f>
        <v>107.33333333333333</v>
      </c>
      <c r="H23" s="5">
        <f t="shared" si="3"/>
        <v>80544.485982682105</v>
      </c>
      <c r="I23" s="5">
        <f t="shared" si="3"/>
        <v>209849.54</v>
      </c>
      <c r="J23" s="5">
        <f t="shared" si="3"/>
        <v>0.38471454201444044</v>
      </c>
      <c r="K23" s="5">
        <f t="shared" si="3"/>
        <v>38.47145420144404</v>
      </c>
      <c r="L23" s="5">
        <f t="shared" si="3"/>
        <v>12.8225356853413</v>
      </c>
      <c r="M23" s="5">
        <f t="shared" si="3"/>
        <v>38.47145420144404</v>
      </c>
    </row>
    <row r="24" spans="1:13">
      <c r="A24" t="s">
        <v>85</v>
      </c>
      <c r="B24" t="s">
        <v>86</v>
      </c>
    </row>
    <row r="25" spans="1:13">
      <c r="A25" s="11"/>
      <c r="B25" s="11"/>
      <c r="C25" s="11"/>
      <c r="D25" s="11"/>
      <c r="E25" s="11"/>
      <c r="F25" s="11"/>
      <c r="G25" s="11"/>
      <c r="H25" s="11"/>
      <c r="I25" s="11"/>
    </row>
    <row r="26" spans="1:13">
      <c r="A26" s="11"/>
      <c r="B26" s="11"/>
      <c r="C26" s="11"/>
      <c r="D26" s="11"/>
      <c r="E26" s="11"/>
      <c r="F26" s="11"/>
      <c r="G26" s="11"/>
      <c r="H26" s="11"/>
      <c r="I26" s="11"/>
    </row>
    <row r="27" spans="1:13">
      <c r="A27" s="11"/>
      <c r="B27" s="11"/>
      <c r="C27" s="11"/>
      <c r="D27" s="11"/>
      <c r="E27" s="11"/>
      <c r="F27" s="11"/>
      <c r="G27" s="11"/>
      <c r="H27" s="11"/>
      <c r="I27" s="11"/>
    </row>
    <row r="28" spans="1:13" ht="46" thickBot="1">
      <c r="A28" s="60" t="s">
        <v>4</v>
      </c>
      <c r="B28" s="60" t="s">
        <v>5</v>
      </c>
      <c r="C28" s="60" t="s">
        <v>79</v>
      </c>
      <c r="D28" s="60" t="s">
        <v>10</v>
      </c>
      <c r="E28" s="60" t="s">
        <v>80</v>
      </c>
      <c r="F28" s="60" t="s">
        <v>6</v>
      </c>
      <c r="G28" s="60" t="s">
        <v>7</v>
      </c>
      <c r="H28" s="60" t="s">
        <v>13</v>
      </c>
      <c r="I28" s="60" t="s">
        <v>14</v>
      </c>
      <c r="J28" s="60" t="s">
        <v>11</v>
      </c>
      <c r="K28" s="60" t="s">
        <v>9</v>
      </c>
      <c r="L28" s="60" t="s">
        <v>91</v>
      </c>
      <c r="M28" s="60" t="s">
        <v>92</v>
      </c>
    </row>
    <row r="29" spans="1:13" ht="16" thickTop="1">
      <c r="A29" s="11" t="s">
        <v>167</v>
      </c>
      <c r="B29" s="66">
        <v>36.904000000000003</v>
      </c>
      <c r="C29" s="66">
        <v>35.411999999999999</v>
      </c>
      <c r="D29" s="11">
        <f>B29/2</f>
        <v>18.452000000000002</v>
      </c>
      <c r="E29" s="11">
        <f>C29/2</f>
        <v>17.706</v>
      </c>
      <c r="F29" s="11">
        <f>PI()*D29*E29</f>
        <v>1026.3932293053522</v>
      </c>
      <c r="G29" s="11"/>
      <c r="H29" s="11"/>
      <c r="I29" s="11"/>
    </row>
    <row r="30" spans="1:13">
      <c r="A30" s="11"/>
      <c r="B30" s="66">
        <v>50.744</v>
      </c>
      <c r="C30" s="66">
        <v>29.905999999999999</v>
      </c>
      <c r="D30" s="11">
        <f>B30/2</f>
        <v>25.372</v>
      </c>
      <c r="E30" s="11">
        <f>C30/2</f>
        <v>14.952999999999999</v>
      </c>
      <c r="F30" s="11">
        <f t="shared" ref="F30:F44" si="4">PI()*D30*E30</f>
        <v>1191.88103312928</v>
      </c>
      <c r="G30" s="11"/>
      <c r="H30" s="11"/>
      <c r="I30" s="11"/>
    </row>
    <row r="31" spans="1:13">
      <c r="A31" s="11"/>
      <c r="B31" s="66">
        <v>34.232999999999997</v>
      </c>
      <c r="C31" s="66">
        <v>23.786999999999999</v>
      </c>
      <c r="D31" s="11">
        <f t="shared" ref="D31:D44" si="5">B31/2</f>
        <v>17.116499999999998</v>
      </c>
      <c r="E31" s="11">
        <f t="shared" ref="E31:E44" si="6">C31/2</f>
        <v>11.8935</v>
      </c>
      <c r="F31" s="11">
        <f t="shared" si="4"/>
        <v>639.55001583726073</v>
      </c>
      <c r="G31" s="11"/>
      <c r="H31" s="11"/>
      <c r="I31" s="11"/>
    </row>
    <row r="32" spans="1:13">
      <c r="A32" s="11"/>
      <c r="B32" s="66">
        <v>46.561999999999998</v>
      </c>
      <c r="C32" s="66">
        <v>20.678999999999998</v>
      </c>
      <c r="D32" s="11">
        <f t="shared" si="5"/>
        <v>23.280999999999999</v>
      </c>
      <c r="E32" s="11">
        <f t="shared" si="6"/>
        <v>10.339499999999999</v>
      </c>
      <c r="F32" s="11">
        <f t="shared" si="4"/>
        <v>756.22501828615168</v>
      </c>
      <c r="G32" s="11"/>
      <c r="H32" s="11"/>
      <c r="I32" s="11"/>
    </row>
    <row r="33" spans="1:13">
      <c r="A33" s="11"/>
      <c r="B33" s="66">
        <v>36.411999999999999</v>
      </c>
      <c r="C33" s="66">
        <v>21.95</v>
      </c>
      <c r="D33" s="11">
        <f t="shared" si="5"/>
        <v>18.206</v>
      </c>
      <c r="E33" s="11">
        <f t="shared" si="6"/>
        <v>10.975</v>
      </c>
      <c r="F33" s="11">
        <f t="shared" si="4"/>
        <v>627.72429846753209</v>
      </c>
      <c r="G33" s="11"/>
      <c r="H33" s="11"/>
      <c r="I33" s="11"/>
    </row>
    <row r="34" spans="1:13">
      <c r="A34" s="11"/>
      <c r="B34" s="66">
        <v>40.792999999999999</v>
      </c>
      <c r="C34" s="66">
        <v>33.343000000000004</v>
      </c>
      <c r="D34" s="11">
        <f t="shared" si="5"/>
        <v>20.3965</v>
      </c>
      <c r="E34" s="11">
        <f t="shared" si="6"/>
        <v>16.671500000000002</v>
      </c>
      <c r="F34" s="11">
        <f t="shared" si="4"/>
        <v>1068.2679505394385</v>
      </c>
      <c r="G34" s="11"/>
      <c r="H34" s="11"/>
      <c r="I34" s="11"/>
    </row>
    <row r="35" spans="1:13">
      <c r="A35" s="11"/>
      <c r="B35" s="66">
        <v>29.469000000000001</v>
      </c>
      <c r="C35" s="66">
        <v>28.73</v>
      </c>
      <c r="D35" s="11">
        <f t="shared" si="5"/>
        <v>14.734500000000001</v>
      </c>
      <c r="E35" s="11">
        <f t="shared" si="6"/>
        <v>14.365</v>
      </c>
      <c r="F35" s="11">
        <f t="shared" si="4"/>
        <v>664.95293324878969</v>
      </c>
      <c r="G35" s="11"/>
      <c r="H35" s="11"/>
      <c r="I35" s="11"/>
    </row>
    <row r="36" spans="1:13">
      <c r="A36" s="11"/>
      <c r="B36" s="66">
        <v>38.997</v>
      </c>
      <c r="C36" s="66">
        <v>25.771999999999998</v>
      </c>
      <c r="D36" s="11">
        <f t="shared" si="5"/>
        <v>19.4985</v>
      </c>
      <c r="E36" s="11">
        <f t="shared" si="6"/>
        <v>12.885999999999999</v>
      </c>
      <c r="F36" s="11">
        <f t="shared" si="4"/>
        <v>789.34925337168124</v>
      </c>
      <c r="G36" s="11"/>
      <c r="H36" s="11"/>
      <c r="I36" s="11"/>
    </row>
    <row r="37" spans="1:13">
      <c r="A37" s="11"/>
      <c r="B37" s="66">
        <v>30.577999999999999</v>
      </c>
      <c r="C37" s="66">
        <v>31.826000000000001</v>
      </c>
      <c r="D37" s="11">
        <f t="shared" si="5"/>
        <v>15.289</v>
      </c>
      <c r="E37" s="11">
        <f t="shared" si="6"/>
        <v>15.913</v>
      </c>
      <c r="F37" s="11">
        <f t="shared" si="4"/>
        <v>764.3301938147257</v>
      </c>
      <c r="G37" s="11"/>
      <c r="H37" s="11"/>
      <c r="I37" s="11"/>
    </row>
    <row r="38" spans="1:13">
      <c r="A38" s="11"/>
      <c r="B38" s="66">
        <v>43.036999999999999</v>
      </c>
      <c r="C38" s="66">
        <v>29.55</v>
      </c>
      <c r="D38" s="11">
        <f t="shared" si="5"/>
        <v>21.5185</v>
      </c>
      <c r="E38" s="11">
        <f t="shared" si="6"/>
        <v>14.775</v>
      </c>
      <c r="F38" s="11">
        <f t="shared" si="4"/>
        <v>998.82489140291818</v>
      </c>
      <c r="G38" s="11"/>
      <c r="H38" s="11"/>
      <c r="I38" s="11"/>
    </row>
    <row r="39" spans="1:13">
      <c r="A39" s="11"/>
      <c r="B39" s="66">
        <v>36.831000000000003</v>
      </c>
      <c r="C39" s="66">
        <v>26.292000000000002</v>
      </c>
      <c r="D39" s="11">
        <f t="shared" si="5"/>
        <v>18.415500000000002</v>
      </c>
      <c r="E39" s="11">
        <f t="shared" si="6"/>
        <v>13.146000000000001</v>
      </c>
      <c r="F39" s="11">
        <f t="shared" si="4"/>
        <v>760.54867758715568</v>
      </c>
      <c r="G39" s="11"/>
      <c r="H39" s="11"/>
      <c r="I39" s="11"/>
    </row>
    <row r="40" spans="1:13">
      <c r="A40" s="11"/>
      <c r="B40" s="66">
        <v>42.895000000000003</v>
      </c>
      <c r="C40" s="66">
        <v>33.424999999999997</v>
      </c>
      <c r="D40" s="11">
        <f t="shared" si="5"/>
        <v>21.447500000000002</v>
      </c>
      <c r="E40" s="11">
        <f t="shared" si="6"/>
        <v>16.712499999999999</v>
      </c>
      <c r="F40" s="11">
        <f t="shared" si="4"/>
        <v>1126.0766922678538</v>
      </c>
      <c r="G40" s="11"/>
      <c r="H40" s="11"/>
      <c r="I40" s="11"/>
    </row>
    <row r="41" spans="1:13">
      <c r="A41" s="11"/>
      <c r="B41" s="66">
        <v>36.646000000000001</v>
      </c>
      <c r="C41" s="66">
        <v>25.437999999999999</v>
      </c>
      <c r="D41" s="11">
        <f t="shared" si="5"/>
        <v>18.323</v>
      </c>
      <c r="E41" s="11">
        <f t="shared" si="6"/>
        <v>12.718999999999999</v>
      </c>
      <c r="F41" s="11">
        <f t="shared" si="4"/>
        <v>732.1489124765601</v>
      </c>
      <c r="G41" s="11"/>
      <c r="H41" s="11"/>
      <c r="I41" s="11"/>
    </row>
    <row r="42" spans="1:13">
      <c r="A42" s="11"/>
      <c r="B42" s="66">
        <v>27.271999999999998</v>
      </c>
      <c r="C42" s="66">
        <v>36.735999999999997</v>
      </c>
      <c r="D42" s="11">
        <f t="shared" si="5"/>
        <v>13.635999999999999</v>
      </c>
      <c r="E42" s="11">
        <f t="shared" si="6"/>
        <v>18.367999999999999</v>
      </c>
      <c r="F42" s="11">
        <f t="shared" si="4"/>
        <v>786.86229637046847</v>
      </c>
      <c r="G42" s="11"/>
      <c r="H42" s="11"/>
      <c r="I42" s="11"/>
    </row>
    <row r="43" spans="1:13">
      <c r="A43" s="11"/>
      <c r="B43" s="66">
        <v>38.326999999999998</v>
      </c>
      <c r="C43" s="66">
        <v>29.321999999999999</v>
      </c>
      <c r="D43" s="11">
        <f t="shared" si="5"/>
        <v>19.163499999999999</v>
      </c>
      <c r="E43" s="11">
        <f t="shared" si="6"/>
        <v>14.661</v>
      </c>
      <c r="F43" s="11">
        <f t="shared" si="4"/>
        <v>882.64953648903395</v>
      </c>
      <c r="G43" s="11"/>
      <c r="H43" s="11"/>
      <c r="I43" s="11"/>
    </row>
    <row r="44" spans="1:13">
      <c r="A44" s="11"/>
      <c r="B44" s="104">
        <v>35.451000000000001</v>
      </c>
      <c r="C44" s="104">
        <v>21.312000000000001</v>
      </c>
      <c r="D44" s="105">
        <f t="shared" si="5"/>
        <v>17.7255</v>
      </c>
      <c r="E44" s="105">
        <f t="shared" si="6"/>
        <v>10.656000000000001</v>
      </c>
      <c r="F44" s="105">
        <f t="shared" si="4"/>
        <v>593.39321899332981</v>
      </c>
      <c r="G44" s="33"/>
      <c r="H44" s="33"/>
      <c r="I44" s="33"/>
    </row>
    <row r="45" spans="1:13">
      <c r="A45" s="11" t="s">
        <v>167</v>
      </c>
      <c r="B45" s="11">
        <f>AVERAGE(B29:B44)</f>
        <v>37.821937500000004</v>
      </c>
      <c r="C45" s="11">
        <f t="shared" ref="C45:F45" si="7">AVERAGE(C29:C44)</f>
        <v>28.342499999999998</v>
      </c>
      <c r="D45" s="11">
        <f t="shared" si="7"/>
        <v>18.910968750000002</v>
      </c>
      <c r="E45" s="11">
        <f t="shared" si="7"/>
        <v>14.171249999999999</v>
      </c>
      <c r="F45" s="11">
        <f t="shared" si="7"/>
        <v>838.07363447422074</v>
      </c>
      <c r="G45" s="11">
        <v>101</v>
      </c>
      <c r="H45" s="11">
        <f>G45*F45</f>
        <v>84645.437081896293</v>
      </c>
      <c r="I45" s="11">
        <v>208206.06599999999</v>
      </c>
      <c r="J45">
        <f>H45/I45</f>
        <v>0.40654645038966492</v>
      </c>
      <c r="K45">
        <f>J45*100</f>
        <v>40.654645038966493</v>
      </c>
      <c r="L45">
        <f>J45*33.33</f>
        <v>13.550193191487532</v>
      </c>
      <c r="M45">
        <f>K45</f>
        <v>40.654645038966493</v>
      </c>
    </row>
    <row r="46" spans="1:13">
      <c r="A46" s="11"/>
      <c r="B46" s="11"/>
      <c r="C46" s="11"/>
      <c r="D46" s="11"/>
      <c r="E46" s="11"/>
      <c r="F46" s="11"/>
      <c r="G46" s="11"/>
      <c r="H46" s="11"/>
      <c r="I46" s="11"/>
    </row>
    <row r="47" spans="1:13">
      <c r="A47" s="11"/>
      <c r="B47" s="11"/>
      <c r="C47" s="11"/>
      <c r="D47" s="11"/>
      <c r="E47" s="11"/>
      <c r="F47" s="11"/>
      <c r="G47" s="11"/>
      <c r="H47" s="11"/>
      <c r="I47" s="11"/>
    </row>
    <row r="48" spans="1:13" ht="46" thickBot="1">
      <c r="A48" s="60" t="s">
        <v>4</v>
      </c>
      <c r="B48" s="60" t="s">
        <v>5</v>
      </c>
      <c r="C48" s="60" t="s">
        <v>79</v>
      </c>
      <c r="D48" s="60" t="s">
        <v>10</v>
      </c>
      <c r="E48" s="60" t="s">
        <v>80</v>
      </c>
      <c r="F48" s="60" t="s">
        <v>6</v>
      </c>
      <c r="G48" s="60" t="s">
        <v>7</v>
      </c>
      <c r="H48" s="60" t="s">
        <v>13</v>
      </c>
      <c r="I48" s="60" t="s">
        <v>14</v>
      </c>
      <c r="J48" s="60" t="s">
        <v>11</v>
      </c>
      <c r="K48" s="60" t="s">
        <v>9</v>
      </c>
      <c r="L48" s="60" t="s">
        <v>91</v>
      </c>
      <c r="M48" s="60" t="s">
        <v>92</v>
      </c>
    </row>
    <row r="49" spans="1:9" ht="16" thickTop="1">
      <c r="A49" s="11" t="s">
        <v>168</v>
      </c>
      <c r="B49" s="11">
        <v>32.643000000000001</v>
      </c>
      <c r="C49" s="66">
        <v>18.047000000000001</v>
      </c>
      <c r="D49" s="11">
        <f>B49/2</f>
        <v>16.3215</v>
      </c>
      <c r="E49" s="11">
        <f>C49/2</f>
        <v>9.0235000000000003</v>
      </c>
      <c r="F49" s="11">
        <f t="shared" ref="F49" si="8">PI()*D49*E49</f>
        <v>462.68451481573811</v>
      </c>
      <c r="G49" s="11"/>
      <c r="H49" s="11"/>
      <c r="I49" s="11"/>
    </row>
    <row r="50" spans="1:9">
      <c r="A50" s="11"/>
      <c r="B50" s="11">
        <v>37.798999999999999</v>
      </c>
      <c r="C50" s="66">
        <v>22.108000000000001</v>
      </c>
      <c r="D50" s="11">
        <f t="shared" ref="D50:D64" si="9">B50/2</f>
        <v>18.8995</v>
      </c>
      <c r="E50" s="11">
        <f t="shared" ref="E50:E64" si="10">C50/2</f>
        <v>11.054</v>
      </c>
      <c r="F50" s="11">
        <f t="shared" ref="F50:F64" si="11">PI()*D50*E50</f>
        <v>656.32605856097541</v>
      </c>
      <c r="G50" s="11"/>
      <c r="H50" s="11"/>
      <c r="I50" s="11"/>
    </row>
    <row r="51" spans="1:9">
      <c r="A51" s="11"/>
      <c r="B51" s="66">
        <v>30.896999999999998</v>
      </c>
      <c r="C51" s="66">
        <v>24.166</v>
      </c>
      <c r="D51" s="11">
        <f t="shared" si="9"/>
        <v>15.448499999999999</v>
      </c>
      <c r="E51" s="11">
        <f t="shared" si="10"/>
        <v>12.083</v>
      </c>
      <c r="F51" s="11">
        <f t="shared" si="11"/>
        <v>586.42295951882852</v>
      </c>
      <c r="G51" s="11"/>
      <c r="H51" s="11"/>
      <c r="I51" s="11"/>
    </row>
    <row r="52" spans="1:9">
      <c r="A52" s="11"/>
      <c r="B52" s="11">
        <v>32.902999999999999</v>
      </c>
      <c r="C52" s="66">
        <v>26.577999999999999</v>
      </c>
      <c r="D52" s="11">
        <f t="shared" si="9"/>
        <v>16.451499999999999</v>
      </c>
      <c r="E52" s="11">
        <f t="shared" si="10"/>
        <v>13.289</v>
      </c>
      <c r="F52" s="11">
        <f t="shared" si="11"/>
        <v>686.82750046213607</v>
      </c>
      <c r="G52" s="11"/>
      <c r="H52" s="11"/>
      <c r="I52" s="11"/>
    </row>
    <row r="53" spans="1:9">
      <c r="A53" s="11"/>
      <c r="B53" s="11">
        <v>36.418999999999997</v>
      </c>
      <c r="C53" s="66">
        <v>24.975000000000001</v>
      </c>
      <c r="D53" s="11">
        <f t="shared" si="9"/>
        <v>18.209499999999998</v>
      </c>
      <c r="E53" s="11">
        <f t="shared" si="10"/>
        <v>12.487500000000001</v>
      </c>
      <c r="F53" s="11">
        <f t="shared" si="11"/>
        <v>714.37030742647244</v>
      </c>
      <c r="G53" s="11"/>
      <c r="H53" s="11"/>
      <c r="I53" s="11"/>
    </row>
    <row r="54" spans="1:9">
      <c r="A54" s="11"/>
      <c r="B54" s="11">
        <v>30.806000000000001</v>
      </c>
      <c r="C54" s="66">
        <v>24.74</v>
      </c>
      <c r="D54" s="11">
        <f t="shared" si="9"/>
        <v>15.403</v>
      </c>
      <c r="E54" s="11">
        <f t="shared" si="10"/>
        <v>12.37</v>
      </c>
      <c r="F54" s="11">
        <f t="shared" si="11"/>
        <v>598.58370182692306</v>
      </c>
      <c r="G54" s="11"/>
      <c r="H54" s="11"/>
      <c r="I54" s="11"/>
    </row>
    <row r="55" spans="1:9">
      <c r="A55" s="11"/>
      <c r="B55" s="11">
        <v>35.624000000000002</v>
      </c>
      <c r="C55" s="66">
        <v>21.431999999999999</v>
      </c>
      <c r="D55" s="11">
        <f t="shared" si="9"/>
        <v>17.812000000000001</v>
      </c>
      <c r="E55" s="11">
        <f t="shared" si="10"/>
        <v>10.715999999999999</v>
      </c>
      <c r="F55" s="11">
        <f t="shared" si="11"/>
        <v>599.64644607296475</v>
      </c>
      <c r="G55" s="11"/>
      <c r="H55" s="11"/>
      <c r="I55" s="11"/>
    </row>
    <row r="56" spans="1:9">
      <c r="A56" s="11"/>
      <c r="B56" s="11">
        <v>37.536999999999999</v>
      </c>
      <c r="C56" s="66">
        <v>20.352</v>
      </c>
      <c r="D56" s="11">
        <f t="shared" si="9"/>
        <v>18.7685</v>
      </c>
      <c r="E56" s="11">
        <f t="shared" si="10"/>
        <v>10.176</v>
      </c>
      <c r="F56" s="11">
        <f t="shared" si="11"/>
        <v>600.00730197152677</v>
      </c>
      <c r="G56" s="11"/>
      <c r="H56" s="11"/>
      <c r="I56" s="11"/>
    </row>
    <row r="57" spans="1:9">
      <c r="A57" s="11"/>
      <c r="B57" s="11">
        <v>43.137999999999998</v>
      </c>
      <c r="C57" s="66">
        <v>22.68</v>
      </c>
      <c r="D57" s="11">
        <f t="shared" si="9"/>
        <v>21.568999999999999</v>
      </c>
      <c r="E57" s="11">
        <f t="shared" si="10"/>
        <v>11.34</v>
      </c>
      <c r="F57" s="11">
        <f t="shared" si="11"/>
        <v>768.40987545945529</v>
      </c>
      <c r="G57" s="33"/>
      <c r="H57" s="33"/>
      <c r="I57" s="33"/>
    </row>
    <row r="58" spans="1:9">
      <c r="A58" s="11"/>
      <c r="B58" s="11">
        <v>33.593000000000004</v>
      </c>
      <c r="C58" s="66">
        <v>19.797999999999998</v>
      </c>
      <c r="D58" s="11">
        <f t="shared" si="9"/>
        <v>16.796500000000002</v>
      </c>
      <c r="E58" s="11">
        <f t="shared" si="10"/>
        <v>9.8989999999999991</v>
      </c>
      <c r="F58" s="11">
        <f t="shared" si="11"/>
        <v>522.34806619860149</v>
      </c>
      <c r="G58" s="11"/>
      <c r="H58" s="11"/>
      <c r="I58" s="11"/>
    </row>
    <row r="59" spans="1:9">
      <c r="A59" s="11"/>
      <c r="B59" s="11">
        <v>29.974</v>
      </c>
      <c r="C59" s="66">
        <v>21.035</v>
      </c>
      <c r="D59" s="11">
        <f t="shared" si="9"/>
        <v>14.987</v>
      </c>
      <c r="E59" s="11">
        <f t="shared" si="10"/>
        <v>10.5175</v>
      </c>
      <c r="F59" s="11">
        <f t="shared" si="11"/>
        <v>495.19596890241598</v>
      </c>
      <c r="G59" s="11"/>
      <c r="H59" s="11"/>
      <c r="I59" s="11"/>
    </row>
    <row r="60" spans="1:9">
      <c r="A60" s="11"/>
      <c r="B60" s="11">
        <v>30.875</v>
      </c>
      <c r="C60" s="66">
        <v>22.047000000000001</v>
      </c>
      <c r="D60" s="11">
        <f t="shared" si="9"/>
        <v>15.4375</v>
      </c>
      <c r="E60" s="11">
        <f t="shared" si="10"/>
        <v>11.0235</v>
      </c>
      <c r="F60" s="11">
        <f t="shared" si="11"/>
        <v>534.62141339757682</v>
      </c>
      <c r="G60" s="11"/>
      <c r="H60" s="11"/>
      <c r="I60" s="11"/>
    </row>
    <row r="61" spans="1:9">
      <c r="A61" s="11"/>
      <c r="B61" s="11">
        <v>39.210999999999999</v>
      </c>
      <c r="C61" s="66">
        <v>19.437000000000001</v>
      </c>
      <c r="D61" s="11">
        <f t="shared" si="9"/>
        <v>19.605499999999999</v>
      </c>
      <c r="E61" s="11">
        <f t="shared" si="10"/>
        <v>9.7185000000000006</v>
      </c>
      <c r="F61" s="11">
        <f t="shared" si="11"/>
        <v>598.58666042180459</v>
      </c>
      <c r="G61" s="11"/>
      <c r="H61" s="11"/>
      <c r="I61" s="11"/>
    </row>
    <row r="62" spans="1:9">
      <c r="A62" s="11"/>
      <c r="B62" s="11">
        <v>29.843</v>
      </c>
      <c r="C62" s="66">
        <v>23.984000000000002</v>
      </c>
      <c r="D62" s="11">
        <f t="shared" si="9"/>
        <v>14.9215</v>
      </c>
      <c r="E62" s="11">
        <f t="shared" si="10"/>
        <v>11.992000000000001</v>
      </c>
      <c r="F62" s="11">
        <f t="shared" si="11"/>
        <v>562.15227916823687</v>
      </c>
      <c r="G62" s="11"/>
      <c r="H62" s="11"/>
      <c r="I62" s="11"/>
    </row>
    <row r="63" spans="1:9">
      <c r="A63" s="11"/>
      <c r="B63" s="11">
        <v>43.311999999999998</v>
      </c>
      <c r="C63" s="66">
        <v>28.074000000000002</v>
      </c>
      <c r="D63" s="11">
        <f t="shared" si="9"/>
        <v>21.655999999999999</v>
      </c>
      <c r="E63" s="11">
        <f t="shared" si="10"/>
        <v>14.037000000000001</v>
      </c>
      <c r="F63" s="11">
        <f t="shared" si="11"/>
        <v>954.99789731469514</v>
      </c>
      <c r="G63" s="11"/>
      <c r="H63" s="11"/>
      <c r="I63" s="11"/>
    </row>
    <row r="64" spans="1:9">
      <c r="A64" s="11"/>
      <c r="B64" s="105">
        <v>30.896999999999998</v>
      </c>
      <c r="C64" s="104">
        <v>18.957000000000001</v>
      </c>
      <c r="D64" s="105">
        <f t="shared" si="9"/>
        <v>15.448499999999999</v>
      </c>
      <c r="E64" s="105">
        <f t="shared" si="10"/>
        <v>9.4785000000000004</v>
      </c>
      <c r="F64" s="105">
        <f t="shared" si="11"/>
        <v>460.01903681198507</v>
      </c>
      <c r="G64" s="11"/>
      <c r="H64" s="11"/>
      <c r="I64" s="11"/>
    </row>
    <row r="65" spans="1:13">
      <c r="A65" s="11" t="s">
        <v>168</v>
      </c>
      <c r="B65" s="11">
        <f>AVERAGE(B49:B64)</f>
        <v>34.7169375</v>
      </c>
      <c r="C65" s="11">
        <f t="shared" ref="C65" si="12">AVERAGE(C49:C64)</f>
        <v>22.400625000000002</v>
      </c>
      <c r="D65" s="11">
        <f t="shared" ref="D65" si="13">AVERAGE(D49:D64)</f>
        <v>17.35846875</v>
      </c>
      <c r="E65" s="11">
        <f t="shared" ref="E65" si="14">AVERAGE(E49:E64)</f>
        <v>11.200312500000001</v>
      </c>
      <c r="F65" s="11">
        <f t="shared" ref="F65" si="15">AVERAGE(F49:F64)</f>
        <v>612.574999270646</v>
      </c>
      <c r="G65" s="11">
        <v>107</v>
      </c>
      <c r="H65" s="11">
        <f>F65*G65</f>
        <v>65545.524921959121</v>
      </c>
      <c r="I65">
        <v>214410.27799999999</v>
      </c>
      <c r="J65">
        <f>H65/I65</f>
        <v>0.30570141288636882</v>
      </c>
      <c r="K65">
        <f>J65*100</f>
        <v>30.570141288636883</v>
      </c>
      <c r="L65">
        <f>J65*33.33</f>
        <v>10.189028091502673</v>
      </c>
      <c r="M65">
        <f>K65</f>
        <v>30.570141288636883</v>
      </c>
    </row>
    <row r="66" spans="1:13">
      <c r="A66" s="11"/>
      <c r="B66" s="11"/>
      <c r="C66" s="11"/>
      <c r="D66" s="11"/>
      <c r="E66" s="11"/>
      <c r="F66" s="11"/>
      <c r="G66" s="11"/>
      <c r="H66" s="11"/>
      <c r="I66" s="11"/>
    </row>
    <row r="67" spans="1:13">
      <c r="A67" s="11"/>
      <c r="B67" s="11"/>
      <c r="C67" s="11"/>
      <c r="D67" s="11"/>
      <c r="E67" s="11"/>
      <c r="F67" s="11"/>
      <c r="G67" s="11"/>
      <c r="H67" s="11"/>
      <c r="I67" s="11"/>
    </row>
    <row r="68" spans="1:13" ht="46" thickBot="1">
      <c r="A68" s="60" t="s">
        <v>4</v>
      </c>
      <c r="B68" s="60" t="s">
        <v>5</v>
      </c>
      <c r="C68" s="60" t="s">
        <v>79</v>
      </c>
      <c r="D68" s="60" t="s">
        <v>10</v>
      </c>
      <c r="E68" s="60" t="s">
        <v>80</v>
      </c>
      <c r="F68" s="60" t="s">
        <v>6</v>
      </c>
      <c r="G68" s="60" t="s">
        <v>7</v>
      </c>
      <c r="H68" s="60" t="s">
        <v>13</v>
      </c>
      <c r="I68" s="60" t="s">
        <v>14</v>
      </c>
      <c r="J68" s="60" t="s">
        <v>11</v>
      </c>
      <c r="K68" s="60" t="s">
        <v>9</v>
      </c>
      <c r="L68" s="60" t="s">
        <v>91</v>
      </c>
      <c r="M68" s="60" t="s">
        <v>92</v>
      </c>
    </row>
    <row r="69" spans="1:13" ht="16" thickTop="1">
      <c r="A69" s="11" t="s">
        <v>169</v>
      </c>
      <c r="B69">
        <v>37.777999999999999</v>
      </c>
      <c r="C69">
        <v>27.968</v>
      </c>
      <c r="D69" s="11">
        <f t="shared" ref="D69" si="16">B69/2</f>
        <v>18.888999999999999</v>
      </c>
      <c r="E69" s="11">
        <f t="shared" ref="E69" si="17">C69/2</f>
        <v>13.984</v>
      </c>
      <c r="F69" s="11">
        <f t="shared" ref="F69" si="18">PI()*D69*E69</f>
        <v>829.83214617306794</v>
      </c>
      <c r="G69" s="11"/>
      <c r="H69" s="11"/>
      <c r="I69" s="11"/>
    </row>
    <row r="70" spans="1:13">
      <c r="A70" s="11"/>
      <c r="B70">
        <v>31.236000000000001</v>
      </c>
      <c r="C70">
        <v>22.405999999999999</v>
      </c>
      <c r="D70" s="11">
        <f t="shared" ref="D70:D82" si="19">B70/2</f>
        <v>15.618</v>
      </c>
      <c r="E70" s="11">
        <f t="shared" ref="E70:E82" si="20">C70/2</f>
        <v>11.202999999999999</v>
      </c>
      <c r="F70" s="11">
        <f t="shared" ref="F70:F82" si="21">PI()*D70*E70</f>
        <v>549.67960969636363</v>
      </c>
      <c r="G70" s="33"/>
      <c r="H70" s="33"/>
      <c r="I70" s="33"/>
    </row>
    <row r="71" spans="1:13">
      <c r="A71" s="11"/>
      <c r="B71">
        <v>39.76</v>
      </c>
      <c r="C71">
        <v>24.155999999999999</v>
      </c>
      <c r="D71" s="11">
        <f t="shared" si="19"/>
        <v>19.88</v>
      </c>
      <c r="E71" s="11">
        <f t="shared" si="20"/>
        <v>12.077999999999999</v>
      </c>
      <c r="F71" s="11">
        <f t="shared" si="21"/>
        <v>754.32982267274338</v>
      </c>
      <c r="G71" s="11"/>
      <c r="H71" s="11"/>
      <c r="I71" s="11"/>
    </row>
    <row r="72" spans="1:13">
      <c r="A72" s="33"/>
      <c r="B72">
        <v>48.81</v>
      </c>
      <c r="C72">
        <v>42.706000000000003</v>
      </c>
      <c r="D72" s="11">
        <f t="shared" si="19"/>
        <v>24.405000000000001</v>
      </c>
      <c r="E72" s="11">
        <f t="shared" si="20"/>
        <v>21.353000000000002</v>
      </c>
      <c r="F72" s="11">
        <f t="shared" si="21"/>
        <v>1637.1466536829703</v>
      </c>
      <c r="G72" s="33"/>
      <c r="H72" s="33"/>
      <c r="I72" s="33"/>
    </row>
    <row r="73" spans="1:13">
      <c r="A73" s="11"/>
      <c r="B73">
        <v>44.722999999999999</v>
      </c>
      <c r="C73">
        <v>36.503</v>
      </c>
      <c r="D73" s="11">
        <f t="shared" si="19"/>
        <v>22.361499999999999</v>
      </c>
      <c r="E73" s="11">
        <f t="shared" si="20"/>
        <v>18.2515</v>
      </c>
      <c r="F73" s="11">
        <f t="shared" si="21"/>
        <v>1282.1810913354639</v>
      </c>
      <c r="G73" s="11"/>
      <c r="H73" s="11"/>
      <c r="I73" s="11"/>
    </row>
    <row r="74" spans="1:13">
      <c r="A74" s="11"/>
      <c r="B74">
        <v>34.161999999999999</v>
      </c>
      <c r="C74">
        <v>26.03</v>
      </c>
      <c r="D74" s="11">
        <f t="shared" si="19"/>
        <v>17.081</v>
      </c>
      <c r="E74" s="11">
        <f t="shared" si="20"/>
        <v>13.015000000000001</v>
      </c>
      <c r="F74" s="11">
        <f t="shared" si="21"/>
        <v>698.40499666931385</v>
      </c>
      <c r="G74" s="11"/>
      <c r="H74" s="11"/>
      <c r="I74" s="11"/>
    </row>
    <row r="75" spans="1:13">
      <c r="A75" s="11"/>
      <c r="B75">
        <v>36.088999999999999</v>
      </c>
      <c r="C75">
        <v>24.155999999999999</v>
      </c>
      <c r="D75" s="11">
        <f t="shared" si="19"/>
        <v>18.044499999999999</v>
      </c>
      <c r="E75" s="11">
        <f t="shared" si="20"/>
        <v>12.077999999999999</v>
      </c>
      <c r="F75" s="11">
        <f t="shared" si="21"/>
        <v>684.68332420615286</v>
      </c>
      <c r="G75" s="11"/>
      <c r="H75" s="11"/>
      <c r="I75" s="11"/>
    </row>
    <row r="76" spans="1:13">
      <c r="A76" s="11"/>
      <c r="B76">
        <v>41.795000000000002</v>
      </c>
      <c r="C76">
        <v>29.257000000000001</v>
      </c>
      <c r="D76" s="11">
        <f t="shared" si="19"/>
        <v>20.897500000000001</v>
      </c>
      <c r="E76" s="11">
        <f t="shared" si="20"/>
        <v>14.628500000000001</v>
      </c>
      <c r="F76" s="11">
        <f t="shared" si="21"/>
        <v>960.38198001016781</v>
      </c>
      <c r="G76" s="11"/>
      <c r="H76" s="11"/>
      <c r="I76" s="11"/>
    </row>
    <row r="77" spans="1:13">
      <c r="A77" s="11"/>
      <c r="B77">
        <v>36.052</v>
      </c>
      <c r="C77">
        <v>23.876000000000001</v>
      </c>
      <c r="D77" s="11">
        <f t="shared" si="19"/>
        <v>18.026</v>
      </c>
      <c r="E77" s="11">
        <f t="shared" si="20"/>
        <v>11.938000000000001</v>
      </c>
      <c r="F77" s="11">
        <f t="shared" si="21"/>
        <v>676.05310843455152</v>
      </c>
      <c r="G77" s="11"/>
      <c r="H77" s="11"/>
      <c r="I77" s="11"/>
    </row>
    <row r="78" spans="1:13">
      <c r="A78" s="11"/>
      <c r="B78">
        <v>29.658999999999999</v>
      </c>
      <c r="C78">
        <v>20.582000000000001</v>
      </c>
      <c r="D78" s="11">
        <f t="shared" si="19"/>
        <v>14.829499999999999</v>
      </c>
      <c r="E78" s="11">
        <f t="shared" si="20"/>
        <v>10.291</v>
      </c>
      <c r="F78" s="11">
        <f t="shared" si="21"/>
        <v>479.43966280671361</v>
      </c>
      <c r="G78" s="11"/>
      <c r="H78" s="11"/>
      <c r="I78" s="11"/>
    </row>
    <row r="79" spans="1:13">
      <c r="A79" s="11"/>
      <c r="B79">
        <v>31.312000000000001</v>
      </c>
      <c r="C79">
        <v>24.370999999999999</v>
      </c>
      <c r="D79" s="11">
        <f t="shared" si="19"/>
        <v>15.656000000000001</v>
      </c>
      <c r="E79" s="11">
        <f t="shared" si="20"/>
        <v>12.185499999999999</v>
      </c>
      <c r="F79" s="11">
        <f t="shared" si="21"/>
        <v>599.34107070066523</v>
      </c>
      <c r="G79" s="11"/>
      <c r="H79" s="11"/>
      <c r="I79" s="11"/>
    </row>
    <row r="80" spans="1:13">
      <c r="A80" s="11"/>
      <c r="B80">
        <v>45.655999999999999</v>
      </c>
      <c r="C80">
        <v>24.771000000000001</v>
      </c>
      <c r="D80" s="11">
        <f t="shared" si="19"/>
        <v>22.827999999999999</v>
      </c>
      <c r="E80" s="11">
        <f t="shared" si="20"/>
        <v>12.3855</v>
      </c>
      <c r="F80" s="11">
        <f t="shared" si="21"/>
        <v>888.24194997433847</v>
      </c>
      <c r="G80" s="11"/>
      <c r="H80" s="11"/>
      <c r="I80" s="11"/>
    </row>
    <row r="81" spans="1:13">
      <c r="A81" s="11"/>
      <c r="B81">
        <v>27.827000000000002</v>
      </c>
      <c r="C81">
        <v>26.05</v>
      </c>
      <c r="D81" s="11">
        <f t="shared" si="19"/>
        <v>13.913500000000001</v>
      </c>
      <c r="E81" s="11">
        <f t="shared" si="20"/>
        <v>13.025</v>
      </c>
      <c r="F81" s="11">
        <f t="shared" si="21"/>
        <v>569.32990574902374</v>
      </c>
      <c r="G81" s="11"/>
      <c r="H81" s="11"/>
      <c r="I81" s="11"/>
    </row>
    <row r="82" spans="1:13">
      <c r="A82" s="11"/>
      <c r="B82">
        <v>32.463000000000001</v>
      </c>
      <c r="C82">
        <v>24.346</v>
      </c>
      <c r="D82" s="11">
        <f t="shared" si="19"/>
        <v>16.2315</v>
      </c>
      <c r="E82" s="11">
        <f t="shared" si="20"/>
        <v>12.173</v>
      </c>
      <c r="F82" s="11">
        <f t="shared" si="21"/>
        <v>620.73488156102928</v>
      </c>
      <c r="G82" s="11"/>
      <c r="H82" s="11"/>
      <c r="I82" s="11"/>
    </row>
    <row r="83" spans="1:13">
      <c r="A83" s="11" t="s">
        <v>169</v>
      </c>
      <c r="B83" s="10">
        <f>AVERAGE(B69:B82)</f>
        <v>36.951571428571427</v>
      </c>
      <c r="C83" s="10">
        <f t="shared" ref="C83:F83" si="22">AVERAGE(C69:C82)</f>
        <v>26.941285714285716</v>
      </c>
      <c r="D83" s="10">
        <f t="shared" si="22"/>
        <v>18.475785714285713</v>
      </c>
      <c r="E83" s="10">
        <f t="shared" si="22"/>
        <v>13.470642857142858</v>
      </c>
      <c r="F83" s="10">
        <f t="shared" si="22"/>
        <v>802.12715740518331</v>
      </c>
      <c r="G83" s="11">
        <v>114</v>
      </c>
      <c r="H83" s="11">
        <f>F83*G83</f>
        <v>91442.495944190901</v>
      </c>
      <c r="I83">
        <v>206932.27600000001</v>
      </c>
      <c r="J83">
        <f>H83/I83</f>
        <v>0.44189576276728765</v>
      </c>
      <c r="K83">
        <f>J83*100</f>
        <v>44.189576276728765</v>
      </c>
      <c r="L83">
        <f>J83*33.33</f>
        <v>14.728385773033697</v>
      </c>
      <c r="M83">
        <f>K83</f>
        <v>44.189576276728765</v>
      </c>
    </row>
    <row r="84" spans="1:13">
      <c r="A84" s="11"/>
      <c r="B84" s="11"/>
      <c r="C84" s="11"/>
      <c r="D84" s="11"/>
      <c r="E84" s="11"/>
      <c r="F84" s="11"/>
      <c r="G84" s="11"/>
      <c r="H84" s="11"/>
      <c r="I84" s="11"/>
    </row>
    <row r="85" spans="1:13">
      <c r="A85" s="11"/>
      <c r="B85" s="11"/>
      <c r="C85" s="11"/>
      <c r="D85" s="11"/>
      <c r="E85" s="11"/>
      <c r="F85" s="11"/>
      <c r="G85" s="11"/>
      <c r="H85" s="11"/>
      <c r="I85" s="11"/>
    </row>
    <row r="86" spans="1:13">
      <c r="A86" s="11"/>
      <c r="B86" s="11"/>
      <c r="C86" s="11"/>
      <c r="D86" s="11"/>
      <c r="E86" s="11"/>
      <c r="F86" s="11"/>
      <c r="G86" s="11"/>
      <c r="H86" s="11"/>
      <c r="I86" s="11"/>
    </row>
    <row r="87" spans="1:13">
      <c r="A87" s="11"/>
      <c r="B87" s="11"/>
      <c r="C87" s="11"/>
      <c r="D87" s="11"/>
      <c r="E87" s="11"/>
      <c r="F87" s="11"/>
      <c r="G87" s="11"/>
      <c r="H87" s="11"/>
      <c r="I87" s="11"/>
    </row>
    <row r="88" spans="1:13">
      <c r="A88" s="11"/>
      <c r="B88" s="11"/>
      <c r="C88" s="11"/>
      <c r="D88" s="11"/>
      <c r="E88" s="11"/>
      <c r="F88" s="11"/>
      <c r="G88" s="11"/>
      <c r="H88" s="11"/>
      <c r="I88" s="11"/>
    </row>
    <row r="89" spans="1:13">
      <c r="A89" s="11"/>
      <c r="B89" s="11"/>
      <c r="C89" s="11"/>
      <c r="D89" s="11"/>
      <c r="E89" s="11"/>
      <c r="F89" s="11"/>
      <c r="G89" s="11"/>
      <c r="H89" s="11"/>
      <c r="I89" s="11"/>
    </row>
    <row r="90" spans="1:13">
      <c r="A90" s="11"/>
      <c r="B90" s="11"/>
      <c r="C90" s="11"/>
      <c r="D90" s="11"/>
      <c r="E90" s="11"/>
      <c r="F90" s="11"/>
      <c r="G90" s="11"/>
      <c r="H90" s="11"/>
      <c r="I90" s="11"/>
    </row>
    <row r="91" spans="1:13">
      <c r="A91" s="11"/>
      <c r="B91" s="11"/>
      <c r="C91" s="11"/>
      <c r="D91" s="11"/>
      <c r="E91" s="11"/>
      <c r="F91" s="33"/>
      <c r="G91" s="33"/>
      <c r="H91" s="33"/>
      <c r="I91" s="33"/>
    </row>
    <row r="92" spans="1:13">
      <c r="A92" s="11"/>
      <c r="B92" s="11"/>
      <c r="C92" s="11"/>
      <c r="D92" s="11"/>
      <c r="E92" s="11"/>
      <c r="F92" s="11"/>
      <c r="G92" s="11"/>
      <c r="H92" s="11"/>
      <c r="I92" s="11"/>
    </row>
    <row r="93" spans="1:13">
      <c r="A93" s="11"/>
      <c r="B93" s="11"/>
      <c r="C93" s="11"/>
      <c r="D93" s="11"/>
      <c r="E93" s="11"/>
      <c r="F93" s="11"/>
      <c r="G93" s="11"/>
      <c r="H93" s="11"/>
      <c r="I93" s="11"/>
    </row>
    <row r="94" spans="1:13">
      <c r="A94" s="11"/>
      <c r="B94" s="11"/>
      <c r="C94" s="11"/>
      <c r="D94" s="11"/>
      <c r="E94" s="11"/>
      <c r="F94" s="11"/>
      <c r="G94" s="11"/>
      <c r="H94" s="11"/>
      <c r="I94" s="11"/>
    </row>
    <row r="95" spans="1:13">
      <c r="A95" s="11"/>
      <c r="B95" s="11"/>
      <c r="C95" s="11"/>
      <c r="D95" s="11"/>
      <c r="E95" s="11"/>
      <c r="F95" s="11"/>
      <c r="G95" s="11"/>
      <c r="H95" s="11"/>
      <c r="I95" s="11"/>
    </row>
    <row r="96" spans="1:13">
      <c r="A96" s="11"/>
      <c r="B96" s="11"/>
      <c r="C96" s="11"/>
      <c r="D96" s="11"/>
      <c r="E96" s="11"/>
      <c r="F96" s="11"/>
      <c r="G96" s="11"/>
      <c r="H96" s="11"/>
      <c r="I96" s="11"/>
    </row>
    <row r="97" spans="1:9">
      <c r="A97" s="11"/>
      <c r="B97" s="11"/>
      <c r="C97" s="11"/>
      <c r="D97" s="11"/>
      <c r="E97" s="11"/>
      <c r="F97" s="11"/>
      <c r="G97" s="11"/>
      <c r="H97" s="11"/>
      <c r="I97" s="11"/>
    </row>
    <row r="98" spans="1:9">
      <c r="A98" s="11"/>
      <c r="B98" s="11"/>
      <c r="C98" s="11"/>
      <c r="D98" s="11"/>
      <c r="E98" s="11"/>
      <c r="F98" s="11"/>
      <c r="G98" s="11"/>
      <c r="H98" s="11"/>
      <c r="I98" s="11"/>
    </row>
    <row r="99" spans="1:9">
      <c r="A99" s="11"/>
      <c r="B99" s="11"/>
      <c r="C99" s="11"/>
      <c r="D99" s="11"/>
      <c r="E99" s="11"/>
      <c r="F99" s="11"/>
      <c r="G99" s="11"/>
      <c r="H99" s="11"/>
      <c r="I99" s="11"/>
    </row>
    <row r="100" spans="1:9">
      <c r="A100" s="11"/>
      <c r="B100" s="11"/>
      <c r="C100" s="11"/>
      <c r="D100" s="11"/>
      <c r="E100" s="11"/>
      <c r="F100" s="11"/>
      <c r="G100" s="11"/>
      <c r="H100" s="11"/>
      <c r="I100" s="11"/>
    </row>
    <row r="101" spans="1:9">
      <c r="A101" s="11"/>
      <c r="B101" s="11"/>
      <c r="C101" s="11"/>
      <c r="D101" s="11"/>
      <c r="E101" s="11"/>
      <c r="F101" s="11"/>
      <c r="G101" s="11"/>
      <c r="H101" s="11"/>
      <c r="I101" s="11"/>
    </row>
    <row r="102" spans="1:9">
      <c r="A102" s="11"/>
      <c r="B102" s="11"/>
      <c r="C102" s="11"/>
      <c r="D102" s="11"/>
      <c r="E102" s="11"/>
      <c r="F102" s="11"/>
      <c r="G102" s="11"/>
      <c r="H102" s="11"/>
      <c r="I102" s="11"/>
    </row>
    <row r="103" spans="1:9">
      <c r="A103" s="11"/>
      <c r="B103" s="11"/>
      <c r="C103" s="11"/>
      <c r="D103" s="11"/>
      <c r="E103" s="11"/>
      <c r="F103" s="11"/>
      <c r="G103" s="11"/>
      <c r="H103" s="11"/>
      <c r="I103" s="11"/>
    </row>
    <row r="104" spans="1:9">
      <c r="A104" s="11"/>
      <c r="B104" s="11"/>
      <c r="C104" s="11"/>
      <c r="D104" s="11"/>
      <c r="E104" s="11"/>
      <c r="F104" s="33"/>
      <c r="G104" s="33"/>
      <c r="H104" s="33"/>
      <c r="I104" s="33"/>
    </row>
    <row r="105" spans="1:9">
      <c r="A105" s="11"/>
      <c r="B105" s="11"/>
      <c r="C105" s="11"/>
      <c r="D105" s="11"/>
      <c r="E105" s="11"/>
      <c r="F105" s="11"/>
      <c r="G105" s="11"/>
      <c r="H105" s="11"/>
      <c r="I105" s="11"/>
    </row>
    <row r="106" spans="1:9">
      <c r="A106" s="11"/>
      <c r="B106" s="11"/>
      <c r="C106" s="11"/>
      <c r="D106" s="11"/>
      <c r="E106" s="11"/>
      <c r="F106" s="11"/>
      <c r="G106" s="11"/>
      <c r="H106" s="11"/>
      <c r="I106" s="11"/>
    </row>
    <row r="107" spans="1:9">
      <c r="A107" s="11"/>
      <c r="B107" s="11"/>
      <c r="C107" s="11"/>
      <c r="D107" s="11"/>
      <c r="E107" s="11"/>
      <c r="F107" s="11"/>
      <c r="G107" s="11"/>
      <c r="H107" s="11"/>
      <c r="I107" s="11"/>
    </row>
    <row r="108" spans="1:9">
      <c r="A108" s="11"/>
      <c r="B108" s="11"/>
      <c r="C108" s="11"/>
      <c r="D108" s="11"/>
      <c r="E108" s="11"/>
      <c r="F108" s="11"/>
      <c r="G108" s="11"/>
      <c r="H108" s="11"/>
      <c r="I108" s="11"/>
    </row>
    <row r="109" spans="1:9">
      <c r="A109" s="11"/>
      <c r="B109" s="11"/>
      <c r="C109" s="11"/>
      <c r="D109" s="11"/>
      <c r="E109" s="11"/>
      <c r="F109" s="11"/>
      <c r="G109" s="11"/>
      <c r="H109" s="11"/>
      <c r="I109" s="11"/>
    </row>
    <row r="110" spans="1:9">
      <c r="A110" s="11"/>
      <c r="B110" s="11"/>
      <c r="C110" s="11"/>
      <c r="D110" s="11"/>
      <c r="E110" s="11"/>
      <c r="F110" s="11"/>
      <c r="G110" s="11"/>
      <c r="H110" s="11"/>
      <c r="I110" s="11"/>
    </row>
    <row r="111" spans="1:9">
      <c r="A111" s="11"/>
      <c r="B111" s="11"/>
      <c r="C111" s="11"/>
      <c r="D111" s="11"/>
      <c r="E111" s="11"/>
      <c r="F111" s="11"/>
      <c r="G111" s="11"/>
      <c r="H111" s="11"/>
      <c r="I111" s="11"/>
    </row>
    <row r="112" spans="1:9">
      <c r="A112" s="11"/>
      <c r="B112" s="11"/>
      <c r="C112" s="11"/>
      <c r="D112" s="11"/>
      <c r="E112" s="11"/>
      <c r="F112" s="11"/>
      <c r="G112" s="11"/>
      <c r="H112" s="11"/>
      <c r="I112" s="11"/>
    </row>
    <row r="113" spans="1:9">
      <c r="A113" s="11"/>
      <c r="B113" s="11"/>
      <c r="C113" s="11"/>
      <c r="D113" s="11"/>
      <c r="E113" s="11"/>
      <c r="F113" s="11"/>
      <c r="G113" s="11"/>
      <c r="H113" s="11"/>
      <c r="I113" s="11"/>
    </row>
    <row r="114" spans="1:9">
      <c r="A114" s="11"/>
      <c r="B114" s="11"/>
      <c r="C114" s="11"/>
      <c r="D114" s="11"/>
      <c r="E114" s="11"/>
      <c r="F114" s="11"/>
      <c r="G114" s="11"/>
      <c r="H114" s="11"/>
      <c r="I114" s="11"/>
    </row>
    <row r="115" spans="1:9">
      <c r="A115" s="11"/>
      <c r="B115" s="11"/>
      <c r="C115" s="11"/>
      <c r="D115" s="11"/>
      <c r="E115" s="11"/>
      <c r="F115" s="11"/>
      <c r="G115" s="11"/>
      <c r="H115" s="11"/>
      <c r="I115" s="11"/>
    </row>
    <row r="116" spans="1:9">
      <c r="A116" s="11"/>
      <c r="B116" s="11"/>
      <c r="C116" s="11"/>
      <c r="D116" s="11"/>
      <c r="E116" s="11"/>
      <c r="F116" s="11"/>
      <c r="G116" s="11"/>
      <c r="H116" s="11"/>
      <c r="I116" s="11"/>
    </row>
    <row r="117" spans="1:9">
      <c r="A117" s="11"/>
      <c r="B117" s="11"/>
      <c r="C117" s="11"/>
      <c r="D117" s="11"/>
      <c r="E117" s="11"/>
      <c r="F117" s="33"/>
      <c r="G117" s="33"/>
      <c r="H117" s="33"/>
      <c r="I117" s="33"/>
    </row>
    <row r="118" spans="1:9">
      <c r="A118" s="11"/>
      <c r="B118" s="11"/>
      <c r="C118" s="11"/>
      <c r="D118" s="11"/>
      <c r="E118" s="11"/>
      <c r="F118" s="11"/>
      <c r="G118" s="11"/>
      <c r="H118" s="11"/>
      <c r="I118" s="11"/>
    </row>
    <row r="119" spans="1:9">
      <c r="A119" s="33"/>
      <c r="B119" s="33"/>
      <c r="C119" s="33"/>
      <c r="D119" s="33"/>
      <c r="E119" s="33"/>
      <c r="F119" s="33"/>
      <c r="G119" s="33"/>
      <c r="H119" s="33"/>
      <c r="I119" s="33"/>
    </row>
    <row r="120" spans="1:9">
      <c r="A120" s="11"/>
      <c r="B120" s="11"/>
      <c r="C120" s="11"/>
      <c r="D120" s="11"/>
      <c r="E120" s="11"/>
      <c r="F120" s="11"/>
      <c r="G120" s="11"/>
      <c r="H120" s="11"/>
      <c r="I120" s="11"/>
    </row>
    <row r="121" spans="1:9">
      <c r="A121" s="11"/>
      <c r="B121" s="11"/>
      <c r="C121" s="11"/>
      <c r="D121" s="11"/>
      <c r="E121" s="11"/>
      <c r="F121" s="11"/>
      <c r="G121" s="11"/>
      <c r="H121" s="11"/>
      <c r="I121" s="11"/>
    </row>
    <row r="122" spans="1:9">
      <c r="A122" s="11"/>
      <c r="B122" s="11"/>
      <c r="C122" s="11"/>
      <c r="D122" s="11"/>
      <c r="E122" s="11"/>
      <c r="F122" s="11"/>
      <c r="G122" s="11"/>
      <c r="H122" s="11"/>
      <c r="I122" s="11"/>
    </row>
    <row r="123" spans="1:9">
      <c r="A123" s="11"/>
      <c r="B123" s="11"/>
      <c r="C123" s="11"/>
      <c r="D123" s="11"/>
      <c r="E123" s="11"/>
      <c r="F123" s="11"/>
      <c r="G123" s="11"/>
      <c r="H123" s="11"/>
      <c r="I123" s="11"/>
    </row>
    <row r="124" spans="1:9">
      <c r="A124" s="11"/>
      <c r="B124" s="11"/>
      <c r="C124" s="11"/>
      <c r="D124" s="11"/>
      <c r="E124" s="11"/>
      <c r="F124" s="11"/>
      <c r="G124" s="11"/>
      <c r="H124" s="11"/>
      <c r="I124" s="11"/>
    </row>
    <row r="125" spans="1:9">
      <c r="A125" s="11"/>
      <c r="B125" s="11"/>
      <c r="C125" s="11"/>
      <c r="D125" s="11"/>
      <c r="E125" s="11"/>
      <c r="F125" s="11"/>
      <c r="G125" s="11"/>
      <c r="H125" s="11"/>
      <c r="I125" s="11"/>
    </row>
    <row r="126" spans="1:9">
      <c r="A126" s="11"/>
      <c r="B126" s="11"/>
      <c r="C126" s="11"/>
      <c r="D126" s="11"/>
      <c r="E126" s="11"/>
      <c r="F126" s="11"/>
      <c r="G126" s="11"/>
      <c r="H126" s="11"/>
      <c r="I126" s="11"/>
    </row>
    <row r="127" spans="1:9">
      <c r="A127" s="11"/>
      <c r="B127" s="11"/>
      <c r="C127" s="11"/>
      <c r="D127" s="11"/>
      <c r="E127" s="11"/>
      <c r="F127" s="11"/>
      <c r="G127" s="11"/>
      <c r="H127" s="11"/>
      <c r="I127" s="11"/>
    </row>
    <row r="128" spans="1:9">
      <c r="A128" s="11"/>
      <c r="B128" s="11"/>
      <c r="C128" s="11"/>
      <c r="D128" s="11"/>
      <c r="E128" s="11"/>
      <c r="F128" s="11"/>
      <c r="G128" s="11"/>
      <c r="H128" s="11"/>
      <c r="I128" s="11"/>
    </row>
    <row r="129" spans="1:9">
      <c r="A129" s="11"/>
      <c r="B129" s="11"/>
      <c r="C129" s="11"/>
      <c r="D129" s="11"/>
      <c r="E129" s="11"/>
      <c r="F129" s="11"/>
      <c r="G129" s="11"/>
      <c r="H129" s="11"/>
      <c r="I129" s="11"/>
    </row>
    <row r="130" spans="1:9">
      <c r="A130" s="11"/>
      <c r="B130" s="11"/>
      <c r="C130" s="11"/>
      <c r="D130" s="11"/>
      <c r="E130" s="11"/>
      <c r="F130" s="11"/>
      <c r="G130" s="11"/>
      <c r="H130" s="11"/>
      <c r="I130" s="11"/>
    </row>
    <row r="131" spans="1:9">
      <c r="A131" s="11"/>
      <c r="B131" s="11"/>
      <c r="C131" s="11"/>
      <c r="D131" s="11"/>
      <c r="E131" s="11"/>
      <c r="F131" s="33"/>
      <c r="G131" s="11"/>
      <c r="H131" s="11"/>
      <c r="I131" s="11"/>
    </row>
    <row r="132" spans="1:9">
      <c r="A132" s="11"/>
      <c r="B132" s="11"/>
      <c r="C132" s="11"/>
      <c r="D132" s="11"/>
      <c r="E132" s="11"/>
      <c r="F132" s="11"/>
      <c r="G132" s="11"/>
      <c r="H132" s="11"/>
      <c r="I132" s="11"/>
    </row>
    <row r="133" spans="1:9">
      <c r="A133" s="11"/>
      <c r="B133" s="11"/>
      <c r="C133" s="11"/>
      <c r="D133" s="11"/>
      <c r="E133" s="11"/>
      <c r="F133" s="11"/>
      <c r="G133" s="11"/>
      <c r="H133" s="11"/>
      <c r="I133" s="11"/>
    </row>
    <row r="134" spans="1:9">
      <c r="A134" s="11"/>
      <c r="B134" s="11"/>
      <c r="C134" s="11"/>
      <c r="D134" s="11"/>
      <c r="E134" s="11"/>
      <c r="F134" s="11"/>
      <c r="G134" s="11"/>
      <c r="H134" s="11"/>
      <c r="I134" s="11"/>
    </row>
    <row r="135" spans="1:9">
      <c r="A135" s="11"/>
      <c r="B135" s="11"/>
      <c r="C135" s="11"/>
      <c r="D135" s="11"/>
      <c r="E135" s="11"/>
      <c r="F135" s="11"/>
      <c r="G135" s="11"/>
      <c r="H135" s="11"/>
      <c r="I135" s="11"/>
    </row>
    <row r="136" spans="1:9">
      <c r="A136" s="11"/>
      <c r="B136" s="11"/>
      <c r="C136" s="11"/>
      <c r="D136" s="11"/>
      <c r="E136" s="11"/>
      <c r="F136" s="11"/>
      <c r="G136" s="11"/>
      <c r="H136" s="11"/>
      <c r="I136" s="11"/>
    </row>
    <row r="137" spans="1:9">
      <c r="A137" s="11"/>
      <c r="B137" s="11"/>
      <c r="C137" s="11"/>
      <c r="D137" s="11"/>
      <c r="E137" s="11"/>
      <c r="F137" s="11"/>
      <c r="G137" s="11"/>
      <c r="H137" s="11"/>
      <c r="I137" s="11"/>
    </row>
    <row r="138" spans="1:9">
      <c r="A138" s="11"/>
      <c r="B138" s="11"/>
      <c r="C138" s="11"/>
      <c r="D138" s="11"/>
      <c r="E138" s="11"/>
      <c r="F138" s="11"/>
      <c r="G138" s="11"/>
      <c r="H138" s="11"/>
      <c r="I138" s="11"/>
    </row>
    <row r="139" spans="1:9">
      <c r="A139" s="11"/>
      <c r="B139" s="11"/>
      <c r="C139" s="11"/>
      <c r="D139" s="11"/>
      <c r="E139" s="11"/>
      <c r="F139" s="11"/>
      <c r="G139" s="11"/>
      <c r="H139" s="11"/>
      <c r="I139" s="11"/>
    </row>
    <row r="140" spans="1:9">
      <c r="A140" s="11"/>
      <c r="B140" s="11"/>
      <c r="C140" s="11"/>
      <c r="D140" s="11"/>
      <c r="E140" s="11"/>
      <c r="F140" s="11"/>
      <c r="G140" s="11"/>
      <c r="H140" s="11"/>
      <c r="I140" s="11"/>
    </row>
    <row r="141" spans="1:9">
      <c r="A141" s="11"/>
      <c r="B141" s="11"/>
      <c r="C141" s="11"/>
      <c r="D141" s="11"/>
      <c r="E141" s="11"/>
      <c r="F141" s="11"/>
      <c r="G141" s="11"/>
      <c r="H141" s="11"/>
      <c r="I141" s="11"/>
    </row>
    <row r="142" spans="1:9">
      <c r="A142" s="11"/>
      <c r="B142" s="11"/>
      <c r="C142" s="11"/>
      <c r="D142" s="11"/>
      <c r="E142" s="11"/>
      <c r="F142" s="11"/>
      <c r="G142" s="11"/>
      <c r="H142" s="11"/>
      <c r="I142" s="11"/>
    </row>
    <row r="143" spans="1:9">
      <c r="A143" s="11"/>
      <c r="B143" s="11"/>
      <c r="C143" s="11"/>
      <c r="D143" s="11"/>
      <c r="E143" s="11"/>
      <c r="F143" s="11"/>
      <c r="G143" s="11"/>
      <c r="H143" s="11"/>
      <c r="I143" s="11"/>
    </row>
    <row r="144" spans="1:9">
      <c r="A144" s="11"/>
      <c r="B144" s="11"/>
      <c r="C144" s="11"/>
      <c r="D144" s="11"/>
      <c r="E144" s="11"/>
      <c r="F144" s="11"/>
      <c r="G144" s="11"/>
      <c r="H144" s="11"/>
      <c r="I144" s="11"/>
    </row>
    <row r="145" spans="1:9">
      <c r="A145" s="11"/>
      <c r="B145" s="11"/>
      <c r="C145" s="11"/>
      <c r="D145" s="11"/>
      <c r="E145" s="11"/>
      <c r="F145" s="11"/>
      <c r="G145" s="11"/>
      <c r="H145" s="11"/>
      <c r="I145" s="11"/>
    </row>
    <row r="146" spans="1:9">
      <c r="A146" s="11"/>
      <c r="B146" s="11"/>
      <c r="C146" s="11"/>
      <c r="D146" s="11"/>
      <c r="E146" s="11"/>
      <c r="F146" s="11"/>
      <c r="G146" s="11"/>
      <c r="H146" s="11"/>
      <c r="I146" s="11"/>
    </row>
    <row r="147" spans="1:9">
      <c r="A147" s="11"/>
      <c r="B147" s="11"/>
      <c r="C147" s="11"/>
      <c r="D147" s="11"/>
      <c r="E147" s="11"/>
      <c r="F147" s="11"/>
      <c r="G147" s="11"/>
      <c r="H147" s="11"/>
      <c r="I147" s="11"/>
    </row>
    <row r="148" spans="1:9">
      <c r="A148" s="11"/>
      <c r="B148" s="11"/>
      <c r="C148" s="11"/>
      <c r="D148" s="11"/>
      <c r="E148" s="11"/>
      <c r="F148" s="11"/>
      <c r="G148" s="11"/>
      <c r="H148" s="11"/>
      <c r="I148" s="11"/>
    </row>
    <row r="149" spans="1:9">
      <c r="A149" s="11"/>
      <c r="B149" s="11"/>
      <c r="C149" s="11"/>
      <c r="D149" s="11"/>
      <c r="E149" s="11"/>
      <c r="F149" s="11"/>
      <c r="G149" s="11"/>
      <c r="H149" s="11"/>
      <c r="I149" s="11"/>
    </row>
    <row r="150" spans="1:9">
      <c r="A150" s="11"/>
      <c r="B150" s="11"/>
      <c r="C150" s="11"/>
      <c r="D150" s="11"/>
      <c r="E150" s="11"/>
      <c r="F150" s="11"/>
      <c r="G150" s="11"/>
      <c r="H150" s="11"/>
      <c r="I150" s="11"/>
    </row>
    <row r="151" spans="1:9">
      <c r="A151" s="11"/>
      <c r="B151" s="11"/>
      <c r="C151" s="11"/>
      <c r="D151" s="11"/>
      <c r="E151" s="11"/>
      <c r="F151" s="11"/>
      <c r="G151" s="11"/>
      <c r="H151" s="11"/>
      <c r="I151" s="11"/>
    </row>
    <row r="152" spans="1:9">
      <c r="A152" s="11"/>
      <c r="B152" s="11"/>
      <c r="C152" s="11"/>
      <c r="D152" s="11"/>
      <c r="E152" s="11"/>
      <c r="F152" s="33"/>
      <c r="G152" s="11"/>
      <c r="H152" s="11"/>
      <c r="I152" s="11"/>
    </row>
    <row r="153" spans="1:9">
      <c r="A153" s="11"/>
      <c r="B153" s="11"/>
      <c r="C153" s="11"/>
      <c r="D153" s="11"/>
      <c r="E153" s="11"/>
      <c r="F153" s="11"/>
      <c r="G153" s="11"/>
      <c r="H153" s="11"/>
      <c r="I153" s="11"/>
    </row>
    <row r="154" spans="1:9">
      <c r="A154" s="11"/>
      <c r="B154" s="11"/>
      <c r="C154" s="11"/>
      <c r="D154" s="11"/>
      <c r="E154" s="11"/>
      <c r="F154" s="11"/>
      <c r="G154" s="11"/>
      <c r="H154" s="11"/>
      <c r="I154" s="11"/>
    </row>
    <row r="155" spans="1:9">
      <c r="A155" s="102"/>
      <c r="B155" s="11"/>
      <c r="C155" s="11"/>
      <c r="D155" s="11"/>
      <c r="E155" s="11"/>
      <c r="F155" s="11"/>
      <c r="G155" s="11"/>
      <c r="H155" s="11"/>
      <c r="I155" s="11"/>
    </row>
    <row r="156" spans="1:9">
      <c r="A156" s="102"/>
      <c r="B156" s="11"/>
      <c r="C156" s="11"/>
      <c r="D156" s="11"/>
      <c r="E156" s="11"/>
      <c r="F156" s="11"/>
      <c r="G156" s="11"/>
      <c r="H156" s="11"/>
      <c r="I156" s="11"/>
    </row>
    <row r="157" spans="1:9">
      <c r="A157" s="102"/>
      <c r="B157" s="11"/>
      <c r="C157" s="11"/>
      <c r="D157" s="11"/>
      <c r="E157" s="11"/>
      <c r="F157" s="11"/>
      <c r="G157" s="11"/>
      <c r="H157" s="11"/>
      <c r="I157" s="11"/>
    </row>
    <row r="158" spans="1:9">
      <c r="A158" s="102"/>
      <c r="B158" s="11"/>
      <c r="C158" s="11"/>
      <c r="D158" s="11"/>
      <c r="E158" s="11"/>
      <c r="F158" s="11"/>
      <c r="G158" s="11"/>
      <c r="H158" s="11"/>
      <c r="I158" s="11"/>
    </row>
    <row r="159" spans="1:9">
      <c r="A159" s="102"/>
      <c r="B159" s="11"/>
      <c r="C159" s="11"/>
      <c r="D159" s="11"/>
      <c r="E159" s="11"/>
      <c r="F159" s="11"/>
      <c r="G159" s="11"/>
      <c r="H159" s="11"/>
      <c r="I159" s="11"/>
    </row>
    <row r="160" spans="1:9">
      <c r="A160" s="102"/>
      <c r="B160" s="11"/>
      <c r="C160" s="11"/>
      <c r="D160" s="11"/>
      <c r="E160" s="11"/>
      <c r="F160" s="11"/>
      <c r="G160" s="11"/>
      <c r="H160" s="11"/>
      <c r="I160" s="11"/>
    </row>
    <row r="161" spans="1:9">
      <c r="A161" s="102"/>
      <c r="B161" s="11"/>
      <c r="C161" s="11"/>
      <c r="D161" s="11"/>
      <c r="E161" s="11"/>
      <c r="F161" s="11"/>
      <c r="G161" s="11"/>
      <c r="H161" s="11"/>
      <c r="I161" s="11"/>
    </row>
    <row r="162" spans="1:9">
      <c r="A162" s="102"/>
      <c r="B162" s="11"/>
      <c r="C162" s="11"/>
      <c r="D162" s="11"/>
      <c r="E162" s="11"/>
      <c r="F162" s="11"/>
      <c r="G162" s="11"/>
      <c r="H162" s="11"/>
      <c r="I162" s="11"/>
    </row>
    <row r="163" spans="1:9">
      <c r="A163" s="102"/>
      <c r="B163" s="11"/>
      <c r="C163" s="11"/>
      <c r="D163" s="11"/>
      <c r="E163" s="11"/>
      <c r="F163" s="11"/>
      <c r="G163" s="11"/>
      <c r="H163" s="11"/>
      <c r="I163" s="11"/>
    </row>
    <row r="164" spans="1:9">
      <c r="A164" s="102"/>
      <c r="B164" s="11"/>
      <c r="C164" s="11"/>
      <c r="D164" s="11"/>
      <c r="E164" s="11"/>
      <c r="F164" s="11"/>
      <c r="G164" s="11"/>
      <c r="H164" s="11"/>
      <c r="I164" s="11"/>
    </row>
    <row r="165" spans="1:9">
      <c r="A165" s="102"/>
      <c r="B165" s="11"/>
      <c r="C165" s="11"/>
      <c r="D165" s="11"/>
      <c r="E165" s="11"/>
      <c r="F165" s="11"/>
      <c r="G165" s="11"/>
      <c r="H165" s="11"/>
      <c r="I165" s="11"/>
    </row>
    <row r="166" spans="1:9">
      <c r="A166" s="102"/>
      <c r="B166" s="11"/>
      <c r="C166" s="11"/>
      <c r="D166" s="11"/>
      <c r="E166" s="11"/>
      <c r="F166" s="11"/>
      <c r="G166" s="11"/>
      <c r="H166" s="11"/>
      <c r="I166" s="11"/>
    </row>
    <row r="167" spans="1:9">
      <c r="A167" s="102"/>
      <c r="B167" s="11"/>
      <c r="C167" s="11"/>
      <c r="D167" s="11"/>
      <c r="E167" s="11"/>
      <c r="F167" s="11"/>
      <c r="G167" s="11"/>
      <c r="H167" s="11"/>
      <c r="I167" s="11"/>
    </row>
    <row r="168" spans="1:9">
      <c r="A168" s="102"/>
      <c r="B168" s="11"/>
      <c r="C168" s="11"/>
      <c r="D168" s="11"/>
      <c r="E168" s="11"/>
      <c r="F168" s="11"/>
      <c r="G168" s="11"/>
      <c r="H168" s="11"/>
      <c r="I168" s="11"/>
    </row>
    <row r="169" spans="1:9">
      <c r="A169" s="102"/>
      <c r="B169" s="11"/>
      <c r="C169" s="11"/>
      <c r="D169" s="11"/>
      <c r="E169" s="11"/>
      <c r="F169" s="11"/>
      <c r="G169" s="11"/>
      <c r="H169" s="11"/>
      <c r="I169" s="11"/>
    </row>
    <row r="170" spans="1:9">
      <c r="A170" s="102"/>
      <c r="B170" s="11"/>
      <c r="C170" s="11"/>
      <c r="D170" s="11"/>
      <c r="E170" s="11"/>
      <c r="F170" s="11"/>
      <c r="G170" s="11"/>
      <c r="H170" s="11"/>
      <c r="I170" s="11"/>
    </row>
    <row r="171" spans="1:9">
      <c r="A171" s="102"/>
      <c r="B171" s="11"/>
      <c r="C171" s="11"/>
      <c r="D171" s="11"/>
      <c r="E171" s="11"/>
      <c r="F171" s="11"/>
      <c r="G171" s="11"/>
      <c r="H171" s="11"/>
      <c r="I171" s="11"/>
    </row>
    <row r="172" spans="1:9">
      <c r="A172" s="102"/>
      <c r="B172" s="11"/>
      <c r="C172" s="11"/>
      <c r="D172" s="11"/>
      <c r="E172" s="11"/>
      <c r="F172" s="11"/>
      <c r="G172" s="11"/>
      <c r="H172" s="11"/>
      <c r="I172" s="11"/>
    </row>
    <row r="173" spans="1:9">
      <c r="A173" s="102"/>
      <c r="B173" s="11"/>
      <c r="C173" s="11"/>
      <c r="D173" s="11"/>
      <c r="E173" s="11"/>
      <c r="F173" s="11"/>
      <c r="G173" s="11"/>
      <c r="H173" s="11"/>
      <c r="I173" s="11"/>
    </row>
    <row r="174" spans="1:9">
      <c r="A174" s="102"/>
      <c r="B174" s="11"/>
      <c r="C174" s="11"/>
      <c r="D174" s="11"/>
      <c r="E174" s="11"/>
      <c r="F174" s="11"/>
      <c r="G174" s="11"/>
      <c r="H174" s="11"/>
      <c r="I174" s="11"/>
    </row>
    <row r="175" spans="1:9">
      <c r="A175" s="102"/>
      <c r="B175" s="11"/>
      <c r="C175" s="11"/>
      <c r="D175" s="11"/>
      <c r="E175" s="11"/>
      <c r="F175" s="11"/>
      <c r="G175" s="11"/>
      <c r="H175" s="11"/>
      <c r="I175" s="11"/>
    </row>
    <row r="176" spans="1:9">
      <c r="A176" s="102"/>
      <c r="B176" s="11"/>
      <c r="C176" s="11"/>
      <c r="D176" s="11"/>
      <c r="E176" s="11"/>
      <c r="F176" s="11"/>
      <c r="G176" s="11"/>
      <c r="H176" s="11"/>
      <c r="I176" s="11"/>
    </row>
    <row r="177" spans="1:9">
      <c r="A177" s="102"/>
      <c r="B177" s="11"/>
      <c r="C177" s="11"/>
      <c r="D177" s="11"/>
      <c r="E177" s="11"/>
      <c r="F177" s="11"/>
      <c r="G177" s="11"/>
      <c r="H177" s="11"/>
      <c r="I177" s="11"/>
    </row>
    <row r="178" spans="1:9">
      <c r="A178" s="102"/>
      <c r="B178" s="11"/>
      <c r="C178" s="11"/>
      <c r="D178" s="11"/>
      <c r="E178" s="11"/>
      <c r="F178" s="11"/>
      <c r="G178" s="11"/>
      <c r="H178" s="11"/>
      <c r="I178" s="11"/>
    </row>
    <row r="179" spans="1:9">
      <c r="A179" s="102"/>
      <c r="B179" s="11"/>
      <c r="C179" s="11"/>
      <c r="D179" s="11"/>
      <c r="E179" s="11"/>
      <c r="F179" s="11"/>
      <c r="G179" s="11"/>
      <c r="H179" s="11"/>
      <c r="I179" s="11"/>
    </row>
    <row r="180" spans="1:9">
      <c r="A180" s="102"/>
      <c r="B180" s="11"/>
      <c r="C180" s="11"/>
      <c r="D180" s="11"/>
      <c r="E180" s="11"/>
      <c r="F180" s="11"/>
      <c r="G180" s="11"/>
      <c r="H180" s="11"/>
      <c r="I180" s="11"/>
    </row>
    <row r="181" spans="1:9">
      <c r="A181" s="102"/>
      <c r="B181" s="11"/>
      <c r="C181" s="11"/>
      <c r="D181" s="11"/>
      <c r="E181" s="11"/>
      <c r="F181" s="11"/>
      <c r="G181" s="11"/>
      <c r="H181" s="11"/>
      <c r="I181" s="11"/>
    </row>
    <row r="182" spans="1:9">
      <c r="A182" s="102"/>
      <c r="B182" s="11"/>
      <c r="C182" s="11"/>
      <c r="D182" s="11"/>
      <c r="E182" s="11"/>
      <c r="F182" s="11"/>
      <c r="G182" s="11"/>
      <c r="H182" s="11"/>
      <c r="I182" s="11"/>
    </row>
    <row r="183" spans="1:9">
      <c r="A183" s="102"/>
      <c r="B183" s="11"/>
      <c r="C183" s="11"/>
      <c r="D183" s="11"/>
      <c r="E183" s="11"/>
      <c r="F183" s="11"/>
      <c r="G183" s="11"/>
      <c r="H183" s="11"/>
      <c r="I183" s="11"/>
    </row>
    <row r="184" spans="1:9">
      <c r="A184" s="102"/>
      <c r="B184" s="11"/>
      <c r="C184" s="11"/>
      <c r="D184" s="11"/>
      <c r="E184" s="11"/>
      <c r="F184" s="11"/>
      <c r="G184" s="11"/>
      <c r="H184" s="11"/>
      <c r="I184" s="11"/>
    </row>
    <row r="185" spans="1:9">
      <c r="A185" s="102"/>
      <c r="B185" s="11"/>
      <c r="C185" s="11"/>
      <c r="D185" s="11"/>
      <c r="E185" s="11"/>
      <c r="F185" s="11"/>
      <c r="G185" s="11"/>
      <c r="H185" s="11"/>
      <c r="I185" s="11"/>
    </row>
    <row r="186" spans="1:9">
      <c r="A186" s="102"/>
      <c r="B186" s="11"/>
      <c r="C186" s="11"/>
      <c r="D186" s="11"/>
      <c r="E186" s="11"/>
      <c r="F186" s="11"/>
      <c r="G186" s="11"/>
      <c r="H186" s="11"/>
      <c r="I186" s="11"/>
    </row>
    <row r="187" spans="1:9">
      <c r="A187" s="102"/>
      <c r="B187" s="11"/>
      <c r="C187" s="11"/>
      <c r="D187" s="11"/>
      <c r="E187" s="11"/>
      <c r="F187" s="11"/>
      <c r="G187" s="11"/>
      <c r="H187" s="11"/>
      <c r="I187" s="11"/>
    </row>
    <row r="188" spans="1:9">
      <c r="A188" s="102"/>
      <c r="B188" s="11"/>
      <c r="C188" s="11"/>
      <c r="D188" s="11"/>
      <c r="E188" s="11"/>
      <c r="F188" s="11"/>
      <c r="G188" s="11"/>
      <c r="H188" s="11"/>
      <c r="I188" s="11"/>
    </row>
    <row r="189" spans="1:9">
      <c r="A189" s="102"/>
      <c r="B189" s="11"/>
      <c r="C189" s="11"/>
      <c r="D189" s="11"/>
      <c r="E189" s="11"/>
      <c r="F189" s="11"/>
      <c r="G189" s="11"/>
      <c r="H189" s="11"/>
      <c r="I189" s="11"/>
    </row>
    <row r="190" spans="1:9">
      <c r="A190" s="102"/>
      <c r="B190" s="11"/>
      <c r="C190" s="11"/>
      <c r="D190" s="11"/>
      <c r="E190" s="11"/>
      <c r="F190" s="11"/>
      <c r="G190" s="11"/>
      <c r="H190" s="11"/>
      <c r="I190" s="11"/>
    </row>
    <row r="191" spans="1:9">
      <c r="A191" s="102"/>
      <c r="B191" s="11"/>
      <c r="C191" s="11"/>
      <c r="D191" s="11"/>
      <c r="E191" s="11"/>
      <c r="F191" s="11"/>
      <c r="G191" s="11"/>
      <c r="H191" s="11"/>
      <c r="I191" s="11"/>
    </row>
    <row r="192" spans="1:9">
      <c r="A192" s="102"/>
      <c r="B192" s="11"/>
      <c r="C192" s="11"/>
      <c r="D192" s="11"/>
      <c r="E192" s="11"/>
      <c r="F192" s="11"/>
      <c r="G192" s="11"/>
      <c r="H192" s="11"/>
      <c r="I192" s="11"/>
    </row>
    <row r="193" spans="1:9">
      <c r="A193" s="102"/>
      <c r="B193" s="11"/>
      <c r="C193" s="11"/>
      <c r="D193" s="11"/>
      <c r="E193" s="11"/>
      <c r="F193" s="11"/>
      <c r="G193" s="11"/>
      <c r="H193" s="11"/>
      <c r="I193" s="11"/>
    </row>
    <row r="194" spans="1:9">
      <c r="A194" s="102"/>
      <c r="B194" s="11"/>
      <c r="C194" s="11"/>
      <c r="D194" s="11"/>
      <c r="E194" s="11"/>
      <c r="F194" s="11"/>
      <c r="G194" s="11"/>
      <c r="H194" s="11"/>
      <c r="I194" s="11"/>
    </row>
    <row r="195" spans="1:9">
      <c r="A195" s="11"/>
      <c r="B195" s="11"/>
      <c r="C195" s="11"/>
      <c r="D195" s="11"/>
      <c r="E195" s="11"/>
      <c r="F195" s="33"/>
      <c r="G195" s="11"/>
      <c r="H195" s="11"/>
      <c r="I195" s="11"/>
    </row>
    <row r="196" spans="1:9">
      <c r="A196" s="11"/>
      <c r="B196" s="11"/>
      <c r="C196" s="11"/>
      <c r="D196" s="11"/>
      <c r="E196" s="11"/>
      <c r="F196" s="11"/>
      <c r="G196" s="11"/>
      <c r="H196" s="11"/>
      <c r="I196" s="11"/>
    </row>
    <row r="197" spans="1:9">
      <c r="A197" s="33"/>
      <c r="B197" s="33"/>
      <c r="C197" s="33"/>
      <c r="D197" s="33"/>
      <c r="E197" s="33"/>
      <c r="F197" s="33"/>
      <c r="G197" s="33"/>
      <c r="H197" s="33"/>
      <c r="I197" s="33"/>
    </row>
    <row r="198" spans="1:9">
      <c r="A198" s="11"/>
      <c r="B198" s="11"/>
      <c r="C198" s="11"/>
      <c r="D198" s="11"/>
      <c r="E198" s="11"/>
      <c r="F198" s="11"/>
      <c r="G198" s="11"/>
      <c r="H198" s="11"/>
      <c r="I198" s="11"/>
    </row>
    <row r="199" spans="1:9">
      <c r="A199" s="11"/>
      <c r="B199" s="11"/>
      <c r="C199" s="11"/>
      <c r="D199" s="11"/>
      <c r="E199" s="11"/>
      <c r="F199" s="11"/>
      <c r="G199" s="11"/>
      <c r="H199" s="11"/>
      <c r="I199" s="11"/>
    </row>
    <row r="200" spans="1:9">
      <c r="A200" s="11"/>
      <c r="B200" s="11"/>
      <c r="C200" s="11"/>
      <c r="D200" s="11"/>
      <c r="E200" s="11"/>
      <c r="F200" s="11"/>
      <c r="G200" s="11"/>
      <c r="H200" s="11"/>
      <c r="I200" s="11"/>
    </row>
    <row r="201" spans="1:9">
      <c r="A201" s="11"/>
      <c r="B201" s="11"/>
      <c r="C201" s="11"/>
      <c r="D201" s="11"/>
      <c r="E201" s="11"/>
      <c r="F201" s="11"/>
      <c r="G201" s="11"/>
      <c r="H201" s="11"/>
      <c r="I201" s="11"/>
    </row>
    <row r="202" spans="1:9">
      <c r="A202" s="11"/>
      <c r="B202" s="11"/>
      <c r="C202" s="11"/>
      <c r="D202" s="11"/>
      <c r="E202" s="11"/>
      <c r="F202" s="11"/>
      <c r="G202" s="11"/>
      <c r="H202" s="11"/>
      <c r="I202" s="11"/>
    </row>
    <row r="203" spans="1:9">
      <c r="A203" s="11"/>
      <c r="B203" s="11"/>
      <c r="C203" s="11"/>
      <c r="D203" s="11"/>
      <c r="E203" s="11"/>
      <c r="F203" s="11"/>
      <c r="G203" s="11"/>
      <c r="H203" s="11"/>
      <c r="I203" s="11"/>
    </row>
    <row r="204" spans="1:9">
      <c r="A204" s="11"/>
      <c r="B204" s="11"/>
      <c r="C204" s="11"/>
      <c r="D204" s="11"/>
      <c r="E204" s="11"/>
      <c r="F204" s="11"/>
      <c r="G204" s="11"/>
      <c r="H204" s="11"/>
      <c r="I204" s="11"/>
    </row>
    <row r="205" spans="1:9">
      <c r="A205" s="11"/>
      <c r="B205" s="11"/>
      <c r="C205" s="11"/>
      <c r="D205" s="11"/>
      <c r="E205" s="11"/>
      <c r="F205" s="11"/>
      <c r="G205" s="11"/>
      <c r="H205" s="11"/>
      <c r="I205" s="11"/>
    </row>
    <row r="206" spans="1:9">
      <c r="A206" s="11"/>
      <c r="B206" s="11"/>
      <c r="C206" s="11"/>
      <c r="D206" s="11"/>
      <c r="E206" s="11"/>
      <c r="F206" s="11"/>
      <c r="G206" s="11"/>
      <c r="H206" s="11"/>
      <c r="I206" s="11"/>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79"/>
  <sheetViews>
    <sheetView workbookViewId="0">
      <selection activeCell="H23" sqref="H23"/>
    </sheetView>
  </sheetViews>
  <sheetFormatPr baseColWidth="10" defaultRowHeight="15" x14ac:dyDescent="0"/>
  <cols>
    <col min="1" max="1" width="17.83203125" customWidth="1"/>
    <col min="4" max="4" width="12.6640625" customWidth="1"/>
    <col min="9" max="9" width="11" bestFit="1" customWidth="1"/>
  </cols>
  <sheetData>
    <row r="1" spans="1:20">
      <c r="A1" s="35" t="s">
        <v>93</v>
      </c>
    </row>
    <row r="3" spans="1:20">
      <c r="A3" t="s">
        <v>106</v>
      </c>
      <c r="I3" t="s">
        <v>107</v>
      </c>
    </row>
    <row r="4" spans="1:20" ht="49" customHeight="1">
      <c r="I4" s="207"/>
      <c r="J4" s="207"/>
      <c r="K4" s="207"/>
      <c r="L4" s="207"/>
      <c r="M4" s="207"/>
      <c r="N4" s="207"/>
      <c r="O4" s="207"/>
      <c r="P4" s="207"/>
    </row>
    <row r="6" spans="1:20" ht="45">
      <c r="A6" s="4" t="s">
        <v>94</v>
      </c>
      <c r="B6" s="15" t="s">
        <v>95</v>
      </c>
      <c r="C6" s="4" t="s">
        <v>5</v>
      </c>
      <c r="D6" s="15" t="s">
        <v>108</v>
      </c>
      <c r="E6" s="15" t="s">
        <v>109</v>
      </c>
      <c r="F6" s="15" t="s">
        <v>104</v>
      </c>
      <c r="G6" s="15" t="s">
        <v>110</v>
      </c>
    </row>
    <row r="7" spans="1:20">
      <c r="A7" s="9" t="s">
        <v>96</v>
      </c>
      <c r="B7" s="9">
        <f>AVERAGE(B18:B19,B22:B23,B26:B35,B39:B43)</f>
        <v>130.89681250000001</v>
      </c>
      <c r="C7" s="9">
        <f>AVERAGE(C18:C19,C22:C23,C26:C35,C39:C43)</f>
        <v>168.233125</v>
      </c>
      <c r="D7" s="111">
        <f>H19</f>
        <v>0.65513089040080996</v>
      </c>
      <c r="E7" s="111">
        <f t="shared" ref="E7:G7" si="0">I19</f>
        <v>65.513089040080999</v>
      </c>
      <c r="F7" s="111">
        <f t="shared" si="0"/>
        <v>21.835512577058996</v>
      </c>
      <c r="G7" s="111">
        <f t="shared" si="0"/>
        <v>65.513089040080999</v>
      </c>
    </row>
    <row r="10" spans="1:20" ht="90">
      <c r="A10" s="107" t="s">
        <v>97</v>
      </c>
      <c r="B10" s="108" t="s">
        <v>98</v>
      </c>
      <c r="C10" s="108" t="s">
        <v>99</v>
      </c>
      <c r="D10" s="108" t="s">
        <v>100</v>
      </c>
      <c r="E10" s="108" t="s">
        <v>171</v>
      </c>
      <c r="F10" s="108" t="s">
        <v>170</v>
      </c>
      <c r="G10" s="108" t="s">
        <v>101</v>
      </c>
      <c r="H10" s="108" t="s">
        <v>102</v>
      </c>
      <c r="I10" s="108" t="s">
        <v>103</v>
      </c>
      <c r="J10" s="109" t="s">
        <v>104</v>
      </c>
      <c r="K10" s="109" t="s">
        <v>105</v>
      </c>
      <c r="L10" s="17"/>
    </row>
    <row r="11" spans="1:20">
      <c r="A11" s="30" t="s">
        <v>175</v>
      </c>
      <c r="B11" s="106">
        <v>165.89</v>
      </c>
      <c r="C11" s="38">
        <v>181.27699999999999</v>
      </c>
      <c r="D11">
        <f>PI()*B11*C11</f>
        <v>94474.104749095131</v>
      </c>
      <c r="E11" s="36"/>
      <c r="S11" t="s">
        <v>172</v>
      </c>
      <c r="T11" t="s">
        <v>65</v>
      </c>
    </row>
    <row r="12" spans="1:20" ht="16" customHeight="1">
      <c r="A12" s="11"/>
      <c r="B12" s="38">
        <v>234.375</v>
      </c>
      <c r="C12" s="38">
        <v>134.81</v>
      </c>
      <c r="D12">
        <f t="shared" ref="D12:D18" si="1">PI()*B12*C12</f>
        <v>99262.056007134379</v>
      </c>
      <c r="E12" s="29"/>
      <c r="F12" s="29"/>
      <c r="G12" s="29"/>
      <c r="H12" s="29"/>
      <c r="I12" s="29"/>
      <c r="J12" s="29"/>
      <c r="K12" s="29"/>
      <c r="S12" t="s">
        <v>173</v>
      </c>
      <c r="T12" t="s">
        <v>119</v>
      </c>
    </row>
    <row r="13" spans="1:20">
      <c r="A13" s="11"/>
      <c r="B13" s="29">
        <v>206.84100000000001</v>
      </c>
      <c r="C13" s="38">
        <v>333.45400000000001</v>
      </c>
      <c r="D13">
        <f t="shared" si="1"/>
        <v>216681.79911376021</v>
      </c>
      <c r="E13" s="11"/>
      <c r="F13" s="11"/>
      <c r="G13" s="39"/>
      <c r="H13" s="7"/>
      <c r="I13" s="36"/>
      <c r="J13" s="11"/>
      <c r="K13" s="36"/>
      <c r="S13" t="s">
        <v>174</v>
      </c>
      <c r="T13" t="s">
        <v>144</v>
      </c>
    </row>
    <row r="14" spans="1:20">
      <c r="A14" s="11"/>
      <c r="B14" s="38">
        <v>107.937</v>
      </c>
      <c r="C14" s="38">
        <v>256.49799999999999</v>
      </c>
      <c r="D14">
        <f t="shared" si="1"/>
        <v>86976.954935086265</v>
      </c>
      <c r="E14" s="37"/>
      <c r="F14" s="11"/>
      <c r="G14" s="38"/>
      <c r="H14" s="38"/>
      <c r="I14" s="11"/>
      <c r="J14" s="11"/>
      <c r="K14" s="11"/>
    </row>
    <row r="15" spans="1:20">
      <c r="A15" s="11"/>
      <c r="B15" s="38">
        <v>136.50200000000001</v>
      </c>
      <c r="C15" s="38">
        <v>254.203</v>
      </c>
      <c r="D15">
        <f t="shared" si="1"/>
        <v>109010.80805880102</v>
      </c>
      <c r="E15" s="37"/>
      <c r="F15" s="11"/>
      <c r="G15" s="38"/>
      <c r="H15" s="38"/>
      <c r="I15" s="11"/>
      <c r="J15" s="11"/>
      <c r="K15" s="11"/>
    </row>
    <row r="16" spans="1:20">
      <c r="A16" s="32"/>
      <c r="B16" s="11">
        <v>153.125</v>
      </c>
      <c r="C16" s="38">
        <v>243.06800000000001</v>
      </c>
      <c r="D16">
        <f t="shared" si="1"/>
        <v>116929.41097817321</v>
      </c>
      <c r="E16" s="37"/>
      <c r="F16" s="11"/>
      <c r="G16" s="38"/>
      <c r="H16" s="38"/>
      <c r="I16" s="11"/>
      <c r="J16" s="11"/>
      <c r="K16" s="11"/>
    </row>
    <row r="17" spans="1:12" ht="15" customHeight="1">
      <c r="A17" s="11"/>
      <c r="B17" s="11">
        <v>85.81</v>
      </c>
      <c r="C17" s="11">
        <v>191.54499999999999</v>
      </c>
      <c r="D17">
        <f t="shared" si="1"/>
        <v>51636.713666221644</v>
      </c>
      <c r="E17" s="29"/>
      <c r="F17" s="29"/>
      <c r="G17" s="29"/>
      <c r="H17" s="29"/>
      <c r="I17" s="29"/>
      <c r="J17" s="29"/>
      <c r="K17" s="29"/>
    </row>
    <row r="18" spans="1:12">
      <c r="A18" s="11"/>
      <c r="B18" s="63">
        <v>111.541</v>
      </c>
      <c r="C18" s="63">
        <v>121.875</v>
      </c>
      <c r="D18" s="63">
        <f t="shared" si="1"/>
        <v>42706.997064963449</v>
      </c>
    </row>
    <row r="19" spans="1:12">
      <c r="A19" s="11"/>
      <c r="B19" s="110">
        <f>AVERAGE(B11:B18)</f>
        <v>150.25262499999999</v>
      </c>
      <c r="C19" s="110">
        <f>AVERAGE(C11:C18)</f>
        <v>214.59125</v>
      </c>
      <c r="D19" s="110">
        <f>AVERAGE(D11:D18)</f>
        <v>102209.85557165441</v>
      </c>
      <c r="E19" s="11">
        <v>1248115.2339999999</v>
      </c>
      <c r="F19" s="11">
        <f>8</f>
        <v>8</v>
      </c>
      <c r="G19" s="38">
        <f>F19*D19</f>
        <v>817678.84457323526</v>
      </c>
      <c r="H19" s="38">
        <f>G19/E19</f>
        <v>0.65513089040080996</v>
      </c>
      <c r="I19" s="11">
        <f>H19*100</f>
        <v>65.513089040080999</v>
      </c>
      <c r="J19" s="11">
        <f>H19*33.33</f>
        <v>21.835512577058996</v>
      </c>
      <c r="K19" s="11">
        <f>I19</f>
        <v>65.513089040080999</v>
      </c>
    </row>
    <row r="20" spans="1:12">
      <c r="A20" s="11"/>
      <c r="B20" s="11"/>
      <c r="C20" s="11"/>
      <c r="D20" s="11"/>
      <c r="E20" s="11"/>
      <c r="F20" s="11"/>
      <c r="G20" s="11"/>
      <c r="H20" s="38"/>
      <c r="I20" s="103"/>
      <c r="J20" s="11"/>
      <c r="K20" s="11"/>
      <c r="L20" s="11"/>
    </row>
    <row r="21" spans="1:12">
      <c r="A21" s="11"/>
      <c r="B21" s="11"/>
      <c r="C21" s="11"/>
      <c r="D21" s="11"/>
      <c r="E21" s="37"/>
      <c r="F21" s="11"/>
      <c r="G21" s="11"/>
      <c r="H21" s="38"/>
      <c r="I21" s="38"/>
      <c r="J21" s="11"/>
      <c r="K21" s="11"/>
      <c r="L21" s="11"/>
    </row>
    <row r="22" spans="1:12">
      <c r="A22" s="11"/>
      <c r="B22" s="11"/>
      <c r="C22" s="7"/>
      <c r="D22" s="11"/>
      <c r="E22" s="37"/>
      <c r="F22" s="11"/>
      <c r="G22" s="11"/>
      <c r="H22" s="38"/>
      <c r="I22" s="38"/>
      <c r="J22" s="11"/>
      <c r="K22" s="11"/>
      <c r="L22" s="11"/>
    </row>
    <row r="23" spans="1:12">
      <c r="A23" s="11"/>
      <c r="B23" s="7"/>
      <c r="C23" s="7"/>
      <c r="D23" s="11"/>
      <c r="E23" s="37"/>
      <c r="F23" s="11"/>
      <c r="G23" s="11"/>
      <c r="H23" s="11"/>
      <c r="I23" s="11"/>
      <c r="J23" s="11"/>
      <c r="K23" s="11"/>
      <c r="L23" s="11"/>
    </row>
    <row r="24" spans="1:12">
      <c r="A24" s="11"/>
      <c r="B24" s="11"/>
      <c r="C24" s="11"/>
      <c r="D24" s="11"/>
      <c r="E24" s="37"/>
      <c r="F24" s="11"/>
      <c r="G24" s="11"/>
      <c r="H24" s="38"/>
      <c r="I24" s="103"/>
      <c r="J24" s="11"/>
      <c r="K24" s="11"/>
      <c r="L24" s="11"/>
    </row>
    <row r="25" spans="1:12">
      <c r="A25" s="11"/>
      <c r="B25" s="36"/>
      <c r="C25" s="36"/>
      <c r="D25" s="36"/>
      <c r="E25" s="36"/>
      <c r="F25" s="11"/>
      <c r="G25" s="11"/>
      <c r="H25" s="11"/>
      <c r="I25" s="11"/>
      <c r="J25" s="11"/>
      <c r="K25" s="11"/>
      <c r="L25" s="11"/>
    </row>
    <row r="26" spans="1:12">
      <c r="A26" s="11"/>
      <c r="B26" s="7"/>
      <c r="C26" s="7"/>
      <c r="D26" s="7"/>
      <c r="E26" s="11"/>
      <c r="F26" s="11"/>
      <c r="G26" s="11"/>
      <c r="H26" s="11"/>
      <c r="I26" s="11"/>
      <c r="J26" s="7"/>
      <c r="K26" s="11"/>
      <c r="L26" s="11"/>
    </row>
    <row r="27" spans="1:12">
      <c r="A27" s="11"/>
      <c r="B27" s="7"/>
      <c r="C27" s="7"/>
      <c r="D27" s="7"/>
      <c r="E27" s="11"/>
      <c r="F27" s="7"/>
      <c r="G27" s="7"/>
      <c r="H27" s="7"/>
      <c r="I27" s="7"/>
      <c r="J27" s="7"/>
      <c r="K27" s="7"/>
      <c r="L27" s="7"/>
    </row>
    <row r="28" spans="1:12">
      <c r="A28" s="7"/>
      <c r="B28" s="7"/>
      <c r="C28" s="7"/>
      <c r="D28" s="7"/>
      <c r="E28" s="11"/>
      <c r="F28" s="7"/>
      <c r="G28" s="7"/>
      <c r="H28" s="7"/>
      <c r="I28" s="7"/>
      <c r="J28" s="7"/>
      <c r="K28" s="7"/>
      <c r="L28" s="7"/>
    </row>
    <row r="29" spans="1:12">
      <c r="A29" s="7"/>
      <c r="B29" s="7"/>
      <c r="C29" s="7"/>
      <c r="D29" s="7"/>
      <c r="E29" s="11"/>
      <c r="F29" s="7"/>
      <c r="G29" s="7"/>
      <c r="H29" s="7"/>
      <c r="I29" s="7"/>
      <c r="J29" s="7"/>
      <c r="K29" s="7"/>
      <c r="L29" s="7"/>
    </row>
    <row r="30" spans="1:12">
      <c r="A30" s="7"/>
      <c r="B30" s="7"/>
      <c r="C30" s="7"/>
      <c r="D30" s="7"/>
      <c r="E30" s="11"/>
      <c r="F30" s="7"/>
      <c r="G30" s="7"/>
      <c r="H30" s="7"/>
      <c r="I30" s="7"/>
      <c r="J30" s="7"/>
      <c r="K30" s="7"/>
      <c r="L30" s="7"/>
    </row>
    <row r="31" spans="1:12">
      <c r="A31" s="7"/>
      <c r="B31" s="7"/>
      <c r="C31" s="7"/>
      <c r="D31" s="7"/>
      <c r="E31" s="11"/>
      <c r="F31" s="7"/>
      <c r="G31" s="7"/>
      <c r="H31" s="7"/>
      <c r="I31" s="7"/>
      <c r="J31" s="7"/>
      <c r="K31" s="7"/>
      <c r="L31" s="7"/>
    </row>
    <row r="32" spans="1:12">
      <c r="A32" s="7"/>
      <c r="B32" s="7"/>
      <c r="C32" s="7"/>
      <c r="D32" s="7"/>
      <c r="E32" s="11"/>
      <c r="F32" s="7"/>
      <c r="G32" s="7"/>
      <c r="H32" s="7"/>
      <c r="I32" s="7"/>
      <c r="J32" s="7"/>
      <c r="K32" s="7"/>
      <c r="L32" s="7"/>
    </row>
    <row r="33" spans="1:12">
      <c r="A33" s="7"/>
      <c r="B33" s="7"/>
      <c r="C33" s="7"/>
      <c r="D33" s="7"/>
      <c r="E33" s="11"/>
      <c r="F33" s="7"/>
      <c r="G33" s="7"/>
      <c r="H33" s="7"/>
      <c r="I33" s="7"/>
      <c r="J33" s="7"/>
      <c r="K33" s="7"/>
      <c r="L33" s="7"/>
    </row>
    <row r="34" spans="1:12">
      <c r="A34" s="7"/>
      <c r="B34" s="7"/>
      <c r="C34" s="7"/>
      <c r="D34" s="7"/>
      <c r="E34" s="11"/>
      <c r="F34" s="7"/>
      <c r="G34" s="7"/>
      <c r="H34" s="7"/>
      <c r="I34" s="7"/>
      <c r="J34" s="7"/>
      <c r="K34" s="7"/>
      <c r="L34" s="7"/>
    </row>
    <row r="35" spans="1:12">
      <c r="A35" s="7"/>
      <c r="B35" s="7"/>
      <c r="C35" s="7"/>
      <c r="D35" s="7"/>
      <c r="E35" s="11"/>
      <c r="F35" s="7"/>
      <c r="G35" s="7"/>
      <c r="H35" s="7"/>
      <c r="I35" s="7"/>
      <c r="J35" s="7"/>
      <c r="K35" s="7"/>
      <c r="L35" s="7"/>
    </row>
    <row r="36" spans="1:12">
      <c r="A36" s="7"/>
      <c r="B36" s="7"/>
      <c r="C36" s="7"/>
      <c r="D36" s="7"/>
      <c r="E36" s="11"/>
      <c r="F36" s="7"/>
      <c r="G36" s="7"/>
      <c r="H36" s="7"/>
      <c r="I36" s="7"/>
      <c r="J36" s="7"/>
      <c r="K36" s="7"/>
      <c r="L36" s="7"/>
    </row>
    <row r="37" spans="1:12">
      <c r="A37" s="7"/>
      <c r="B37" s="7"/>
      <c r="C37" s="7"/>
      <c r="D37" s="7"/>
      <c r="E37" s="7"/>
      <c r="F37" s="7"/>
      <c r="G37" s="7"/>
      <c r="H37" s="7"/>
      <c r="I37" s="7"/>
      <c r="J37" s="7"/>
      <c r="K37" s="7"/>
      <c r="L37" s="7"/>
    </row>
    <row r="38" spans="1:12" ht="16" customHeight="1">
      <c r="A38" s="11"/>
      <c r="B38" s="29"/>
      <c r="C38" s="29"/>
      <c r="D38" s="29"/>
      <c r="E38" s="29"/>
      <c r="F38" s="29"/>
      <c r="G38" s="29"/>
      <c r="H38" s="29"/>
      <c r="I38" s="29"/>
      <c r="J38" s="29"/>
      <c r="K38" s="29"/>
      <c r="L38" s="29"/>
    </row>
    <row r="39" spans="1:12">
      <c r="A39" s="7"/>
      <c r="B39" s="7"/>
      <c r="C39" s="7"/>
      <c r="D39" s="7"/>
      <c r="E39" s="7"/>
      <c r="F39" s="7"/>
      <c r="G39" s="7"/>
      <c r="H39" s="7"/>
      <c r="I39" s="7"/>
      <c r="J39" s="7"/>
      <c r="K39" s="7"/>
      <c r="L39" s="7"/>
    </row>
    <row r="40" spans="1:12">
      <c r="A40" s="7"/>
      <c r="B40" s="7"/>
      <c r="C40" s="7"/>
      <c r="D40" s="7"/>
      <c r="E40" s="7"/>
      <c r="F40" s="7"/>
      <c r="G40" s="7"/>
      <c r="H40" s="7"/>
      <c r="I40" s="7"/>
      <c r="J40" s="7"/>
      <c r="K40" s="7"/>
      <c r="L40" s="7"/>
    </row>
    <row r="41" spans="1:12">
      <c r="A41" s="7"/>
      <c r="B41" s="7"/>
      <c r="C41" s="7"/>
      <c r="D41" s="7"/>
      <c r="E41" s="7"/>
      <c r="F41" s="7"/>
      <c r="G41" s="7"/>
      <c r="H41" s="7"/>
      <c r="I41" s="7"/>
      <c r="J41" s="7"/>
      <c r="K41" s="7"/>
      <c r="L41" s="7"/>
    </row>
    <row r="42" spans="1:12">
      <c r="A42" s="7"/>
      <c r="B42" s="7"/>
      <c r="C42" s="7"/>
      <c r="D42" s="7"/>
      <c r="E42" s="7"/>
      <c r="F42" s="7"/>
      <c r="G42" s="7"/>
      <c r="H42" s="7"/>
      <c r="I42" s="7"/>
      <c r="J42" s="7"/>
      <c r="K42" s="7"/>
      <c r="L42" s="7"/>
    </row>
    <row r="43" spans="1:12">
      <c r="A43" s="7"/>
      <c r="B43" s="7"/>
      <c r="C43" s="7"/>
      <c r="D43" s="7"/>
      <c r="E43" s="7"/>
      <c r="F43" s="7"/>
      <c r="G43" s="7"/>
      <c r="H43" s="7"/>
      <c r="I43" s="7"/>
      <c r="J43" s="7"/>
      <c r="K43" s="7"/>
      <c r="L43" s="7"/>
    </row>
    <row r="44" spans="1:12">
      <c r="A44" s="7"/>
      <c r="B44" s="7"/>
      <c r="C44" s="7"/>
      <c r="D44" s="7"/>
      <c r="E44" s="7"/>
      <c r="F44" s="7"/>
      <c r="G44" s="7"/>
      <c r="H44" s="7"/>
      <c r="I44" s="7"/>
      <c r="J44" s="7"/>
      <c r="K44" s="7"/>
      <c r="L44" s="7"/>
    </row>
    <row r="45" spans="1:12">
      <c r="A45" s="7"/>
      <c r="B45" s="7"/>
      <c r="C45" s="7"/>
      <c r="D45" s="7"/>
      <c r="E45" s="7"/>
      <c r="F45" s="7"/>
      <c r="G45" s="7"/>
      <c r="H45" s="7"/>
      <c r="I45" s="7"/>
      <c r="J45" s="7"/>
      <c r="K45" s="7"/>
      <c r="L45" s="7"/>
    </row>
    <row r="46" spans="1:12">
      <c r="A46" s="7"/>
      <c r="B46" s="7"/>
      <c r="C46" s="7"/>
      <c r="D46" s="7"/>
      <c r="E46" s="7"/>
      <c r="F46" s="7"/>
      <c r="G46" s="7"/>
      <c r="H46" s="7"/>
      <c r="I46" s="7"/>
      <c r="J46" s="7"/>
      <c r="K46" s="7"/>
      <c r="L46" s="7"/>
    </row>
    <row r="47" spans="1:12">
      <c r="A47" s="7"/>
      <c r="B47" s="7"/>
      <c r="C47" s="7"/>
      <c r="D47" s="7"/>
      <c r="E47" s="7"/>
      <c r="F47" s="7"/>
      <c r="G47" s="7"/>
      <c r="H47" s="7"/>
      <c r="I47" s="7"/>
      <c r="J47" s="7"/>
      <c r="K47" s="7"/>
      <c r="L47" s="7"/>
    </row>
    <row r="48" spans="1:12">
      <c r="A48" s="7"/>
      <c r="B48" s="7"/>
      <c r="C48" s="7"/>
      <c r="D48" s="7"/>
      <c r="E48" s="7"/>
      <c r="F48" s="7"/>
      <c r="G48" s="7"/>
      <c r="H48" s="7"/>
      <c r="I48" s="7"/>
      <c r="J48" s="7"/>
      <c r="K48" s="7"/>
      <c r="L48" s="7"/>
    </row>
    <row r="49" spans="1:12">
      <c r="A49" s="7"/>
      <c r="B49" s="7"/>
      <c r="C49" s="7"/>
      <c r="D49" s="7"/>
      <c r="E49" s="7"/>
      <c r="F49" s="7"/>
      <c r="G49" s="7"/>
      <c r="H49" s="7"/>
      <c r="I49" s="7"/>
      <c r="J49" s="7"/>
      <c r="K49" s="7"/>
      <c r="L49" s="7"/>
    </row>
    <row r="50" spans="1:12">
      <c r="A50" s="7"/>
      <c r="B50" s="7"/>
      <c r="C50" s="7"/>
      <c r="D50" s="7"/>
      <c r="E50" s="7"/>
      <c r="F50" s="7"/>
      <c r="G50" s="7"/>
      <c r="H50" s="7"/>
      <c r="I50" s="7"/>
      <c r="J50" s="7"/>
      <c r="K50" s="7"/>
      <c r="L50" s="7"/>
    </row>
    <row r="51" spans="1:12">
      <c r="A51" s="7"/>
      <c r="B51" s="7"/>
      <c r="C51" s="7"/>
      <c r="D51" s="7"/>
      <c r="E51" s="7"/>
      <c r="F51" s="7"/>
      <c r="G51" s="7"/>
      <c r="H51" s="7"/>
      <c r="I51" s="7"/>
      <c r="J51" s="7"/>
      <c r="K51" s="7"/>
      <c r="L51" s="7"/>
    </row>
    <row r="52" spans="1:12">
      <c r="A52" s="7"/>
      <c r="B52" s="7"/>
      <c r="C52" s="7"/>
      <c r="D52" s="7"/>
      <c r="E52" s="7"/>
      <c r="F52" s="7"/>
      <c r="G52" s="7"/>
      <c r="H52" s="7"/>
      <c r="I52" s="7"/>
      <c r="J52" s="7"/>
      <c r="K52" s="7"/>
      <c r="L52" s="7"/>
    </row>
    <row r="53" spans="1:12">
      <c r="A53" s="7"/>
      <c r="B53" s="7"/>
      <c r="C53" s="7"/>
      <c r="D53" s="7"/>
      <c r="E53" s="7"/>
      <c r="F53" s="7"/>
      <c r="G53" s="7"/>
      <c r="H53" s="7"/>
      <c r="I53" s="7"/>
      <c r="J53" s="7"/>
      <c r="K53" s="7"/>
      <c r="L53" s="7"/>
    </row>
    <row r="54" spans="1:12">
      <c r="A54" s="7"/>
      <c r="B54" s="7"/>
      <c r="C54" s="7"/>
      <c r="D54" s="7"/>
      <c r="E54" s="7"/>
      <c r="F54" s="7"/>
      <c r="G54" s="7"/>
      <c r="H54" s="7"/>
      <c r="I54" s="7"/>
      <c r="J54" s="7"/>
      <c r="K54" s="7"/>
      <c r="L54" s="7"/>
    </row>
    <row r="55" spans="1:12">
      <c r="A55" s="7"/>
      <c r="B55" s="7"/>
      <c r="C55" s="7"/>
      <c r="D55" s="7"/>
      <c r="E55" s="7"/>
      <c r="F55" s="7"/>
      <c r="G55" s="7"/>
      <c r="H55" s="7"/>
      <c r="I55" s="7"/>
      <c r="J55" s="7"/>
      <c r="K55" s="7"/>
      <c r="L55" s="7"/>
    </row>
    <row r="56" spans="1:12">
      <c r="A56" s="7"/>
      <c r="B56" s="7"/>
      <c r="C56" s="7"/>
      <c r="D56" s="7"/>
      <c r="E56" s="7"/>
      <c r="F56" s="7"/>
      <c r="G56" s="7"/>
      <c r="H56" s="7"/>
      <c r="I56" s="7"/>
      <c r="J56" s="7"/>
      <c r="K56" s="7"/>
      <c r="L56" s="7"/>
    </row>
    <row r="57" spans="1:12">
      <c r="A57" s="7"/>
      <c r="B57" s="7"/>
      <c r="C57" s="7"/>
      <c r="D57" s="7"/>
      <c r="E57" s="7"/>
      <c r="F57" s="7"/>
      <c r="G57" s="7"/>
      <c r="H57" s="7"/>
      <c r="I57" s="7"/>
      <c r="J57" s="7"/>
      <c r="K57" s="7"/>
      <c r="L57" s="7"/>
    </row>
    <row r="58" spans="1:12">
      <c r="A58" s="7"/>
      <c r="B58" s="7"/>
      <c r="C58" s="7"/>
      <c r="D58" s="7"/>
      <c r="E58" s="7"/>
      <c r="F58" s="7"/>
      <c r="G58" s="7"/>
      <c r="H58" s="7"/>
      <c r="I58" s="7"/>
      <c r="J58" s="7"/>
      <c r="K58" s="7"/>
      <c r="L58" s="7"/>
    </row>
    <row r="59" spans="1:12">
      <c r="A59" s="7"/>
      <c r="B59" s="7"/>
      <c r="C59" s="7"/>
      <c r="D59" s="7"/>
      <c r="E59" s="7"/>
      <c r="F59" s="7"/>
      <c r="G59" s="7"/>
      <c r="H59" s="7"/>
      <c r="I59" s="7"/>
      <c r="J59" s="7"/>
      <c r="K59" s="7"/>
      <c r="L59" s="7"/>
    </row>
    <row r="60" spans="1:12">
      <c r="A60" s="7"/>
      <c r="B60" s="7"/>
      <c r="C60" s="7"/>
      <c r="D60" s="7"/>
      <c r="E60" s="7"/>
      <c r="F60" s="7"/>
      <c r="G60" s="7"/>
      <c r="H60" s="7"/>
      <c r="I60" s="7"/>
      <c r="J60" s="7"/>
      <c r="K60" s="7"/>
      <c r="L60" s="7"/>
    </row>
    <row r="61" spans="1:12">
      <c r="A61" s="7"/>
      <c r="B61" s="7"/>
      <c r="C61" s="7"/>
      <c r="D61" s="7"/>
      <c r="E61" s="7"/>
      <c r="F61" s="7"/>
      <c r="G61" s="7"/>
      <c r="H61" s="7"/>
      <c r="I61" s="7"/>
      <c r="J61" s="7"/>
      <c r="K61" s="7"/>
      <c r="L61" s="7"/>
    </row>
    <row r="62" spans="1:12">
      <c r="A62" s="7"/>
      <c r="B62" s="7"/>
      <c r="C62" s="7"/>
      <c r="D62" s="7"/>
      <c r="E62" s="7"/>
      <c r="F62" s="7"/>
      <c r="G62" s="7"/>
      <c r="H62" s="7"/>
      <c r="I62" s="7"/>
      <c r="J62" s="7"/>
      <c r="K62" s="7"/>
      <c r="L62" s="7"/>
    </row>
    <row r="63" spans="1:12">
      <c r="A63" s="7"/>
      <c r="B63" s="7"/>
      <c r="C63" s="7"/>
      <c r="D63" s="7"/>
      <c r="E63" s="7"/>
      <c r="F63" s="7"/>
      <c r="G63" s="7"/>
      <c r="H63" s="7"/>
      <c r="I63" s="7"/>
      <c r="J63" s="7"/>
      <c r="K63" s="7"/>
      <c r="L63" s="7"/>
    </row>
    <row r="64" spans="1:12">
      <c r="A64" s="7"/>
      <c r="B64" s="7"/>
      <c r="C64" s="7"/>
      <c r="D64" s="7"/>
      <c r="E64" s="7"/>
      <c r="F64" s="7"/>
      <c r="G64" s="7"/>
      <c r="H64" s="7"/>
      <c r="I64" s="7"/>
      <c r="J64" s="7"/>
      <c r="K64" s="7"/>
      <c r="L64" s="7"/>
    </row>
    <row r="65" spans="1:12">
      <c r="A65" s="7"/>
      <c r="B65" s="7"/>
      <c r="C65" s="7"/>
      <c r="D65" s="7"/>
      <c r="E65" s="7"/>
      <c r="F65" s="7"/>
      <c r="G65" s="7"/>
      <c r="H65" s="7"/>
      <c r="I65" s="7"/>
      <c r="J65" s="7"/>
      <c r="K65" s="7"/>
      <c r="L65" s="7"/>
    </row>
    <row r="66" spans="1:12">
      <c r="A66" s="7"/>
      <c r="B66" s="7"/>
      <c r="C66" s="7"/>
      <c r="D66" s="7"/>
      <c r="E66" s="7"/>
      <c r="F66" s="7"/>
      <c r="G66" s="7"/>
      <c r="H66" s="7"/>
      <c r="I66" s="7"/>
      <c r="J66" s="7"/>
      <c r="K66" s="7"/>
      <c r="L66" s="7"/>
    </row>
    <row r="67" spans="1:12">
      <c r="A67" s="7"/>
      <c r="B67" s="7"/>
      <c r="C67" s="7"/>
      <c r="D67" s="7"/>
      <c r="E67" s="7"/>
      <c r="F67" s="7"/>
      <c r="G67" s="7"/>
      <c r="H67" s="7"/>
      <c r="I67" s="7"/>
      <c r="J67" s="7"/>
      <c r="K67" s="7"/>
      <c r="L67" s="7"/>
    </row>
    <row r="68" spans="1:12">
      <c r="A68" s="7"/>
      <c r="B68" s="7"/>
      <c r="C68" s="7"/>
      <c r="D68" s="7"/>
      <c r="E68" s="7"/>
      <c r="F68" s="7"/>
      <c r="G68" s="7"/>
      <c r="H68" s="7"/>
      <c r="I68" s="7"/>
      <c r="J68" s="7"/>
      <c r="K68" s="7"/>
      <c r="L68" s="7"/>
    </row>
    <row r="69" spans="1:12">
      <c r="A69" s="7"/>
      <c r="B69" s="7"/>
      <c r="C69" s="7"/>
      <c r="D69" s="7"/>
      <c r="E69" s="7"/>
      <c r="F69" s="7"/>
      <c r="G69" s="7"/>
      <c r="H69" s="7"/>
      <c r="I69" s="7"/>
      <c r="J69" s="7"/>
      <c r="K69" s="7"/>
      <c r="L69" s="7"/>
    </row>
    <row r="70" spans="1:12">
      <c r="A70" s="7"/>
      <c r="B70" s="7"/>
      <c r="C70" s="7"/>
      <c r="D70" s="7"/>
      <c r="E70" s="7"/>
      <c r="F70" s="7"/>
      <c r="G70" s="7"/>
      <c r="H70" s="7"/>
      <c r="I70" s="7"/>
      <c r="J70" s="7"/>
      <c r="K70" s="7"/>
      <c r="L70" s="7"/>
    </row>
    <row r="71" spans="1:12">
      <c r="A71" s="7"/>
      <c r="B71" s="7"/>
      <c r="C71" s="7"/>
      <c r="D71" s="7"/>
      <c r="E71" s="7"/>
      <c r="F71" s="7"/>
      <c r="G71" s="7"/>
      <c r="H71" s="7"/>
      <c r="I71" s="7"/>
      <c r="J71" s="7"/>
      <c r="K71" s="7"/>
      <c r="L71" s="7"/>
    </row>
    <row r="72" spans="1:12">
      <c r="A72" s="7"/>
      <c r="B72" s="7"/>
      <c r="C72" s="7"/>
      <c r="D72" s="7"/>
      <c r="E72" s="7"/>
      <c r="F72" s="7"/>
      <c r="G72" s="7"/>
      <c r="H72" s="7"/>
      <c r="I72" s="7"/>
      <c r="J72" s="7"/>
      <c r="K72" s="7"/>
      <c r="L72" s="7"/>
    </row>
    <row r="73" spans="1:12">
      <c r="A73" s="7"/>
      <c r="B73" s="7"/>
      <c r="C73" s="7"/>
      <c r="D73" s="7"/>
      <c r="E73" s="7"/>
      <c r="F73" s="7"/>
      <c r="G73" s="7"/>
      <c r="H73" s="7"/>
      <c r="I73" s="7"/>
      <c r="J73" s="7"/>
      <c r="K73" s="7"/>
      <c r="L73" s="7"/>
    </row>
    <row r="74" spans="1:12">
      <c r="A74" s="7"/>
      <c r="B74" s="7"/>
      <c r="C74" s="7"/>
      <c r="D74" s="7"/>
      <c r="E74" s="7"/>
      <c r="F74" s="7"/>
      <c r="G74" s="7"/>
      <c r="H74" s="7"/>
      <c r="I74" s="7"/>
      <c r="J74" s="7"/>
      <c r="K74" s="7"/>
      <c r="L74" s="7"/>
    </row>
    <row r="75" spans="1:12">
      <c r="A75" s="7"/>
      <c r="B75" s="7"/>
      <c r="C75" s="7"/>
      <c r="D75" s="7"/>
      <c r="E75" s="7"/>
      <c r="F75" s="7"/>
      <c r="G75" s="7"/>
      <c r="H75" s="7"/>
      <c r="I75" s="7"/>
      <c r="J75" s="7"/>
      <c r="K75" s="7"/>
      <c r="L75" s="7"/>
    </row>
    <row r="76" spans="1:12">
      <c r="A76" s="7"/>
      <c r="B76" s="7"/>
      <c r="C76" s="7"/>
      <c r="D76" s="7"/>
      <c r="E76" s="7"/>
      <c r="F76" s="7"/>
      <c r="G76" s="7"/>
      <c r="H76" s="7"/>
      <c r="I76" s="7"/>
      <c r="J76" s="7"/>
      <c r="K76" s="7"/>
      <c r="L76" s="7"/>
    </row>
    <row r="77" spans="1:12">
      <c r="A77" s="7"/>
      <c r="B77" s="7"/>
      <c r="C77" s="7"/>
      <c r="D77" s="7"/>
      <c r="E77" s="7"/>
      <c r="F77" s="7"/>
      <c r="G77" s="7"/>
      <c r="H77" s="7"/>
      <c r="I77" s="7"/>
      <c r="J77" s="7"/>
      <c r="K77" s="7"/>
      <c r="L77" s="7"/>
    </row>
    <row r="78" spans="1:12">
      <c r="A78" s="7"/>
      <c r="B78" s="7"/>
      <c r="C78" s="7"/>
      <c r="D78" s="7"/>
      <c r="E78" s="7"/>
      <c r="F78" s="7"/>
      <c r="G78" s="7"/>
      <c r="H78" s="7"/>
      <c r="I78" s="7"/>
      <c r="J78" s="7"/>
      <c r="K78" s="7"/>
      <c r="L78" s="7"/>
    </row>
    <row r="79" spans="1:12">
      <c r="A79" s="7"/>
      <c r="B79" s="7"/>
      <c r="C79" s="7"/>
      <c r="D79" s="7"/>
      <c r="E79" s="7"/>
      <c r="F79" s="7"/>
      <c r="G79" s="7"/>
      <c r="H79" s="7"/>
      <c r="I79" s="7"/>
      <c r="J79" s="7"/>
      <c r="K79" s="7"/>
      <c r="L79" s="7"/>
    </row>
  </sheetData>
  <mergeCells count="1">
    <mergeCell ref="I4:P4"/>
  </mergeCells>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E246"/>
  <sheetViews>
    <sheetView workbookViewId="0">
      <selection activeCell="H43" sqref="H43"/>
    </sheetView>
  </sheetViews>
  <sheetFormatPr baseColWidth="10" defaultColWidth="11" defaultRowHeight="15" x14ac:dyDescent="0"/>
  <cols>
    <col min="1" max="1" width="25" customWidth="1"/>
    <col min="2" max="2" width="14.6640625" customWidth="1"/>
    <col min="3" max="4" width="15" customWidth="1"/>
    <col min="8" max="8" width="13" customWidth="1"/>
    <col min="9" max="9" width="14.5" customWidth="1"/>
    <col min="10" max="10" width="12.1640625" customWidth="1"/>
    <col min="11" max="11" width="13.1640625" customWidth="1"/>
    <col min="12" max="12" width="14.5" customWidth="1"/>
  </cols>
  <sheetData>
    <row r="1" spans="1:19">
      <c r="A1" t="s">
        <v>15</v>
      </c>
    </row>
    <row r="3" spans="1:19">
      <c r="A3" t="s">
        <v>16</v>
      </c>
    </row>
    <row r="5" spans="1:19">
      <c r="A5" t="s">
        <v>183</v>
      </c>
    </row>
    <row r="6" spans="1:19">
      <c r="A6" t="s">
        <v>121</v>
      </c>
      <c r="B6">
        <v>250</v>
      </c>
    </row>
    <row r="7" spans="1:19">
      <c r="A7" t="s">
        <v>25</v>
      </c>
      <c r="B7">
        <v>100</v>
      </c>
    </row>
    <row r="8" spans="1:19">
      <c r="A8" t="s">
        <v>26</v>
      </c>
      <c r="B8">
        <v>0</v>
      </c>
    </row>
    <row r="10" spans="1:19">
      <c r="A10" s="4" t="s">
        <v>17</v>
      </c>
      <c r="B10" s="17"/>
      <c r="C10" s="17"/>
      <c r="D10" s="17"/>
      <c r="E10" s="17"/>
      <c r="F10" s="17"/>
      <c r="G10" s="17"/>
      <c r="H10" s="17"/>
      <c r="I10" s="17"/>
      <c r="J10" s="17"/>
      <c r="K10" s="17"/>
      <c r="L10" s="17"/>
    </row>
    <row r="11" spans="1:19" ht="31" customHeight="1" thickBot="1">
      <c r="A11" s="68" t="s">
        <v>18</v>
      </c>
      <c r="B11" s="68"/>
      <c r="C11" s="68" t="s">
        <v>19</v>
      </c>
      <c r="D11" s="68"/>
      <c r="E11" s="68" t="s">
        <v>20</v>
      </c>
      <c r="F11" s="68"/>
      <c r="G11" s="68" t="s">
        <v>6</v>
      </c>
      <c r="H11" s="68" t="s">
        <v>21</v>
      </c>
      <c r="I11" s="68" t="s">
        <v>22</v>
      </c>
      <c r="J11" s="68" t="s">
        <v>8</v>
      </c>
      <c r="K11" s="69" t="s">
        <v>23</v>
      </c>
      <c r="L11" s="69" t="s">
        <v>24</v>
      </c>
      <c r="M11" s="69" t="s">
        <v>112</v>
      </c>
      <c r="O11" s="74" t="s">
        <v>87</v>
      </c>
      <c r="P11" s="75" t="s">
        <v>4</v>
      </c>
      <c r="Q11" s="74" t="s">
        <v>88</v>
      </c>
      <c r="R11" s="74" t="s">
        <v>25</v>
      </c>
      <c r="S11" s="74" t="s">
        <v>26</v>
      </c>
    </row>
    <row r="12" spans="1:19">
      <c r="A12" s="70" t="str">
        <f>A34</f>
        <v>Cv-cho-RR-01</v>
      </c>
      <c r="B12" s="71" t="s">
        <v>147</v>
      </c>
      <c r="C12" s="71">
        <f>C43</f>
        <v>393.81450000000001</v>
      </c>
      <c r="D12" s="71">
        <f t="shared" ref="D12:L12" si="0">D43</f>
        <v>393.81450000000001</v>
      </c>
      <c r="E12" s="71">
        <f t="shared" si="0"/>
        <v>196.90725</v>
      </c>
      <c r="F12" s="71">
        <f t="shared" si="0"/>
        <v>196.90725</v>
      </c>
      <c r="G12" s="71">
        <f t="shared" si="0"/>
        <v>122081.8639817159</v>
      </c>
      <c r="H12" s="71">
        <f t="shared" si="0"/>
        <v>2</v>
      </c>
      <c r="I12" s="71">
        <f t="shared" si="0"/>
        <v>598055.21545200003</v>
      </c>
      <c r="J12" s="71">
        <f t="shared" si="0"/>
        <v>6785078.125</v>
      </c>
      <c r="K12" s="71">
        <f t="shared" si="0"/>
        <v>8.8142716183094799E-2</v>
      </c>
      <c r="L12" s="71">
        <f t="shared" si="0"/>
        <v>8.8142716183094798</v>
      </c>
      <c r="M12" s="71">
        <f>K12*100</f>
        <v>8.8142716183094798</v>
      </c>
      <c r="O12" s="74"/>
      <c r="P12" s="74" t="str">
        <f>A34</f>
        <v>Cv-cho-RR-01</v>
      </c>
      <c r="Q12">
        <v>812.33199999999999</v>
      </c>
      <c r="R12">
        <v>789.82799999999997</v>
      </c>
      <c r="S12" s="74"/>
    </row>
    <row r="13" spans="1:19">
      <c r="A13" s="71"/>
      <c r="B13" s="71" t="s">
        <v>146</v>
      </c>
      <c r="C13" s="71">
        <f t="shared" ref="C13:L14" si="1">C44</f>
        <v>190.428</v>
      </c>
      <c r="D13" s="71">
        <f t="shared" si="1"/>
        <v>190.428</v>
      </c>
      <c r="E13" s="71">
        <f t="shared" si="1"/>
        <v>95.213999999999999</v>
      </c>
      <c r="F13" s="71">
        <f t="shared" si="1"/>
        <v>95.213999999999999</v>
      </c>
      <c r="G13" s="71">
        <f t="shared" si="1"/>
        <v>28982.055379329424</v>
      </c>
      <c r="H13" s="71">
        <f t="shared" si="1"/>
        <v>3</v>
      </c>
      <c r="I13" s="71">
        <f t="shared" si="1"/>
        <v>308663.36509783624</v>
      </c>
      <c r="J13" s="71">
        <f t="shared" si="1"/>
        <v>6785078.125</v>
      </c>
      <c r="K13" s="71">
        <f t="shared" si="1"/>
        <v>4.5491497579158123E-2</v>
      </c>
      <c r="L13" s="71">
        <f t="shared" si="1"/>
        <v>4.5491497579158127</v>
      </c>
      <c r="M13" s="71">
        <f t="shared" ref="M13:M22" si="2">K13*100</f>
        <v>4.5491497579158127</v>
      </c>
      <c r="O13" s="74"/>
      <c r="P13" s="74"/>
      <c r="Q13">
        <v>701.00400000000002</v>
      </c>
      <c r="R13">
        <v>661.08299999999997</v>
      </c>
      <c r="S13" s="74"/>
    </row>
    <row r="14" spans="1:19">
      <c r="A14" s="71"/>
      <c r="B14" s="71" t="s">
        <v>145</v>
      </c>
      <c r="C14" s="71">
        <f t="shared" si="1"/>
        <v>37.487000000000002</v>
      </c>
      <c r="D14" s="71">
        <f t="shared" si="1"/>
        <v>37.487000000000002</v>
      </c>
      <c r="E14" s="71">
        <f t="shared" si="1"/>
        <v>18.743500000000001</v>
      </c>
      <c r="F14" s="71">
        <f t="shared" si="1"/>
        <v>18.743500000000001</v>
      </c>
      <c r="G14" s="71">
        <f t="shared" si="1"/>
        <v>1160.7208618187153</v>
      </c>
      <c r="H14" s="71">
        <f t="shared" si="1"/>
        <v>3</v>
      </c>
      <c r="I14" s="71">
        <f t="shared" si="1"/>
        <v>3482.1625854561462</v>
      </c>
      <c r="J14" s="71">
        <f t="shared" si="1"/>
        <v>6785078.125</v>
      </c>
      <c r="K14" s="71">
        <f t="shared" si="1"/>
        <v>5.1320891540304061E-4</v>
      </c>
      <c r="L14" s="71">
        <f t="shared" si="1"/>
        <v>5.1320891540304059E-2</v>
      </c>
      <c r="M14" s="71">
        <f t="shared" si="2"/>
        <v>5.1320891540304059E-2</v>
      </c>
      <c r="O14" s="74"/>
      <c r="P14" s="74" t="str">
        <f>A50</f>
        <v>Cv-cho-RR-B-12-2</v>
      </c>
      <c r="Q14">
        <v>1256.06</v>
      </c>
      <c r="R14" s="74"/>
      <c r="S14" s="74"/>
    </row>
    <row r="15" spans="1:19">
      <c r="A15" s="71" t="str">
        <f>A50</f>
        <v>Cv-cho-RR-B-12-2</v>
      </c>
      <c r="B15" s="71" t="s">
        <v>147</v>
      </c>
      <c r="C15" s="71">
        <f>C60</f>
        <v>543.14400000000001</v>
      </c>
      <c r="D15" s="71">
        <f t="shared" ref="D15:L15" si="3">D60</f>
        <v>543.14400000000001</v>
      </c>
      <c r="E15" s="71">
        <f t="shared" si="3"/>
        <v>271.572</v>
      </c>
      <c r="F15" s="71">
        <f t="shared" si="3"/>
        <v>271.572</v>
      </c>
      <c r="G15" s="71">
        <f t="shared" si="3"/>
        <v>231864.68731255629</v>
      </c>
      <c r="H15" s="71">
        <f t="shared" si="3"/>
        <v>3</v>
      </c>
      <c r="I15" s="71">
        <f t="shared" si="3"/>
        <v>1152386.2970008221</v>
      </c>
      <c r="J15" s="71">
        <f t="shared" si="3"/>
        <v>2738745.6749999998</v>
      </c>
      <c r="K15" s="71">
        <f t="shared" si="3"/>
        <v>0.42077156251495396</v>
      </c>
      <c r="L15" s="71">
        <f t="shared" si="3"/>
        <v>42.077156251495396</v>
      </c>
      <c r="M15" s="71">
        <f t="shared" si="2"/>
        <v>42.077156251495396</v>
      </c>
      <c r="O15" s="74"/>
      <c r="P15" s="74"/>
      <c r="Q15" s="74"/>
      <c r="R15" s="74"/>
      <c r="S15" s="74"/>
    </row>
    <row r="16" spans="1:19">
      <c r="A16" s="71"/>
      <c r="B16" s="71" t="s">
        <v>145</v>
      </c>
      <c r="C16" s="71">
        <f>C62</f>
        <v>52.582833333333333</v>
      </c>
      <c r="D16" s="71">
        <f t="shared" ref="D16:L16" si="4">D62</f>
        <v>52.582833333333333</v>
      </c>
      <c r="E16" s="71">
        <f t="shared" si="4"/>
        <v>26.291416666666667</v>
      </c>
      <c r="F16" s="71">
        <f t="shared" si="4"/>
        <v>26.291416666666667</v>
      </c>
      <c r="G16" s="71">
        <f t="shared" si="4"/>
        <v>2338.3100371626756</v>
      </c>
      <c r="H16" s="71">
        <f t="shared" si="4"/>
        <v>6</v>
      </c>
      <c r="I16" s="71">
        <f t="shared" si="4"/>
        <v>14029.860222976055</v>
      </c>
      <c r="J16" s="71">
        <f t="shared" si="4"/>
        <v>2738745.6749999998</v>
      </c>
      <c r="K16" s="71">
        <f t="shared" si="4"/>
        <v>5.1227320415489315E-3</v>
      </c>
      <c r="L16" s="71">
        <f t="shared" si="4"/>
        <v>0.51227320415489319</v>
      </c>
      <c r="M16" s="71">
        <f t="shared" si="2"/>
        <v>0.51227320415489319</v>
      </c>
      <c r="O16" s="74"/>
      <c r="P16" s="74"/>
      <c r="Q16" s="74"/>
      <c r="R16" s="74"/>
      <c r="S16" s="74"/>
    </row>
    <row r="17" spans="1:19">
      <c r="A17" s="71" t="str">
        <f>A67</f>
        <v>Cv-cho-RR-02</v>
      </c>
      <c r="B17" s="71" t="s">
        <v>147</v>
      </c>
      <c r="C17" s="71">
        <f>C89</f>
        <v>395.31599999999997</v>
      </c>
      <c r="D17" s="71">
        <f t="shared" ref="D17:L17" si="5">D89</f>
        <v>395.31599999999997</v>
      </c>
      <c r="E17" s="71">
        <f t="shared" si="5"/>
        <v>197.65799999999999</v>
      </c>
      <c r="F17" s="71">
        <f t="shared" si="5"/>
        <v>197.65799999999999</v>
      </c>
      <c r="G17" s="71">
        <f t="shared" si="5"/>
        <v>122737.89366831641</v>
      </c>
      <c r="H17" s="71">
        <f t="shared" si="5"/>
        <v>1</v>
      </c>
      <c r="I17" s="71">
        <f t="shared" si="5"/>
        <v>122737.89366831641</v>
      </c>
      <c r="J17" s="71">
        <f t="shared" si="5"/>
        <v>3014033.2030000002</v>
      </c>
      <c r="K17" s="71">
        <f t="shared" si="5"/>
        <v>4.072214385234707E-2</v>
      </c>
      <c r="L17" s="71">
        <f t="shared" si="5"/>
        <v>4.072214385234707</v>
      </c>
      <c r="M17" s="71">
        <f t="shared" si="2"/>
        <v>4.072214385234707</v>
      </c>
      <c r="O17" s="74"/>
      <c r="P17" s="74"/>
      <c r="Q17" s="74"/>
      <c r="R17" s="74"/>
      <c r="S17" s="74"/>
    </row>
    <row r="18" spans="1:19">
      <c r="A18" s="71"/>
      <c r="B18" s="71" t="s">
        <v>145</v>
      </c>
      <c r="C18" s="71">
        <f>C91</f>
        <v>29.654749999999996</v>
      </c>
      <c r="D18" s="71">
        <f t="shared" ref="D18:L18" si="6">D91</f>
        <v>26.4056</v>
      </c>
      <c r="E18" s="71">
        <f t="shared" si="6"/>
        <v>14.827374999999998</v>
      </c>
      <c r="F18" s="71">
        <f t="shared" si="6"/>
        <v>13.2028</v>
      </c>
      <c r="G18" s="71">
        <f t="shared" si="6"/>
        <v>694.93265922245905</v>
      </c>
      <c r="H18" s="71">
        <f t="shared" si="6"/>
        <v>20</v>
      </c>
      <c r="I18" s="71">
        <f t="shared" si="6"/>
        <v>13898.65318444918</v>
      </c>
      <c r="J18" s="71">
        <f t="shared" si="6"/>
        <v>3014033.2030000002</v>
      </c>
      <c r="K18" s="71">
        <f t="shared" si="6"/>
        <v>4.6113138934950147E-3</v>
      </c>
      <c r="L18" s="71">
        <f t="shared" si="6"/>
        <v>0.46113138934950149</v>
      </c>
      <c r="M18" s="71">
        <f t="shared" si="2"/>
        <v>0.46113138934950149</v>
      </c>
      <c r="O18" s="74"/>
      <c r="P18" s="74"/>
      <c r="Q18" s="74"/>
      <c r="R18" s="74"/>
      <c r="S18" s="74"/>
    </row>
    <row r="19" spans="1:19">
      <c r="A19" s="71" t="str">
        <f>A95</f>
        <v>Cv-cho-RR-B-04-2</v>
      </c>
      <c r="B19" s="71" t="s">
        <v>147</v>
      </c>
      <c r="C19" s="71">
        <f>C110</f>
        <v>293.74200000000002</v>
      </c>
      <c r="D19" s="71">
        <f t="shared" ref="D19:L19" si="7">D110</f>
        <v>296.11</v>
      </c>
      <c r="E19" s="71">
        <f t="shared" si="7"/>
        <v>146.87100000000001</v>
      </c>
      <c r="F19" s="71">
        <f t="shared" si="7"/>
        <v>148.05500000000001</v>
      </c>
      <c r="G19" s="71">
        <f t="shared" si="7"/>
        <v>68313.887971561606</v>
      </c>
      <c r="H19" s="71">
        <f t="shared" si="7"/>
        <v>1</v>
      </c>
      <c r="I19" s="71">
        <f t="shared" si="7"/>
        <v>68313.887971561606</v>
      </c>
      <c r="J19" s="71">
        <f t="shared" si="7"/>
        <v>5496052.3710000003</v>
      </c>
      <c r="K19" s="71">
        <f t="shared" si="7"/>
        <v>1.2429628278657028E-2</v>
      </c>
      <c r="L19" s="71">
        <f t="shared" si="7"/>
        <v>1.2429628278657028</v>
      </c>
      <c r="M19" s="71">
        <f t="shared" si="2"/>
        <v>1.2429628278657028</v>
      </c>
      <c r="O19" s="74"/>
      <c r="P19" s="74"/>
      <c r="Q19" s="74"/>
      <c r="R19" s="74"/>
      <c r="S19" s="74"/>
    </row>
    <row r="20" spans="1:19">
      <c r="A20" s="71"/>
      <c r="B20" s="71" t="s">
        <v>146</v>
      </c>
      <c r="C20" s="71">
        <f t="shared" ref="C20:L21" si="8">C111</f>
        <v>199.49</v>
      </c>
      <c r="D20" s="71">
        <f t="shared" si="8"/>
        <v>148.72199999999998</v>
      </c>
      <c r="E20" s="71">
        <f t="shared" si="8"/>
        <v>99.745000000000005</v>
      </c>
      <c r="F20" s="71">
        <f t="shared" si="8"/>
        <v>74.36099999999999</v>
      </c>
      <c r="G20" s="71">
        <f t="shared" si="8"/>
        <v>23274.875542892485</v>
      </c>
      <c r="H20" s="71">
        <f t="shared" si="8"/>
        <v>2</v>
      </c>
      <c r="I20" s="71">
        <f t="shared" si="8"/>
        <v>46549.75108578497</v>
      </c>
      <c r="J20" s="71">
        <f t="shared" si="8"/>
        <v>5496052.3710000003</v>
      </c>
      <c r="K20" s="71">
        <f t="shared" si="8"/>
        <v>8.4696702184654214E-3</v>
      </c>
      <c r="L20" s="71">
        <f t="shared" si="8"/>
        <v>0.84696702184654216</v>
      </c>
      <c r="M20" s="71">
        <f t="shared" si="2"/>
        <v>0.84696702184654216</v>
      </c>
      <c r="P20" t="s">
        <v>111</v>
      </c>
      <c r="Q20">
        <f>AVERAGE(Q12:Q19)</f>
        <v>923.13199999999995</v>
      </c>
      <c r="R20">
        <f t="shared" ref="R20" si="9">AVERAGE(R12:R19)</f>
        <v>725.45550000000003</v>
      </c>
      <c r="S20">
        <v>0.5</v>
      </c>
    </row>
    <row r="21" spans="1:19">
      <c r="A21" s="71"/>
      <c r="B21" s="71" t="s">
        <v>145</v>
      </c>
      <c r="C21" s="71">
        <f t="shared" si="8"/>
        <v>66.396363636363631</v>
      </c>
      <c r="D21" s="71">
        <f t="shared" si="8"/>
        <v>57.57390909090909</v>
      </c>
      <c r="E21" s="71">
        <f t="shared" si="8"/>
        <v>33.198181818181816</v>
      </c>
      <c r="F21" s="71">
        <f t="shared" si="8"/>
        <v>28.786954545454545</v>
      </c>
      <c r="G21" s="71">
        <f t="shared" si="8"/>
        <v>3032.3227571613429</v>
      </c>
      <c r="H21" s="71">
        <f t="shared" si="8"/>
        <v>11</v>
      </c>
      <c r="I21" s="71">
        <f t="shared" si="8"/>
        <v>33355.550328774771</v>
      </c>
      <c r="J21" s="71">
        <f t="shared" si="8"/>
        <v>5496052.3710000003</v>
      </c>
      <c r="K21" s="71">
        <f t="shared" si="8"/>
        <v>6.0690015445951373E-3</v>
      </c>
      <c r="L21" s="71">
        <f t="shared" si="8"/>
        <v>0.60690015445951373</v>
      </c>
      <c r="M21" s="71">
        <f t="shared" si="2"/>
        <v>0.60690015445951373</v>
      </c>
    </row>
    <row r="22" spans="1:19">
      <c r="A22" s="71" t="str">
        <f>A117</f>
        <v>Cv-bw-22</v>
      </c>
      <c r="B22" s="71" t="s">
        <v>145</v>
      </c>
      <c r="C22" s="71">
        <f>C123</f>
        <v>32.910666666666664</v>
      </c>
      <c r="D22" s="71">
        <f t="shared" ref="D22:L22" si="10">D123</f>
        <v>26.906333333333333</v>
      </c>
      <c r="E22" s="71">
        <f t="shared" si="10"/>
        <v>16.455333333333332</v>
      </c>
      <c r="F22" s="71">
        <f t="shared" si="10"/>
        <v>13.453166666666666</v>
      </c>
      <c r="G22" s="71">
        <f t="shared" si="10"/>
        <v>826.15405274645036</v>
      </c>
      <c r="H22" s="71">
        <f t="shared" si="10"/>
        <v>3</v>
      </c>
      <c r="I22" s="71">
        <f t="shared" si="10"/>
        <v>2478.4621582393511</v>
      </c>
      <c r="J22" s="71">
        <f t="shared" si="10"/>
        <v>14846.468000000001</v>
      </c>
      <c r="K22" s="71">
        <f t="shared" si="10"/>
        <v>0.16693951438411822</v>
      </c>
      <c r="L22" s="71">
        <f t="shared" si="10"/>
        <v>16.693951438411823</v>
      </c>
      <c r="M22" s="71">
        <f t="shared" si="2"/>
        <v>16.693951438411823</v>
      </c>
    </row>
    <row r="23" spans="1:19">
      <c r="A23" s="71"/>
      <c r="B23" s="71"/>
      <c r="C23" s="71"/>
      <c r="D23" s="71"/>
      <c r="E23" s="71"/>
      <c r="F23" s="71"/>
      <c r="G23" s="71"/>
      <c r="H23" s="71"/>
      <c r="I23" s="71"/>
      <c r="J23" s="71"/>
      <c r="K23" s="71"/>
      <c r="L23" s="71"/>
      <c r="M23" s="71"/>
    </row>
    <row r="24" spans="1:19">
      <c r="A24" s="71"/>
      <c r="B24" s="71"/>
      <c r="C24" s="71"/>
      <c r="D24" s="71"/>
      <c r="E24" s="71"/>
      <c r="F24" s="71"/>
      <c r="G24" s="71"/>
      <c r="H24" s="71"/>
      <c r="I24" s="71"/>
      <c r="J24" s="71"/>
      <c r="K24" s="71"/>
      <c r="L24" s="71"/>
      <c r="M24" s="71"/>
    </row>
    <row r="25" spans="1:19">
      <c r="A25" s="73"/>
      <c r="B25" s="73"/>
      <c r="C25" s="73"/>
      <c r="D25" s="73"/>
      <c r="E25" s="73"/>
      <c r="F25" s="73"/>
      <c r="G25" s="73"/>
      <c r="H25" s="73"/>
      <c r="I25" s="73"/>
      <c r="J25" s="73"/>
      <c r="K25" s="73"/>
      <c r="L25" s="73"/>
      <c r="M25" s="73"/>
    </row>
    <row r="26" spans="1:19">
      <c r="A26" s="40" t="s">
        <v>111</v>
      </c>
      <c r="B26" s="40" t="s">
        <v>88</v>
      </c>
      <c r="C26" s="40">
        <f>AVERAGE(C12,C15,C17,C19)</f>
        <v>406.50412499999999</v>
      </c>
      <c r="D26" s="40">
        <f t="shared" ref="D26:M26" si="11">AVERAGE(D12,D15,D17,D19)</f>
        <v>407.09612500000003</v>
      </c>
      <c r="E26" s="40">
        <f t="shared" si="11"/>
        <v>203.25206249999999</v>
      </c>
      <c r="F26" s="40">
        <f t="shared" si="11"/>
        <v>203.54806250000001</v>
      </c>
      <c r="G26" s="40">
        <f t="shared" si="11"/>
        <v>136249.58323353756</v>
      </c>
      <c r="H26" s="40">
        <f t="shared" si="11"/>
        <v>1.75</v>
      </c>
      <c r="I26" s="40">
        <f t="shared" si="11"/>
        <v>485373.32352317503</v>
      </c>
      <c r="J26" s="40">
        <f t="shared" si="11"/>
        <v>4508477.3435000004</v>
      </c>
      <c r="K26" s="40">
        <f t="shared" si="11"/>
        <v>0.1405165127072632</v>
      </c>
      <c r="L26" s="40">
        <f t="shared" si="11"/>
        <v>14.051651270726321</v>
      </c>
      <c r="M26" s="40">
        <f t="shared" si="11"/>
        <v>14.051651270726321</v>
      </c>
    </row>
    <row r="27" spans="1:19">
      <c r="A27" s="40"/>
      <c r="B27" s="40" t="s">
        <v>25</v>
      </c>
      <c r="C27" s="40">
        <f>AVERAGE(C13,C20)</f>
        <v>194.959</v>
      </c>
      <c r="D27" s="40">
        <f t="shared" ref="D27:M27" si="12">AVERAGE(D13,D20)</f>
        <v>169.57499999999999</v>
      </c>
      <c r="E27" s="40">
        <f t="shared" si="12"/>
        <v>97.479500000000002</v>
      </c>
      <c r="F27" s="40">
        <f t="shared" si="12"/>
        <v>84.787499999999994</v>
      </c>
      <c r="G27" s="40">
        <f t="shared" si="12"/>
        <v>26128.465461110954</v>
      </c>
      <c r="H27" s="40">
        <f t="shared" si="12"/>
        <v>2.5</v>
      </c>
      <c r="I27" s="40">
        <f t="shared" si="12"/>
        <v>177606.55809181061</v>
      </c>
      <c r="J27" s="40">
        <f t="shared" si="12"/>
        <v>6140565.2479999997</v>
      </c>
      <c r="K27" s="40">
        <f t="shared" si="12"/>
        <v>2.698058389881177E-2</v>
      </c>
      <c r="L27" s="40">
        <f t="shared" si="12"/>
        <v>2.6980583898811776</v>
      </c>
      <c r="M27" s="40">
        <f t="shared" si="12"/>
        <v>2.6980583898811776</v>
      </c>
    </row>
    <row r="28" spans="1:19" ht="16" thickBot="1">
      <c r="A28" s="41"/>
      <c r="B28" s="41" t="s">
        <v>26</v>
      </c>
      <c r="C28" s="41">
        <f>AVERAGE(C14,C16,C18,C21,C22)</f>
        <v>43.806322727272722</v>
      </c>
      <c r="D28" s="41">
        <f t="shared" ref="D28:M28" si="13">AVERAGE(D14,D16,D18,D21,D22)</f>
        <v>40.191135151515155</v>
      </c>
      <c r="E28" s="41">
        <f t="shared" si="13"/>
        <v>21.903161363636361</v>
      </c>
      <c r="F28" s="41">
        <f t="shared" si="13"/>
        <v>20.095567575757578</v>
      </c>
      <c r="G28" s="41">
        <f t="shared" si="13"/>
        <v>1610.4880736223286</v>
      </c>
      <c r="H28" s="41">
        <f t="shared" si="13"/>
        <v>8.6</v>
      </c>
      <c r="I28" s="41">
        <f t="shared" si="13"/>
        <v>13448.937695979101</v>
      </c>
      <c r="J28" s="41">
        <f t="shared" si="13"/>
        <v>3609751.1683999998</v>
      </c>
      <c r="K28" s="41">
        <f t="shared" si="13"/>
        <v>3.6651154155832068E-2</v>
      </c>
      <c r="L28" s="41">
        <f t="shared" si="13"/>
        <v>3.6651154155832066</v>
      </c>
      <c r="M28" s="41">
        <f t="shared" si="13"/>
        <v>3.6651154155832066</v>
      </c>
    </row>
    <row r="29" spans="1:19">
      <c r="A29" s="7"/>
      <c r="B29" s="11"/>
      <c r="C29" s="33"/>
      <c r="D29" s="33"/>
      <c r="E29" s="33"/>
      <c r="F29" s="33"/>
      <c r="G29" s="33"/>
      <c r="H29" s="33"/>
      <c r="I29" s="33"/>
      <c r="J29" s="33"/>
      <c r="K29" s="33"/>
      <c r="L29" s="33"/>
    </row>
    <row r="30" spans="1:19">
      <c r="M30" t="s">
        <v>176</v>
      </c>
    </row>
    <row r="31" spans="1:19">
      <c r="A31" s="11"/>
      <c r="B31" s="11"/>
      <c r="C31" s="11"/>
      <c r="D31" s="11"/>
      <c r="E31" s="11"/>
      <c r="F31" s="11"/>
      <c r="G31" s="11"/>
      <c r="H31" s="11"/>
      <c r="I31" s="11"/>
      <c r="J31" s="11"/>
      <c r="K31" s="11"/>
      <c r="L31" s="11"/>
    </row>
    <row r="32" spans="1:19">
      <c r="A32" s="11"/>
      <c r="B32" s="11"/>
      <c r="C32" s="11"/>
      <c r="D32" s="11"/>
      <c r="E32" s="11"/>
      <c r="F32" s="11"/>
      <c r="G32" s="11"/>
      <c r="H32" s="11"/>
      <c r="I32" s="11"/>
      <c r="J32" s="11"/>
      <c r="K32" s="11"/>
      <c r="L32" s="11"/>
      <c r="M32" s="3"/>
    </row>
    <row r="33" spans="1:12" ht="30">
      <c r="A33" s="2" t="s">
        <v>119</v>
      </c>
      <c r="B33" s="2" t="s">
        <v>120</v>
      </c>
      <c r="C33" s="2" t="s">
        <v>19</v>
      </c>
      <c r="D33" s="2" t="s">
        <v>89</v>
      </c>
      <c r="E33" s="2" t="s">
        <v>20</v>
      </c>
      <c r="F33" s="2" t="s">
        <v>90</v>
      </c>
      <c r="G33" s="2" t="s">
        <v>6</v>
      </c>
      <c r="H33" s="2" t="s">
        <v>21</v>
      </c>
      <c r="I33" s="2" t="s">
        <v>22</v>
      </c>
      <c r="J33" s="2" t="s">
        <v>8</v>
      </c>
      <c r="K33" s="2" t="s">
        <v>23</v>
      </c>
      <c r="L33" s="2" t="s">
        <v>24</v>
      </c>
    </row>
    <row r="34" spans="1:12">
      <c r="A34" t="s">
        <v>175</v>
      </c>
      <c r="B34" s="2"/>
      <c r="C34" s="11">
        <v>412.512</v>
      </c>
      <c r="D34" s="11">
        <v>412.512</v>
      </c>
      <c r="E34">
        <f>C34/2</f>
        <v>206.256</v>
      </c>
      <c r="F34">
        <f>D34/2</f>
        <v>206.256</v>
      </c>
      <c r="G34">
        <f>PI()*E34*F34</f>
        <v>133648.18179551204</v>
      </c>
      <c r="H34" s="2"/>
      <c r="I34" s="2"/>
      <c r="J34" s="2"/>
      <c r="K34" s="2"/>
      <c r="L34" s="2"/>
    </row>
    <row r="35" spans="1:12">
      <c r="C35" s="11">
        <v>221.25800000000001</v>
      </c>
      <c r="D35" s="11">
        <v>221.25800000000001</v>
      </c>
      <c r="E35">
        <f t="shared" ref="E35:E41" si="14">C35/2</f>
        <v>110.629</v>
      </c>
      <c r="F35">
        <f t="shared" ref="F35:F41" si="15">D35/2</f>
        <v>110.629</v>
      </c>
      <c r="G35">
        <f t="shared" ref="G35:G41" si="16">PI()*E35*F35</f>
        <v>38449.247642699316</v>
      </c>
    </row>
    <row r="36" spans="1:12">
      <c r="C36" s="11">
        <v>375.11700000000002</v>
      </c>
      <c r="D36" s="11">
        <v>375.11700000000002</v>
      </c>
      <c r="E36">
        <f t="shared" si="14"/>
        <v>187.55850000000001</v>
      </c>
      <c r="F36">
        <f t="shared" si="15"/>
        <v>187.55850000000001</v>
      </c>
      <c r="G36">
        <f t="shared" si="16"/>
        <v>110515.54616791976</v>
      </c>
    </row>
    <row r="37" spans="1:12">
      <c r="C37" s="11">
        <v>190.65100000000001</v>
      </c>
      <c r="D37" s="11">
        <v>190.65100000000001</v>
      </c>
      <c r="E37">
        <f t="shared" si="14"/>
        <v>95.325500000000005</v>
      </c>
      <c r="F37">
        <f t="shared" si="15"/>
        <v>95.325500000000005</v>
      </c>
      <c r="G37">
        <f t="shared" si="16"/>
        <v>28547.498348836194</v>
      </c>
    </row>
    <row r="38" spans="1:12">
      <c r="C38" s="11">
        <v>159.375</v>
      </c>
      <c r="D38" s="11">
        <v>159.375</v>
      </c>
      <c r="E38">
        <f t="shared" si="14"/>
        <v>79.6875</v>
      </c>
      <c r="F38">
        <f t="shared" si="15"/>
        <v>79.6875</v>
      </c>
      <c r="G38">
        <f t="shared" si="16"/>
        <v>19949.420146452765</v>
      </c>
    </row>
    <row r="39" spans="1:12">
      <c r="C39" s="11">
        <v>47.29</v>
      </c>
      <c r="D39" s="11">
        <v>47.29</v>
      </c>
      <c r="E39">
        <f t="shared" si="14"/>
        <v>23.645</v>
      </c>
      <c r="F39">
        <f t="shared" si="15"/>
        <v>23.645</v>
      </c>
      <c r="G39">
        <f t="shared" si="16"/>
        <v>1756.4205488647192</v>
      </c>
    </row>
    <row r="40" spans="1:12">
      <c r="C40" s="11">
        <v>38.654000000000003</v>
      </c>
      <c r="D40" s="11">
        <v>38.654000000000003</v>
      </c>
      <c r="E40">
        <f t="shared" si="14"/>
        <v>19.327000000000002</v>
      </c>
      <c r="F40">
        <f t="shared" si="15"/>
        <v>19.327000000000002</v>
      </c>
      <c r="G40">
        <f t="shared" si="16"/>
        <v>1173.488305620278</v>
      </c>
    </row>
    <row r="41" spans="1:12">
      <c r="C41" s="11">
        <v>26.516999999999999</v>
      </c>
      <c r="D41" s="11">
        <v>26.516999999999999</v>
      </c>
      <c r="E41">
        <f t="shared" si="14"/>
        <v>13.2585</v>
      </c>
      <c r="F41">
        <f t="shared" si="15"/>
        <v>13.2585</v>
      </c>
      <c r="G41">
        <f t="shared" si="16"/>
        <v>552.25373097114834</v>
      </c>
    </row>
    <row r="42" spans="1:12">
      <c r="A42" s="31" t="s">
        <v>81</v>
      </c>
      <c r="B42" s="31">
        <f>COUNT(C34:C41)</f>
        <v>8</v>
      </c>
      <c r="C42" s="31">
        <f>AVERAGE(C34:C41)</f>
        <v>183.92175</v>
      </c>
      <c r="D42" s="31">
        <f>AVERAGE(D34:D41)</f>
        <v>183.92175</v>
      </c>
      <c r="E42" s="31">
        <f>AVERAGE(E34:E41)</f>
        <v>91.960875000000001</v>
      </c>
      <c r="F42" s="31">
        <f>AVERAGE(F34:F41)</f>
        <v>91.960875000000001</v>
      </c>
      <c r="G42" s="31">
        <f>AVERAGE(G34:G41)</f>
        <v>41824.007085859528</v>
      </c>
      <c r="H42" s="34">
        <f>B42</f>
        <v>8</v>
      </c>
      <c r="I42" s="65">
        <f>H42*G42</f>
        <v>334592.05668687623</v>
      </c>
      <c r="J42" s="34">
        <v>6785078.125</v>
      </c>
      <c r="K42" s="67">
        <f>I42/J42</f>
        <v>4.9312926177526695E-2</v>
      </c>
      <c r="L42" s="67">
        <f>K42*100</f>
        <v>4.9312926177526695</v>
      </c>
    </row>
    <row r="43" spans="1:12">
      <c r="A43" s="32" t="s">
        <v>88</v>
      </c>
      <c r="B43" s="30">
        <f>COUNTIF(C34:C41,"&gt;"&amp;$B$6)</f>
        <v>2</v>
      </c>
      <c r="C43" s="32">
        <f>AVERAGEIF(C34:C41,"&gt;"&amp;$B$6)</f>
        <v>393.81450000000001</v>
      </c>
      <c r="D43" s="32">
        <f>AVERAGEIF(D34:D41,"&gt;"&amp;$B$6)</f>
        <v>393.81450000000001</v>
      </c>
      <c r="E43" s="32">
        <f>AVERAGEIF(C34:C41,"&gt;"&amp;$B$6,E34:E41)</f>
        <v>196.90725</v>
      </c>
      <c r="F43" s="32">
        <f>AVERAGEIF(D34:D41,"&gt;"&amp;$B$6,F34:F41)</f>
        <v>196.90725</v>
      </c>
      <c r="G43" s="32">
        <f>AVERAGEIF(C34:C41,"&gt;"&amp;$B$6,G34:G41)</f>
        <v>122081.8639817159</v>
      </c>
      <c r="H43" s="32">
        <f>B43</f>
        <v>2</v>
      </c>
      <c r="I43" s="65">
        <f>(C34*Q12)+(C36*Q13)</f>
        <v>598055.21545200003</v>
      </c>
      <c r="J43" s="30">
        <f>J42</f>
        <v>6785078.125</v>
      </c>
      <c r="K43" s="67">
        <f>I43/J43</f>
        <v>8.8142716183094799E-2</v>
      </c>
      <c r="L43" s="67">
        <f>K43*100</f>
        <v>8.8142716183094798</v>
      </c>
    </row>
    <row r="44" spans="1:12">
      <c r="A44" s="30" t="s">
        <v>25</v>
      </c>
      <c r="B44" s="30">
        <f>COUNTIF(C34:C41,"&gt;"&amp;$B$7)-COUNTIF(C34:C41,"&gt;"&amp;$B$6)</f>
        <v>3</v>
      </c>
      <c r="C44" s="30">
        <f>AVERAGEIFS(C34:C41,C34:C41,"&gt;"&amp;$B$7,C34:C41,"&lt;"&amp;$B$6)</f>
        <v>190.428</v>
      </c>
      <c r="D44" s="30">
        <f>AVERAGEIFS(D34:D41,D34:D41,"&gt;"&amp;$B$7,D34:D41,"&lt;"&amp;$B$6)</f>
        <v>190.428</v>
      </c>
      <c r="E44" s="30">
        <f>AVERAGEIFS(E34:E41,C34:C41,"&gt;"&amp;$B$7,C34:C41,"&lt;"&amp;$B$6)</f>
        <v>95.213999999999999</v>
      </c>
      <c r="F44" s="30">
        <f>AVERAGEIFS(F34:F41,D34:D41,"&gt;"&amp;$B$7,D34:D41,"&lt;"&amp;$B$6)</f>
        <v>95.213999999999999</v>
      </c>
      <c r="G44" s="30">
        <f>AVERAGEIFS(G34:G41,C34:C41,"&gt;"&amp;$B$7,C34:C41,"&lt;"&amp;$B$6)</f>
        <v>28982.055379329424</v>
      </c>
      <c r="H44" s="32">
        <f t="shared" ref="H44" si="17">B44</f>
        <v>3</v>
      </c>
      <c r="I44" s="33">
        <f>(C35*R12)+G37+(C38*R13)</f>
        <v>308663.36509783624</v>
      </c>
      <c r="J44" s="30">
        <f>J42</f>
        <v>6785078.125</v>
      </c>
      <c r="K44" s="32">
        <f>I44/J44</f>
        <v>4.5491497579158123E-2</v>
      </c>
      <c r="L44" s="32">
        <f>K44*100</f>
        <v>4.5491497579158127</v>
      </c>
    </row>
    <row r="45" spans="1:12" s="30" customFormat="1">
      <c r="A45" s="33" t="s">
        <v>26</v>
      </c>
      <c r="B45" s="30">
        <f>COUNTIF(C34:C41,"&gt;"&amp;$B$8)-COUNTIF(C34:C41,"&gt;"&amp;$B$7)</f>
        <v>3</v>
      </c>
      <c r="C45" s="30">
        <f>AVERAGEIFS(C34:C41,C34:C41,"&gt;"&amp;$B$8,C34:C41,"&lt;"&amp;$B$7)</f>
        <v>37.487000000000002</v>
      </c>
      <c r="D45" s="30">
        <f>AVERAGEIFS(D34:D41,D34:D41,"&gt;"&amp;$B$8,D34:D41,"&lt;"&amp;$B$7)</f>
        <v>37.487000000000002</v>
      </c>
      <c r="E45" s="30">
        <f>AVERAGEIFS(E34:E41,C34:C41,"&gt;"&amp;$B$8,C34:C41,"&lt;"&amp;$B$7)</f>
        <v>18.743500000000001</v>
      </c>
      <c r="F45" s="30">
        <f>AVERAGEIFS(F34:F41,D34:D41,"&gt;"&amp;$B$8,D34:D41,"&lt;"&amp;$B$7)</f>
        <v>18.743500000000001</v>
      </c>
      <c r="G45" s="30">
        <f>AVERAGEIFS(G34:G41,C34:C41,"&gt;"&amp;$B$8,C34:C41,"&lt;"&amp;$B$7)</f>
        <v>1160.7208618187153</v>
      </c>
      <c r="H45" s="32">
        <f>B45</f>
        <v>3</v>
      </c>
      <c r="I45" s="33">
        <f>H45*G45</f>
        <v>3482.1625854561462</v>
      </c>
      <c r="J45" s="30">
        <f>J42</f>
        <v>6785078.125</v>
      </c>
      <c r="K45" s="32">
        <f>I45/J45</f>
        <v>5.1320891540304061E-4</v>
      </c>
      <c r="L45" s="32">
        <f>K45*100</f>
        <v>5.1320891540304059E-2</v>
      </c>
    </row>
    <row r="46" spans="1:12">
      <c r="A46" s="11"/>
      <c r="B46" s="11"/>
      <c r="C46" s="11"/>
      <c r="D46" s="11"/>
      <c r="E46" s="11"/>
      <c r="F46" s="11"/>
      <c r="G46" s="11"/>
      <c r="H46" s="11"/>
      <c r="I46" s="66"/>
      <c r="J46" s="66"/>
      <c r="K46" s="66"/>
      <c r="L46" s="66"/>
    </row>
    <row r="47" spans="1:12">
      <c r="A47" s="11"/>
      <c r="B47" s="11"/>
      <c r="C47" s="11"/>
      <c r="D47" s="11"/>
      <c r="E47" s="11"/>
      <c r="F47" s="11"/>
      <c r="G47" s="11"/>
      <c r="H47" s="11"/>
      <c r="I47" s="66"/>
      <c r="J47" s="66"/>
      <c r="K47" s="66"/>
      <c r="L47" s="66"/>
    </row>
    <row r="48" spans="1:12">
      <c r="A48" s="33"/>
      <c r="B48" s="11"/>
      <c r="C48" s="11"/>
      <c r="D48" s="11"/>
      <c r="E48" s="11"/>
      <c r="F48" s="11"/>
      <c r="G48" s="11"/>
      <c r="H48" s="11"/>
      <c r="I48" s="66"/>
      <c r="J48" s="66"/>
      <c r="K48" s="66"/>
      <c r="L48" s="66"/>
    </row>
    <row r="49" spans="1:12" ht="30">
      <c r="A49" s="2" t="s">
        <v>119</v>
      </c>
      <c r="B49" s="2" t="s">
        <v>120</v>
      </c>
      <c r="C49" s="2" t="s">
        <v>19</v>
      </c>
      <c r="D49" s="2" t="s">
        <v>89</v>
      </c>
      <c r="E49" s="2" t="s">
        <v>20</v>
      </c>
      <c r="F49" s="2" t="s">
        <v>90</v>
      </c>
      <c r="G49" s="2" t="s">
        <v>6</v>
      </c>
      <c r="H49" s="2" t="s">
        <v>21</v>
      </c>
      <c r="I49" s="2" t="s">
        <v>22</v>
      </c>
      <c r="J49" s="2" t="s">
        <v>8</v>
      </c>
      <c r="K49" s="2" t="s">
        <v>23</v>
      </c>
      <c r="L49" s="2" t="s">
        <v>24</v>
      </c>
    </row>
    <row r="50" spans="1:12">
      <c r="A50" t="s">
        <v>177</v>
      </c>
      <c r="B50" s="2"/>
      <c r="C50" s="11">
        <v>559.20299999999997</v>
      </c>
      <c r="D50" s="11">
        <v>559.20299999999997</v>
      </c>
      <c r="E50">
        <f>C50/2</f>
        <v>279.60149999999999</v>
      </c>
      <c r="F50">
        <f>D50/2</f>
        <v>279.60149999999999</v>
      </c>
      <c r="G50">
        <f>PI()*E50*F50</f>
        <v>245600.28511684664</v>
      </c>
      <c r="H50" s="2"/>
      <c r="I50" s="2"/>
      <c r="J50" s="2"/>
      <c r="K50" s="2"/>
      <c r="L50" s="2"/>
    </row>
    <row r="51" spans="1:12">
      <c r="C51" s="11">
        <v>523.827</v>
      </c>
      <c r="D51" s="11">
        <v>523.827</v>
      </c>
      <c r="E51">
        <f t="shared" ref="E51:E54" si="18">C51/2</f>
        <v>261.9135</v>
      </c>
      <c r="F51">
        <f t="shared" ref="F51:F54" si="19">D51/2</f>
        <v>261.9135</v>
      </c>
      <c r="G51">
        <f t="shared" ref="G51:G54" si="20">PI()*E51*F51</f>
        <v>215509.11379058278</v>
      </c>
    </row>
    <row r="52" spans="1:12">
      <c r="C52" s="11">
        <v>546.40200000000004</v>
      </c>
      <c r="D52" s="11">
        <v>546.40200000000004</v>
      </c>
      <c r="E52">
        <f t="shared" si="18"/>
        <v>273.20100000000002</v>
      </c>
      <c r="F52">
        <f t="shared" si="19"/>
        <v>273.20100000000002</v>
      </c>
      <c r="G52">
        <f t="shared" si="20"/>
        <v>234484.66303023938</v>
      </c>
    </row>
    <row r="53" spans="1:12">
      <c r="C53" s="11">
        <v>67.069000000000003</v>
      </c>
      <c r="D53" s="11">
        <v>67.069000000000003</v>
      </c>
      <c r="E53">
        <f t="shared" si="18"/>
        <v>33.534500000000001</v>
      </c>
      <c r="F53">
        <f t="shared" si="19"/>
        <v>33.534500000000001</v>
      </c>
      <c r="G53">
        <f t="shared" si="20"/>
        <v>3532.9178861905743</v>
      </c>
    </row>
    <row r="54" spans="1:12">
      <c r="C54" s="11">
        <v>44.118000000000002</v>
      </c>
      <c r="D54" s="11">
        <v>44.118000000000002</v>
      </c>
      <c r="E54">
        <f t="shared" si="18"/>
        <v>22.059000000000001</v>
      </c>
      <c r="F54">
        <f t="shared" si="19"/>
        <v>22.059000000000001</v>
      </c>
      <c r="G54">
        <f t="shared" si="20"/>
        <v>1528.6973547502062</v>
      </c>
    </row>
    <row r="55" spans="1:12">
      <c r="C55" s="11">
        <v>44.508000000000003</v>
      </c>
      <c r="D55" s="11">
        <v>44.508000000000003</v>
      </c>
      <c r="E55">
        <f t="shared" ref="E55:E58" si="21">C55/2</f>
        <v>22.254000000000001</v>
      </c>
      <c r="F55">
        <f t="shared" ref="F55:F58" si="22">D55/2</f>
        <v>22.254000000000001</v>
      </c>
      <c r="G55">
        <f t="shared" ref="G55:G58" si="23">PI()*E55*F55</f>
        <v>1555.8439668256187</v>
      </c>
    </row>
    <row r="56" spans="1:12">
      <c r="C56" s="11">
        <v>52.118000000000002</v>
      </c>
      <c r="D56" s="11">
        <v>52.118000000000002</v>
      </c>
      <c r="E56">
        <f t="shared" si="21"/>
        <v>26.059000000000001</v>
      </c>
      <c r="F56">
        <f t="shared" si="22"/>
        <v>26.059000000000001</v>
      </c>
      <c r="G56">
        <f t="shared" si="23"/>
        <v>2133.3659759719408</v>
      </c>
    </row>
    <row r="57" spans="1:12">
      <c r="C57" s="11">
        <v>75.331000000000003</v>
      </c>
      <c r="D57" s="11">
        <v>75.331000000000003</v>
      </c>
      <c r="E57">
        <f t="shared" si="21"/>
        <v>37.665500000000002</v>
      </c>
      <c r="F57">
        <f t="shared" si="22"/>
        <v>37.665500000000002</v>
      </c>
      <c r="G57">
        <f t="shared" si="23"/>
        <v>4456.9457369315105</v>
      </c>
    </row>
    <row r="58" spans="1:12">
      <c r="C58" s="11">
        <v>32.353000000000002</v>
      </c>
      <c r="D58" s="11">
        <v>32.353000000000002</v>
      </c>
      <c r="E58">
        <f t="shared" si="21"/>
        <v>16.176500000000001</v>
      </c>
      <c r="F58">
        <f t="shared" si="22"/>
        <v>16.176500000000001</v>
      </c>
      <c r="G58">
        <f t="shared" si="23"/>
        <v>822.08930230620501</v>
      </c>
    </row>
    <row r="59" spans="1:12">
      <c r="A59" s="31" t="s">
        <v>81</v>
      </c>
      <c r="B59" s="31">
        <f>COUNT(C50:C58)</f>
        <v>9</v>
      </c>
      <c r="C59" s="31">
        <f>AVERAGE(C50:C58)</f>
        <v>216.1032222222222</v>
      </c>
      <c r="D59" s="31">
        <f>AVERAGE(D50:D58)</f>
        <v>216.1032222222222</v>
      </c>
      <c r="E59" s="31">
        <f>AVERAGE(E50:E58)</f>
        <v>108.0516111111111</v>
      </c>
      <c r="F59" s="31">
        <f>AVERAGE(F50:F58)</f>
        <v>108.0516111111111</v>
      </c>
      <c r="G59" s="31">
        <f>AVERAGE(G50:G58)</f>
        <v>78847.102462293871</v>
      </c>
      <c r="H59" s="34">
        <f>B59</f>
        <v>9</v>
      </c>
      <c r="I59" s="65">
        <f>H59*G59</f>
        <v>709623.92216064478</v>
      </c>
      <c r="J59" s="11">
        <v>2738745.6749999998</v>
      </c>
      <c r="K59" s="67">
        <f>I59/J59</f>
        <v>0.25910544693444193</v>
      </c>
      <c r="L59" s="67">
        <f>K59*100</f>
        <v>25.910544693444194</v>
      </c>
    </row>
    <row r="60" spans="1:12">
      <c r="A60" s="32" t="s">
        <v>88</v>
      </c>
      <c r="B60" s="30">
        <f>COUNTIF(C50:C58,"&gt;"&amp;$B$6)</f>
        <v>3</v>
      </c>
      <c r="C60" s="32">
        <f>AVERAGEIF(C50:C58,"&gt;"&amp;$B$6)</f>
        <v>543.14400000000001</v>
      </c>
      <c r="D60" s="32">
        <f>AVERAGEIF(D50:D58,"&gt;"&amp;$B$6)</f>
        <v>543.14400000000001</v>
      </c>
      <c r="E60" s="32">
        <f>AVERAGEIF(C50:C58,"&gt;"&amp;$B$6,E50:E58)</f>
        <v>271.572</v>
      </c>
      <c r="F60" s="32">
        <f>AVERAGEIF(D50:D58,"&gt;"&amp;$B$6,F50:F58)</f>
        <v>271.572</v>
      </c>
      <c r="G60" s="32">
        <f>AVERAGEIF(C50:C58,"&gt;"&amp;$B$6,G50:G58)</f>
        <v>231864.68731255629</v>
      </c>
      <c r="H60" s="32">
        <f>B60</f>
        <v>3</v>
      </c>
      <c r="I60" s="65">
        <f>(D50*Q14)+G51+G52</f>
        <v>1152386.2970008221</v>
      </c>
      <c r="J60" s="30">
        <f>J59</f>
        <v>2738745.6749999998</v>
      </c>
      <c r="K60" s="67">
        <f>I60/J60</f>
        <v>0.42077156251495396</v>
      </c>
      <c r="L60" s="67">
        <f>K60*100</f>
        <v>42.077156251495396</v>
      </c>
    </row>
    <row r="61" spans="1:12">
      <c r="A61" s="30" t="s">
        <v>25</v>
      </c>
      <c r="B61" s="30">
        <f>COUNTIF(C50:C58,"&gt;"&amp;$B$7)-COUNTIF(C50:C58,"&gt;"&amp;$B$6)</f>
        <v>0</v>
      </c>
      <c r="C61" s="30" t="e">
        <f>AVERAGEIFS(C50:C58,C50:C58,"&gt;"&amp;$B$7,C50:C58,"&lt;"&amp;$B$6)</f>
        <v>#DIV/0!</v>
      </c>
      <c r="D61" s="30" t="e">
        <f>AVERAGEIFS(D50:D58,D50:D58,"&gt;"&amp;$B$7,D50:D58,"&lt;"&amp;$B$6)</f>
        <v>#DIV/0!</v>
      </c>
      <c r="E61" s="30" t="e">
        <f>AVERAGEIFS(E50:E58,C50:C58,"&gt;"&amp;$B$7,C50:C58,"&lt;"&amp;$B$6)</f>
        <v>#DIV/0!</v>
      </c>
      <c r="F61" s="30" t="e">
        <f>AVERAGEIFS(F50:F58,D50:D58,"&gt;"&amp;$B$7,D50:D58,"&lt;"&amp;$B$6)</f>
        <v>#DIV/0!</v>
      </c>
      <c r="G61" s="30" t="e">
        <f>AVERAGEIFS(G50:G58,C50:C58,"&gt;"&amp;$B$7,C50:C58,"&lt;"&amp;$B$6)</f>
        <v>#DIV/0!</v>
      </c>
      <c r="H61" s="32">
        <f t="shared" ref="H61" si="24">B61</f>
        <v>0</v>
      </c>
      <c r="I61" s="33" t="e">
        <f>H61*G61</f>
        <v>#DIV/0!</v>
      </c>
      <c r="J61" s="30">
        <f>J59</f>
        <v>2738745.6749999998</v>
      </c>
      <c r="K61" s="32" t="e">
        <f>I61/J61</f>
        <v>#DIV/0!</v>
      </c>
      <c r="L61" s="32" t="e">
        <f>K61*100</f>
        <v>#DIV/0!</v>
      </c>
    </row>
    <row r="62" spans="1:12">
      <c r="A62" s="33" t="s">
        <v>26</v>
      </c>
      <c r="B62" s="30">
        <f>COUNTIF(C50:C58,"&gt;"&amp;$B$8)-COUNTIF(C50:C58,"&gt;"&amp;$B$7)</f>
        <v>6</v>
      </c>
      <c r="C62" s="30">
        <f>AVERAGEIFS(C50:C58,C50:C58,"&gt;"&amp;$B$8,C50:C58,"&lt;"&amp;$B$7)</f>
        <v>52.582833333333333</v>
      </c>
      <c r="D62" s="30">
        <f>AVERAGEIFS(D50:D58,D50:D58,"&gt;"&amp;$B$8,D50:D58,"&lt;"&amp;$B$7)</f>
        <v>52.582833333333333</v>
      </c>
      <c r="E62" s="30">
        <f>AVERAGEIFS(E50:E58,C50:C58,"&gt;"&amp;$B$8,C50:C58,"&lt;"&amp;$B$7)</f>
        <v>26.291416666666667</v>
      </c>
      <c r="F62" s="30">
        <f>AVERAGEIFS(F50:F58,D50:D58,"&gt;"&amp;$B$8,D50:D58,"&lt;"&amp;$B$7)</f>
        <v>26.291416666666667</v>
      </c>
      <c r="G62" s="30">
        <f>AVERAGEIFS(G50:G58,C50:C58,"&gt;"&amp;$B$8,C50:C58,"&lt;"&amp;$B$7)</f>
        <v>2338.3100371626756</v>
      </c>
      <c r="H62" s="32">
        <f>B62</f>
        <v>6</v>
      </c>
      <c r="I62" s="33">
        <f>H62*G62</f>
        <v>14029.860222976055</v>
      </c>
      <c r="J62" s="30">
        <f>J59</f>
        <v>2738745.6749999998</v>
      </c>
      <c r="K62" s="32">
        <f>I62/J62</f>
        <v>5.1227320415489315E-3</v>
      </c>
      <c r="L62" s="32">
        <f>K62*100</f>
        <v>0.51227320415489319</v>
      </c>
    </row>
    <row r="63" spans="1:12">
      <c r="A63" s="11"/>
      <c r="B63" s="11"/>
      <c r="C63" s="11"/>
      <c r="D63" s="11"/>
      <c r="E63" s="11"/>
      <c r="F63" s="11"/>
      <c r="G63" s="11"/>
      <c r="H63" s="11"/>
      <c r="I63" s="11"/>
      <c r="J63" s="11"/>
      <c r="K63" s="11"/>
      <c r="L63" s="11"/>
    </row>
    <row r="64" spans="1:12">
      <c r="A64" s="11"/>
      <c r="B64" s="11"/>
      <c r="C64" s="11"/>
      <c r="D64" s="11"/>
      <c r="E64" s="11"/>
      <c r="F64" s="11"/>
      <c r="G64" s="11"/>
      <c r="H64" s="11"/>
      <c r="I64" s="11"/>
      <c r="J64" s="11"/>
      <c r="K64" s="11"/>
      <c r="L64" s="11"/>
    </row>
    <row r="65" spans="1:31">
      <c r="A65" s="11"/>
      <c r="B65" s="11"/>
      <c r="C65" s="11"/>
      <c r="D65" s="11"/>
      <c r="E65" s="11"/>
      <c r="F65" s="11"/>
      <c r="G65" s="11"/>
      <c r="H65" s="11"/>
      <c r="I65" s="11"/>
      <c r="J65" s="11"/>
      <c r="K65" s="11"/>
      <c r="L65" s="11"/>
    </row>
    <row r="66" spans="1:31" ht="30">
      <c r="A66" s="2" t="s">
        <v>119</v>
      </c>
      <c r="B66" s="2" t="s">
        <v>120</v>
      </c>
      <c r="C66" s="2" t="s">
        <v>19</v>
      </c>
      <c r="D66" s="2" t="s">
        <v>89</v>
      </c>
      <c r="E66" s="2" t="s">
        <v>20</v>
      </c>
      <c r="F66" s="2" t="s">
        <v>90</v>
      </c>
      <c r="G66" s="2" t="s">
        <v>6</v>
      </c>
      <c r="H66" s="2" t="s">
        <v>21</v>
      </c>
      <c r="I66" s="2" t="s">
        <v>22</v>
      </c>
      <c r="J66" s="2" t="s">
        <v>8</v>
      </c>
      <c r="K66" s="2" t="s">
        <v>23</v>
      </c>
      <c r="L66" s="2" t="s">
        <v>24</v>
      </c>
    </row>
    <row r="67" spans="1:31">
      <c r="A67" t="s">
        <v>178</v>
      </c>
      <c r="B67" s="2"/>
      <c r="C67">
        <v>33.656999999999996</v>
      </c>
      <c r="D67">
        <v>24.457000000000001</v>
      </c>
      <c r="E67">
        <f>C67/2</f>
        <v>16.828499999999998</v>
      </c>
      <c r="F67">
        <f>D67/2</f>
        <v>12.2285</v>
      </c>
      <c r="G67">
        <f>PI()*E67*F67</f>
        <v>646.49990836658878</v>
      </c>
      <c r="H67" s="2"/>
      <c r="I67" s="2"/>
      <c r="J67" s="2"/>
      <c r="K67" s="2"/>
      <c r="L67" s="2"/>
    </row>
    <row r="68" spans="1:31">
      <c r="C68">
        <v>20.846</v>
      </c>
      <c r="D68">
        <v>18.289000000000001</v>
      </c>
      <c r="E68">
        <f t="shared" ref="E68:E87" si="25">C68/2</f>
        <v>10.423</v>
      </c>
      <c r="F68">
        <f t="shared" ref="F68:F87" si="26">D68/2</f>
        <v>9.1445000000000007</v>
      </c>
      <c r="G68">
        <f t="shared" ref="G68:G87" si="27">PI()*E68*F68</f>
        <v>299.43500857829667</v>
      </c>
    </row>
    <row r="69" spans="1:31">
      <c r="C69">
        <v>26.7</v>
      </c>
      <c r="D69">
        <v>20.963000000000001</v>
      </c>
      <c r="E69">
        <f t="shared" si="25"/>
        <v>13.35</v>
      </c>
      <c r="F69">
        <f t="shared" si="26"/>
        <v>10.4815</v>
      </c>
      <c r="G69">
        <f t="shared" si="27"/>
        <v>439.5968553713289</v>
      </c>
    </row>
    <row r="70" spans="1:31">
      <c r="C70">
        <v>26.562000000000001</v>
      </c>
      <c r="D70">
        <v>14.741</v>
      </c>
      <c r="E70">
        <f t="shared" si="25"/>
        <v>13.281000000000001</v>
      </c>
      <c r="F70">
        <f t="shared" si="26"/>
        <v>7.3704999999999998</v>
      </c>
      <c r="G70">
        <f t="shared" si="27"/>
        <v>307.5229980242591</v>
      </c>
    </row>
    <row r="71" spans="1:31">
      <c r="C71">
        <v>29.19</v>
      </c>
      <c r="D71">
        <v>17.815000000000001</v>
      </c>
      <c r="E71">
        <f t="shared" si="25"/>
        <v>14.595000000000001</v>
      </c>
      <c r="F71">
        <f t="shared" si="26"/>
        <v>8.9075000000000006</v>
      </c>
      <c r="G71">
        <f t="shared" si="27"/>
        <v>408.42263512021663</v>
      </c>
    </row>
    <row r="72" spans="1:31">
      <c r="C72">
        <v>15.702999999999999</v>
      </c>
      <c r="D72">
        <v>14.823</v>
      </c>
      <c r="E72">
        <f t="shared" si="25"/>
        <v>7.8514999999999997</v>
      </c>
      <c r="F72">
        <f t="shared" si="26"/>
        <v>7.4115000000000002</v>
      </c>
      <c r="G72">
        <f t="shared" si="27"/>
        <v>182.81365039476202</v>
      </c>
    </row>
    <row r="73" spans="1:31">
      <c r="C73">
        <v>24.306999999999999</v>
      </c>
      <c r="D73">
        <v>16.61</v>
      </c>
      <c r="E73">
        <f t="shared" si="25"/>
        <v>12.153499999999999</v>
      </c>
      <c r="F73">
        <f t="shared" si="26"/>
        <v>8.3049999999999997</v>
      </c>
      <c r="G73">
        <f t="shared" si="27"/>
        <v>317.09608114942648</v>
      </c>
    </row>
    <row r="74" spans="1:31">
      <c r="C74">
        <v>25.242999999999999</v>
      </c>
      <c r="D74">
        <v>17.815000000000001</v>
      </c>
      <c r="E74">
        <f t="shared" si="25"/>
        <v>12.621499999999999</v>
      </c>
      <c r="F74">
        <f t="shared" si="26"/>
        <v>8.9075000000000006</v>
      </c>
      <c r="G74">
        <f t="shared" si="27"/>
        <v>353.19673101540343</v>
      </c>
    </row>
    <row r="75" spans="1:31">
      <c r="C75">
        <v>16.087</v>
      </c>
      <c r="D75">
        <v>11.266999999999999</v>
      </c>
      <c r="E75">
        <f t="shared" si="25"/>
        <v>8.0434999999999999</v>
      </c>
      <c r="F75">
        <f t="shared" si="26"/>
        <v>5.6334999999999997</v>
      </c>
      <c r="G75">
        <f t="shared" si="27"/>
        <v>142.35516776829371</v>
      </c>
    </row>
    <row r="76" spans="1:31">
      <c r="C76">
        <v>34.517000000000003</v>
      </c>
      <c r="D76">
        <v>31.25</v>
      </c>
      <c r="E76">
        <f t="shared" si="25"/>
        <v>17.258500000000002</v>
      </c>
      <c r="F76">
        <f t="shared" si="26"/>
        <v>15.625</v>
      </c>
      <c r="G76">
        <f t="shared" si="27"/>
        <v>847.17463768717892</v>
      </c>
      <c r="Z76" s="7"/>
    </row>
    <row r="77" spans="1:31">
      <c r="C77">
        <v>42.648000000000003</v>
      </c>
      <c r="D77">
        <v>42.447000000000003</v>
      </c>
      <c r="E77">
        <f t="shared" si="25"/>
        <v>21.324000000000002</v>
      </c>
      <c r="F77">
        <f t="shared" si="26"/>
        <v>21.223500000000001</v>
      </c>
      <c r="G77">
        <f t="shared" si="27"/>
        <v>1421.7903170581646</v>
      </c>
      <c r="Z77" s="7"/>
      <c r="AB77" s="7"/>
      <c r="AC77" s="7"/>
      <c r="AD77" s="7"/>
      <c r="AE77" s="7"/>
    </row>
    <row r="78" spans="1:31">
      <c r="C78">
        <v>36.610999999999997</v>
      </c>
      <c r="D78">
        <v>36.610999999999997</v>
      </c>
      <c r="E78">
        <f t="shared" si="25"/>
        <v>18.305499999999999</v>
      </c>
      <c r="F78">
        <f t="shared" si="26"/>
        <v>18.305499999999999</v>
      </c>
      <c r="G78">
        <f t="shared" si="27"/>
        <v>1052.720461395031</v>
      </c>
      <c r="Z78" s="7"/>
      <c r="AB78" s="7"/>
      <c r="AC78" s="7"/>
      <c r="AD78" s="7"/>
      <c r="AE78" s="7"/>
    </row>
    <row r="79" spans="1:31">
      <c r="C79">
        <v>35.970999999999997</v>
      </c>
      <c r="D79">
        <v>35.970999999999997</v>
      </c>
      <c r="E79">
        <f t="shared" ref="E79:E84" si="28">C79/2</f>
        <v>17.985499999999998</v>
      </c>
      <c r="F79">
        <f t="shared" ref="F79:F84" si="29">D79/2</f>
        <v>17.985499999999998</v>
      </c>
      <c r="G79">
        <f t="shared" ref="G79:G84" si="30">PI()*E79*F79</f>
        <v>1016.2367689177743</v>
      </c>
      <c r="Z79" s="7"/>
      <c r="AB79" s="7"/>
      <c r="AC79" s="7"/>
      <c r="AD79" s="7"/>
      <c r="AE79" s="7"/>
    </row>
    <row r="80" spans="1:31">
      <c r="C80">
        <v>20.373000000000001</v>
      </c>
      <c r="D80">
        <v>20.373000000000001</v>
      </c>
      <c r="E80">
        <f t="shared" si="28"/>
        <v>10.186500000000001</v>
      </c>
      <c r="F80">
        <f t="shared" si="29"/>
        <v>10.186500000000001</v>
      </c>
      <c r="G80">
        <f t="shared" si="30"/>
        <v>325.98667761794462</v>
      </c>
      <c r="Z80" s="7"/>
      <c r="AB80" s="7"/>
      <c r="AC80" s="7"/>
      <c r="AD80" s="7"/>
      <c r="AE80" s="7"/>
    </row>
    <row r="81" spans="1:31">
      <c r="C81">
        <v>395.31599999999997</v>
      </c>
      <c r="D81">
        <v>395.31599999999997</v>
      </c>
      <c r="E81">
        <f t="shared" si="28"/>
        <v>197.65799999999999</v>
      </c>
      <c r="F81">
        <f t="shared" si="29"/>
        <v>197.65799999999999</v>
      </c>
      <c r="G81">
        <f t="shared" si="30"/>
        <v>122737.89366831641</v>
      </c>
      <c r="Z81" s="7"/>
      <c r="AB81" s="7"/>
      <c r="AC81" s="7"/>
      <c r="AD81" s="7"/>
      <c r="AE81" s="7"/>
    </row>
    <row r="82" spans="1:31">
      <c r="C82">
        <v>36.073</v>
      </c>
      <c r="D82">
        <v>36.073</v>
      </c>
      <c r="E82">
        <f t="shared" si="28"/>
        <v>18.0365</v>
      </c>
      <c r="F82">
        <f t="shared" si="29"/>
        <v>18.0365</v>
      </c>
      <c r="G82">
        <f t="shared" si="30"/>
        <v>1022.0082578967227</v>
      </c>
      <c r="Z82" s="7"/>
      <c r="AB82" s="7"/>
      <c r="AC82" s="7"/>
      <c r="AD82" s="7"/>
      <c r="AE82" s="7"/>
    </row>
    <row r="83" spans="1:31">
      <c r="C83">
        <v>42.648000000000003</v>
      </c>
      <c r="D83">
        <v>42.648000000000003</v>
      </c>
      <c r="E83">
        <f t="shared" si="28"/>
        <v>21.324000000000002</v>
      </c>
      <c r="F83">
        <f t="shared" si="29"/>
        <v>21.324000000000002</v>
      </c>
      <c r="G83">
        <f t="shared" si="30"/>
        <v>1428.5229448935522</v>
      </c>
      <c r="Z83" s="7"/>
      <c r="AB83" s="7"/>
      <c r="AC83" s="7"/>
      <c r="AD83" s="7"/>
      <c r="AE83" s="7"/>
    </row>
    <row r="84" spans="1:31">
      <c r="C84">
        <v>43.75</v>
      </c>
      <c r="D84">
        <v>43.75</v>
      </c>
      <c r="E84">
        <f t="shared" si="28"/>
        <v>21.875</v>
      </c>
      <c r="F84">
        <f t="shared" si="29"/>
        <v>21.875</v>
      </c>
      <c r="G84">
        <f t="shared" si="30"/>
        <v>1503.3011721279281</v>
      </c>
      <c r="Z84" s="7"/>
      <c r="AB84" s="7"/>
      <c r="AC84" s="7"/>
      <c r="AD84" s="7"/>
      <c r="AE84" s="7"/>
    </row>
    <row r="85" spans="1:31">
      <c r="C85">
        <v>43.860999999999997</v>
      </c>
      <c r="D85">
        <v>43.860999999999997</v>
      </c>
      <c r="E85">
        <f t="shared" si="25"/>
        <v>21.930499999999999</v>
      </c>
      <c r="F85">
        <f t="shared" si="26"/>
        <v>21.930499999999999</v>
      </c>
      <c r="G85">
        <f t="shared" si="27"/>
        <v>1510.939028680697</v>
      </c>
      <c r="Z85" s="7"/>
      <c r="AB85" s="7"/>
      <c r="AC85" s="7"/>
      <c r="AD85" s="7"/>
      <c r="AE85" s="7"/>
    </row>
    <row r="86" spans="1:31">
      <c r="C86">
        <v>11.375</v>
      </c>
      <c r="D86">
        <v>11.375</v>
      </c>
      <c r="E86">
        <f t="shared" si="25"/>
        <v>5.6875</v>
      </c>
      <c r="F86">
        <f t="shared" si="26"/>
        <v>5.6875</v>
      </c>
      <c r="G86">
        <f t="shared" si="27"/>
        <v>101.62315923584795</v>
      </c>
      <c r="Z86" s="7"/>
      <c r="AB86" s="7"/>
      <c r="AC86" s="7"/>
      <c r="AD86" s="7"/>
      <c r="AE86" s="7"/>
    </row>
    <row r="87" spans="1:31">
      <c r="C87">
        <v>26.972999999999999</v>
      </c>
      <c r="D87">
        <v>26.972999999999999</v>
      </c>
      <c r="E87">
        <f t="shared" si="25"/>
        <v>13.486499999999999</v>
      </c>
      <c r="F87">
        <f t="shared" si="26"/>
        <v>13.486499999999999</v>
      </c>
      <c r="G87">
        <f t="shared" si="27"/>
        <v>571.41072314976736</v>
      </c>
      <c r="Z87" s="7"/>
      <c r="AB87" s="7"/>
      <c r="AC87" s="7"/>
      <c r="AD87" s="7"/>
      <c r="AE87" s="7"/>
    </row>
    <row r="88" spans="1:31">
      <c r="A88" s="31" t="s">
        <v>81</v>
      </c>
      <c r="B88" s="31">
        <f>COUNT(C67:C87)</f>
        <v>21</v>
      </c>
      <c r="C88" s="31">
        <f>AVERAGE(C67:C87)</f>
        <v>47.067190476190476</v>
      </c>
      <c r="D88" s="31">
        <f>AVERAGE(D67:D87)</f>
        <v>43.972761904761903</v>
      </c>
      <c r="E88" s="31">
        <f>AVERAGE(E67:E87)</f>
        <v>23.533595238095238</v>
      </c>
      <c r="F88" s="31">
        <f>AVERAGE(F67:F87)</f>
        <v>21.986380952380951</v>
      </c>
      <c r="G88" s="31">
        <f>AVERAGE(G67:G87)</f>
        <v>6506.502231084075</v>
      </c>
      <c r="H88" s="34">
        <f>B88</f>
        <v>21</v>
      </c>
      <c r="I88" s="65">
        <f>H88*G88</f>
        <v>136636.54685276558</v>
      </c>
      <c r="J88" s="11">
        <v>3014033.2030000002</v>
      </c>
      <c r="K88" s="67">
        <f>I88/J88</f>
        <v>4.5333457745842083E-2</v>
      </c>
      <c r="L88" s="67">
        <f>K88*100</f>
        <v>4.5333457745842081</v>
      </c>
      <c r="Z88" s="7"/>
      <c r="AB88" s="7"/>
      <c r="AC88" s="7"/>
      <c r="AD88" s="7"/>
      <c r="AE88" s="7"/>
    </row>
    <row r="89" spans="1:31">
      <c r="A89" s="32" t="s">
        <v>88</v>
      </c>
      <c r="B89" s="30">
        <f>COUNTIF(C67:C87,"&gt;"&amp;$B$6)</f>
        <v>1</v>
      </c>
      <c r="C89" s="32">
        <f>AVERAGEIF(C67:C87,"&gt;"&amp;$B$6)</f>
        <v>395.31599999999997</v>
      </c>
      <c r="D89" s="32">
        <f>AVERAGEIF(D67:D87,"&gt;"&amp;$B$6)</f>
        <v>395.31599999999997</v>
      </c>
      <c r="E89" s="32">
        <f>AVERAGEIF(C67:C87,"&gt;"&amp;$B$6,E67:E87)</f>
        <v>197.65799999999999</v>
      </c>
      <c r="F89" s="32">
        <f>AVERAGEIF(D67:D87,"&gt;"&amp;$B$6,F67:F87)</f>
        <v>197.65799999999999</v>
      </c>
      <c r="G89" s="32">
        <f>AVERAGEIF(C67:C87,"&gt;"&amp;$B$6,G67:G87)</f>
        <v>122737.89366831641</v>
      </c>
      <c r="H89" s="32">
        <f>B89</f>
        <v>1</v>
      </c>
      <c r="I89" s="65">
        <f>H89*G89</f>
        <v>122737.89366831641</v>
      </c>
      <c r="J89" s="30">
        <f>J88</f>
        <v>3014033.2030000002</v>
      </c>
      <c r="K89" s="67">
        <f>I89/J89</f>
        <v>4.072214385234707E-2</v>
      </c>
      <c r="L89" s="67">
        <f>K89*100</f>
        <v>4.072214385234707</v>
      </c>
      <c r="Z89" s="7"/>
      <c r="AB89" s="7"/>
      <c r="AC89" s="7"/>
      <c r="AD89" s="7"/>
      <c r="AE89" s="7"/>
    </row>
    <row r="90" spans="1:31">
      <c r="A90" s="30" t="s">
        <v>25</v>
      </c>
      <c r="B90" s="30">
        <f>COUNTIF(C67:C87,"&gt;"&amp;$B$7)-COUNTIF(C67:C87,"&gt;"&amp;$B$6)</f>
        <v>0</v>
      </c>
      <c r="C90" s="30" t="e">
        <f>AVERAGEIFS(C67:C87,C67:C87,"&gt;"&amp;$B$7,C67:C87,"&lt;"&amp;$B$6)</f>
        <v>#DIV/0!</v>
      </c>
      <c r="D90" s="30" t="e">
        <f>AVERAGEIFS(D67:D87,D67:D87,"&gt;"&amp;$B$7,D67:D87,"&lt;"&amp;$B$6)</f>
        <v>#DIV/0!</v>
      </c>
      <c r="E90" s="30" t="e">
        <f>AVERAGEIFS(E67:E87,C67:C87,"&gt;"&amp;$B$7,C67:C87,"&lt;"&amp;$B$6)</f>
        <v>#DIV/0!</v>
      </c>
      <c r="F90" s="30" t="e">
        <f>AVERAGEIFS(F67:F87,D67:D87,"&gt;"&amp;$B$7,D67:D87,"&lt;"&amp;$B$6)</f>
        <v>#DIV/0!</v>
      </c>
      <c r="G90" s="30" t="e">
        <f>AVERAGEIFS(G67:G87,C67:C87,"&gt;"&amp;$B$7,C67:C87,"&lt;"&amp;$B$6)</f>
        <v>#DIV/0!</v>
      </c>
      <c r="H90" s="32">
        <f t="shared" ref="H90" si="31">B90</f>
        <v>0</v>
      </c>
      <c r="I90" s="33" t="e">
        <f>H90*G90</f>
        <v>#DIV/0!</v>
      </c>
      <c r="J90" s="30">
        <f>J88</f>
        <v>3014033.2030000002</v>
      </c>
      <c r="K90" s="32" t="e">
        <f>I90/J90</f>
        <v>#DIV/0!</v>
      </c>
      <c r="L90" s="32" t="e">
        <f>K90*100</f>
        <v>#DIV/0!</v>
      </c>
      <c r="Z90" s="7"/>
      <c r="AB90" s="7"/>
      <c r="AC90" s="7"/>
      <c r="AD90" s="7"/>
      <c r="AE90" s="7"/>
    </row>
    <row r="91" spans="1:31">
      <c r="A91" s="33" t="s">
        <v>26</v>
      </c>
      <c r="B91" s="30">
        <f>COUNTIF(C67:C87,"&gt;"&amp;$B$8)-COUNTIF(C67:C87,"&gt;"&amp;$B$7)</f>
        <v>20</v>
      </c>
      <c r="C91" s="30">
        <f>AVERAGEIFS(C67:C87,C67:C87,"&gt;"&amp;$B$8,C67:C87,"&lt;"&amp;$B$7)</f>
        <v>29.654749999999996</v>
      </c>
      <c r="D91" s="30">
        <f>AVERAGEIFS(D67:D87,D67:D87,"&gt;"&amp;$B$8,D67:D87,"&lt;"&amp;$B$7)</f>
        <v>26.4056</v>
      </c>
      <c r="E91" s="30">
        <f>AVERAGEIFS(E67:E87,C67:C87,"&gt;"&amp;$B$8,C67:C87,"&lt;"&amp;$B$7)</f>
        <v>14.827374999999998</v>
      </c>
      <c r="F91" s="30">
        <f>AVERAGEIFS(F67:F87,D67:D87,"&gt;"&amp;$B$8,D67:D87,"&lt;"&amp;$B$7)</f>
        <v>13.2028</v>
      </c>
      <c r="G91" s="30">
        <f>AVERAGEIFS(G67:G87,C67:C87,"&gt;"&amp;$B$8,C67:C87,"&lt;"&amp;$B$7)</f>
        <v>694.93265922245905</v>
      </c>
      <c r="H91" s="32">
        <f>B91</f>
        <v>20</v>
      </c>
      <c r="I91" s="33">
        <f>H91*G91</f>
        <v>13898.65318444918</v>
      </c>
      <c r="J91" s="30">
        <f>J88</f>
        <v>3014033.2030000002</v>
      </c>
      <c r="K91" s="32">
        <f>I91/J91</f>
        <v>4.6113138934950147E-3</v>
      </c>
      <c r="L91" s="32">
        <f>K91*100</f>
        <v>0.46113138934950149</v>
      </c>
      <c r="Z91" s="7"/>
      <c r="AB91" s="11"/>
      <c r="AC91" s="7"/>
      <c r="AD91" s="7"/>
      <c r="AE91" s="11"/>
    </row>
    <row r="92" spans="1:31">
      <c r="A92" s="11"/>
      <c r="B92" s="11"/>
      <c r="C92" s="11"/>
      <c r="D92" s="11"/>
      <c r="E92" s="11"/>
      <c r="F92" s="11"/>
      <c r="G92" s="11"/>
      <c r="H92" s="11"/>
      <c r="I92" s="11"/>
      <c r="J92" s="11"/>
      <c r="K92" s="11"/>
      <c r="L92" s="11"/>
      <c r="Z92" s="7"/>
      <c r="AB92" s="11"/>
      <c r="AC92" s="7"/>
      <c r="AD92" s="7"/>
      <c r="AE92" s="11"/>
    </row>
    <row r="93" spans="1:31">
      <c r="A93" s="11"/>
      <c r="B93" s="11"/>
      <c r="C93" s="11"/>
      <c r="D93" s="11"/>
      <c r="E93" s="11"/>
      <c r="F93" s="11"/>
      <c r="G93" s="11"/>
      <c r="H93" s="11"/>
      <c r="I93" s="11"/>
      <c r="J93" s="11"/>
      <c r="K93" s="11"/>
      <c r="L93" s="11"/>
      <c r="Z93" s="7"/>
      <c r="AB93" s="11"/>
      <c r="AC93" s="7"/>
      <c r="AD93" s="7"/>
      <c r="AE93" s="11"/>
    </row>
    <row r="94" spans="1:31" ht="30">
      <c r="A94" s="2" t="s">
        <v>119</v>
      </c>
      <c r="B94" s="2" t="s">
        <v>120</v>
      </c>
      <c r="C94" s="2" t="s">
        <v>19</v>
      </c>
      <c r="D94" s="2" t="s">
        <v>89</v>
      </c>
      <c r="E94" s="2" t="s">
        <v>20</v>
      </c>
      <c r="F94" s="2" t="s">
        <v>90</v>
      </c>
      <c r="G94" s="2" t="s">
        <v>6</v>
      </c>
      <c r="H94" s="2" t="s">
        <v>21</v>
      </c>
      <c r="I94" s="2" t="s">
        <v>22</v>
      </c>
      <c r="J94" s="2" t="s">
        <v>8</v>
      </c>
      <c r="K94" s="2" t="s">
        <v>23</v>
      </c>
      <c r="L94" s="2" t="s">
        <v>24</v>
      </c>
      <c r="Z94" s="7"/>
      <c r="AB94" s="7"/>
      <c r="AC94" s="7"/>
      <c r="AD94" s="7"/>
      <c r="AE94" s="7"/>
    </row>
    <row r="95" spans="1:31">
      <c r="A95" t="s">
        <v>179</v>
      </c>
      <c r="B95" s="2"/>
      <c r="C95">
        <v>249.578</v>
      </c>
      <c r="D95">
        <v>148.042</v>
      </c>
      <c r="E95">
        <f>C95/2</f>
        <v>124.789</v>
      </c>
      <c r="F95">
        <f>D95/2</f>
        <v>74.021000000000001</v>
      </c>
      <c r="G95">
        <f>PI()*E95*F95</f>
        <v>29018.91197833106</v>
      </c>
      <c r="H95" s="2"/>
      <c r="I95" s="2"/>
      <c r="J95" s="2"/>
      <c r="K95" s="2"/>
      <c r="L95" s="2"/>
      <c r="Z95" s="7"/>
      <c r="AB95" s="7"/>
      <c r="AC95" s="7"/>
      <c r="AD95" s="7"/>
      <c r="AE95" s="7"/>
    </row>
    <row r="96" spans="1:31">
      <c r="C96">
        <v>293.74200000000002</v>
      </c>
      <c r="D96">
        <v>296.11</v>
      </c>
      <c r="E96">
        <f t="shared" ref="E96:E108" si="32">C96/2</f>
        <v>146.87100000000001</v>
      </c>
      <c r="F96">
        <f t="shared" ref="F96:F108" si="33">D96/2</f>
        <v>148.05500000000001</v>
      </c>
      <c r="G96">
        <f t="shared" ref="G96:G108" si="34">PI()*E96*F96</f>
        <v>68313.887971561606</v>
      </c>
      <c r="AC96" s="7"/>
    </row>
    <row r="97" spans="1:29">
      <c r="C97">
        <v>75.846999999999994</v>
      </c>
      <c r="D97">
        <v>50.154000000000003</v>
      </c>
      <c r="E97">
        <f t="shared" si="32"/>
        <v>37.923499999999997</v>
      </c>
      <c r="F97">
        <f t="shared" si="33"/>
        <v>25.077000000000002</v>
      </c>
      <c r="G97">
        <f t="shared" si="34"/>
        <v>2987.6785195131906</v>
      </c>
      <c r="AC97" s="7"/>
    </row>
    <row r="98" spans="1:29">
      <c r="C98">
        <v>75.846999999999994</v>
      </c>
      <c r="D98">
        <v>49.276000000000003</v>
      </c>
      <c r="E98">
        <f t="shared" si="32"/>
        <v>37.923499999999997</v>
      </c>
      <c r="F98">
        <f t="shared" si="33"/>
        <v>24.638000000000002</v>
      </c>
      <c r="G98">
        <f t="shared" si="34"/>
        <v>2935.3759765428877</v>
      </c>
      <c r="AC98" s="7"/>
    </row>
    <row r="99" spans="1:29">
      <c r="C99">
        <v>77.349000000000004</v>
      </c>
      <c r="D99">
        <v>58.072000000000003</v>
      </c>
      <c r="E99">
        <f t="shared" si="32"/>
        <v>38.674500000000002</v>
      </c>
      <c r="F99">
        <f t="shared" si="33"/>
        <v>29.036000000000001</v>
      </c>
      <c r="G99">
        <f t="shared" si="34"/>
        <v>3527.8602102594205</v>
      </c>
      <c r="AC99" s="7"/>
    </row>
    <row r="100" spans="1:29">
      <c r="C100">
        <v>55.771999999999998</v>
      </c>
      <c r="D100">
        <v>46.201000000000001</v>
      </c>
      <c r="E100">
        <f t="shared" si="32"/>
        <v>27.885999999999999</v>
      </c>
      <c r="F100">
        <f t="shared" si="33"/>
        <v>23.1005</v>
      </c>
      <c r="G100">
        <f t="shared" si="34"/>
        <v>2023.7528614742839</v>
      </c>
      <c r="AC100" s="7"/>
    </row>
    <row r="101" spans="1:29">
      <c r="C101">
        <v>63.302</v>
      </c>
      <c r="D101">
        <v>63.302</v>
      </c>
      <c r="E101">
        <f t="shared" si="32"/>
        <v>31.651</v>
      </c>
      <c r="F101">
        <f t="shared" si="33"/>
        <v>31.651</v>
      </c>
      <c r="G101">
        <f t="shared" si="34"/>
        <v>3147.2029128921663</v>
      </c>
      <c r="AC101" s="7"/>
    </row>
    <row r="102" spans="1:29">
      <c r="C102">
        <v>61.844000000000001</v>
      </c>
      <c r="D102">
        <v>61.844000000000001</v>
      </c>
      <c r="E102">
        <f t="shared" si="32"/>
        <v>30.922000000000001</v>
      </c>
      <c r="F102">
        <f t="shared" si="33"/>
        <v>30.922000000000001</v>
      </c>
      <c r="G102">
        <f t="shared" si="34"/>
        <v>3003.8969114767356</v>
      </c>
      <c r="AC102" s="7"/>
    </row>
    <row r="103" spans="1:29">
      <c r="C103">
        <v>59.155000000000001</v>
      </c>
      <c r="D103">
        <v>59.155000000000001</v>
      </c>
      <c r="E103">
        <f t="shared" si="32"/>
        <v>29.577500000000001</v>
      </c>
      <c r="F103">
        <f t="shared" si="33"/>
        <v>29.577500000000001</v>
      </c>
      <c r="G103">
        <f t="shared" si="34"/>
        <v>2748.3548083859323</v>
      </c>
      <c r="AC103" s="7"/>
    </row>
    <row r="104" spans="1:29">
      <c r="C104">
        <v>75.795000000000002</v>
      </c>
      <c r="D104">
        <v>75.795000000000002</v>
      </c>
      <c r="E104">
        <f t="shared" si="32"/>
        <v>37.897500000000001</v>
      </c>
      <c r="F104">
        <f t="shared" si="33"/>
        <v>37.897500000000001</v>
      </c>
      <c r="G104">
        <f t="shared" si="34"/>
        <v>4512.019791370014</v>
      </c>
      <c r="AC104" s="7"/>
    </row>
    <row r="105" spans="1:29">
      <c r="C105">
        <v>80.17</v>
      </c>
      <c r="D105">
        <v>64.234999999999999</v>
      </c>
      <c r="E105">
        <f t="shared" si="32"/>
        <v>40.085000000000001</v>
      </c>
      <c r="F105">
        <f t="shared" si="33"/>
        <v>32.1175</v>
      </c>
      <c r="G105">
        <f t="shared" si="34"/>
        <v>4044.5805907411996</v>
      </c>
      <c r="AC105" s="7"/>
    </row>
    <row r="106" spans="1:29">
      <c r="C106">
        <v>59.423000000000002</v>
      </c>
      <c r="D106">
        <v>59.423000000000002</v>
      </c>
      <c r="E106">
        <f t="shared" si="32"/>
        <v>29.711500000000001</v>
      </c>
      <c r="F106">
        <f t="shared" si="33"/>
        <v>29.711500000000001</v>
      </c>
      <c r="G106">
        <f t="shared" si="34"/>
        <v>2773.3139012223164</v>
      </c>
      <c r="AC106" s="7"/>
    </row>
    <row r="107" spans="1:29">
      <c r="C107">
        <v>45.856000000000002</v>
      </c>
      <c r="D107">
        <v>45.856000000000002</v>
      </c>
      <c r="E107">
        <f t="shared" si="32"/>
        <v>22.928000000000001</v>
      </c>
      <c r="F107">
        <f t="shared" si="33"/>
        <v>22.928000000000001</v>
      </c>
      <c r="G107">
        <f t="shared" si="34"/>
        <v>1651.5138448966275</v>
      </c>
      <c r="AC107" s="7"/>
    </row>
    <row r="108" spans="1:29">
      <c r="C108">
        <v>149.40199999999999</v>
      </c>
      <c r="D108">
        <v>149.40199999999999</v>
      </c>
      <c r="E108">
        <f t="shared" si="32"/>
        <v>74.700999999999993</v>
      </c>
      <c r="F108">
        <f t="shared" si="33"/>
        <v>74.700999999999993</v>
      </c>
      <c r="G108">
        <f t="shared" si="34"/>
        <v>17530.839107453907</v>
      </c>
      <c r="AC108" s="7"/>
    </row>
    <row r="109" spans="1:29">
      <c r="A109" s="31" t="s">
        <v>81</v>
      </c>
      <c r="B109" s="31">
        <f>COUNT(C95:C108)</f>
        <v>14</v>
      </c>
      <c r="C109" s="31">
        <f>AVERAGE(C95:C108)</f>
        <v>101.64871428571431</v>
      </c>
      <c r="D109" s="31">
        <f>AVERAGE(D95:D108)</f>
        <v>87.633357142857136</v>
      </c>
      <c r="E109" s="31">
        <f>AVERAGE(E95:E108)</f>
        <v>50.824357142857153</v>
      </c>
      <c r="F109" s="31">
        <f>AVERAGE(F95:F108)</f>
        <v>43.816678571428568</v>
      </c>
      <c r="G109" s="31">
        <f>AVERAGE(G95:G108)</f>
        <v>10587.084956151524</v>
      </c>
      <c r="H109" s="34">
        <f>B109</f>
        <v>14</v>
      </c>
      <c r="I109" s="65">
        <f>H109*G109</f>
        <v>148219.18938612135</v>
      </c>
      <c r="J109" s="11">
        <v>5496052.3710000003</v>
      </c>
      <c r="K109" s="67">
        <f>I109/J109</f>
        <v>2.6968300041717585E-2</v>
      </c>
      <c r="L109" s="67">
        <f>K109*100</f>
        <v>2.6968300041717583</v>
      </c>
      <c r="AC109" s="7"/>
    </row>
    <row r="110" spans="1:29">
      <c r="A110" s="32" t="s">
        <v>88</v>
      </c>
      <c r="B110" s="30">
        <f>COUNTIF(C95:C108,"&gt;"&amp;$B$6)</f>
        <v>1</v>
      </c>
      <c r="C110" s="32">
        <f>AVERAGEIF(C95:C108,"&gt;"&amp;$B$6)</f>
        <v>293.74200000000002</v>
      </c>
      <c r="D110" s="32">
        <f>AVERAGEIF(D95:D108,"&gt;"&amp;$B$6)</f>
        <v>296.11</v>
      </c>
      <c r="E110" s="32">
        <f>AVERAGEIF(C95:C108,"&gt;"&amp;$B$6,E95:E108)</f>
        <v>146.87100000000001</v>
      </c>
      <c r="F110" s="32">
        <f>AVERAGEIF(D95:D108,"&gt;"&amp;$B$6,F95:F108)</f>
        <v>148.05500000000001</v>
      </c>
      <c r="G110" s="32">
        <f>AVERAGEIF(C95:C108,"&gt;"&amp;$B$6,G95:G108)</f>
        <v>68313.887971561606</v>
      </c>
      <c r="H110" s="32">
        <f>B110</f>
        <v>1</v>
      </c>
      <c r="I110" s="65">
        <f>H110*G110</f>
        <v>68313.887971561606</v>
      </c>
      <c r="J110" s="30">
        <f>J109</f>
        <v>5496052.3710000003</v>
      </c>
      <c r="K110" s="67">
        <f>I110/J110</f>
        <v>1.2429628278657028E-2</v>
      </c>
      <c r="L110" s="67">
        <f>K110*100</f>
        <v>1.2429628278657028</v>
      </c>
      <c r="AC110" s="7"/>
    </row>
    <row r="111" spans="1:29">
      <c r="A111" s="30" t="s">
        <v>25</v>
      </c>
      <c r="B111" s="30">
        <f>COUNTIF(C95:C108,"&gt;"&amp;$B$7)-COUNTIF(C95:C108,"&gt;"&amp;$B$6)</f>
        <v>2</v>
      </c>
      <c r="C111" s="30">
        <f>AVERAGEIFS(C95:C108,C95:C108,"&gt;"&amp;$B$7,C95:C108,"&lt;"&amp;$B$6)</f>
        <v>199.49</v>
      </c>
      <c r="D111" s="30">
        <f>AVERAGEIFS(D95:D108,D95:D108,"&gt;"&amp;$B$7,D95:D108,"&lt;"&amp;$B$6)</f>
        <v>148.72199999999998</v>
      </c>
      <c r="E111" s="30">
        <f>AVERAGEIFS(E95:E108,C95:C108,"&gt;"&amp;$B$7,C95:C108,"&lt;"&amp;$B$6)</f>
        <v>99.745000000000005</v>
      </c>
      <c r="F111" s="30">
        <f>AVERAGEIFS(F95:F108,D95:D108,"&gt;"&amp;$B$7,D95:D108,"&lt;"&amp;$B$6)</f>
        <v>74.36099999999999</v>
      </c>
      <c r="G111" s="30">
        <f>AVERAGEIFS(G95:G108,C95:C108,"&gt;"&amp;$B$7,C95:C108,"&lt;"&amp;$B$6)</f>
        <v>23274.875542892485</v>
      </c>
      <c r="H111" s="32">
        <f t="shared" ref="H111" si="35">B111</f>
        <v>2</v>
      </c>
      <c r="I111" s="33">
        <f>H111*G111</f>
        <v>46549.75108578497</v>
      </c>
      <c r="J111" s="30">
        <f>J109</f>
        <v>5496052.3710000003</v>
      </c>
      <c r="K111" s="32">
        <f>I111/J111</f>
        <v>8.4696702184654214E-3</v>
      </c>
      <c r="L111" s="32">
        <f>K111*100</f>
        <v>0.84696702184654216</v>
      </c>
      <c r="AC111" s="7"/>
    </row>
    <row r="112" spans="1:29">
      <c r="A112" s="33" t="s">
        <v>26</v>
      </c>
      <c r="B112" s="30">
        <f>COUNTIF(C95:C108,"&gt;"&amp;$B$8)-COUNTIF(C95:C108,"&gt;"&amp;$B$7)</f>
        <v>11</v>
      </c>
      <c r="C112" s="30">
        <f>AVERAGEIFS(C95:C108,C95:C108,"&gt;"&amp;$B$8,C95:C108,"&lt;"&amp;$B$7)</f>
        <v>66.396363636363631</v>
      </c>
      <c r="D112" s="30">
        <f>AVERAGEIFS(D95:D108,D95:D108,"&gt;"&amp;$B$8,D95:D108,"&lt;"&amp;$B$7)</f>
        <v>57.57390909090909</v>
      </c>
      <c r="E112" s="30">
        <f>AVERAGEIFS(E95:E108,C95:C108,"&gt;"&amp;$B$8,C95:C108,"&lt;"&amp;$B$7)</f>
        <v>33.198181818181816</v>
      </c>
      <c r="F112" s="30">
        <f>AVERAGEIFS(F95:F108,D95:D108,"&gt;"&amp;$B$8,D95:D108,"&lt;"&amp;$B$7)</f>
        <v>28.786954545454545</v>
      </c>
      <c r="G112" s="30">
        <f>AVERAGEIFS(G95:G108,C95:C108,"&gt;"&amp;$B$8,C95:C108,"&lt;"&amp;$B$7)</f>
        <v>3032.3227571613429</v>
      </c>
      <c r="H112" s="32">
        <f>B112</f>
        <v>11</v>
      </c>
      <c r="I112" s="33">
        <f>H112*G112</f>
        <v>33355.550328774771</v>
      </c>
      <c r="J112" s="30">
        <f>J109</f>
        <v>5496052.3710000003</v>
      </c>
      <c r="K112" s="32">
        <f>I112/J112</f>
        <v>6.0690015445951373E-3</v>
      </c>
      <c r="L112" s="32">
        <f>K112*100</f>
        <v>0.60690015445951373</v>
      </c>
      <c r="AC112" s="7"/>
    </row>
    <row r="113" spans="1:29">
      <c r="A113" s="11"/>
      <c r="B113" s="11"/>
      <c r="C113" s="11"/>
      <c r="D113" s="11"/>
      <c r="E113" s="11"/>
      <c r="F113" s="11"/>
      <c r="G113" s="11"/>
      <c r="H113" s="11"/>
      <c r="I113" s="11"/>
      <c r="J113" s="11"/>
      <c r="K113" s="11"/>
      <c r="L113" s="11"/>
      <c r="AC113" s="7"/>
    </row>
    <row r="114" spans="1:29">
      <c r="A114" s="11"/>
      <c r="B114" s="11"/>
      <c r="C114" s="11"/>
      <c r="D114" s="11"/>
      <c r="E114" s="11"/>
      <c r="F114" s="11"/>
      <c r="G114" s="11"/>
      <c r="H114" s="11"/>
      <c r="I114" s="11"/>
      <c r="J114" s="11"/>
      <c r="K114" s="11"/>
      <c r="L114" s="11"/>
      <c r="AC114" s="7"/>
    </row>
    <row r="115" spans="1:29">
      <c r="A115" s="11"/>
      <c r="B115" s="11"/>
      <c r="C115" s="11"/>
      <c r="D115" s="11"/>
      <c r="E115" s="11"/>
      <c r="F115" s="11"/>
      <c r="G115" s="11"/>
      <c r="H115" s="11"/>
      <c r="I115" s="11"/>
      <c r="J115" s="11"/>
      <c r="K115" s="11"/>
      <c r="L115" s="11"/>
      <c r="AC115" s="7"/>
    </row>
    <row r="116" spans="1:29" ht="30">
      <c r="A116" s="2" t="s">
        <v>119</v>
      </c>
      <c r="B116" s="2" t="s">
        <v>120</v>
      </c>
      <c r="C116" s="2" t="s">
        <v>19</v>
      </c>
      <c r="D116" s="2" t="s">
        <v>89</v>
      </c>
      <c r="E116" s="2" t="s">
        <v>20</v>
      </c>
      <c r="F116" s="2" t="s">
        <v>90</v>
      </c>
      <c r="G116" s="2" t="s">
        <v>6</v>
      </c>
      <c r="H116" s="2" t="s">
        <v>21</v>
      </c>
      <c r="I116" s="2" t="s">
        <v>22</v>
      </c>
      <c r="J116" s="2" t="s">
        <v>8</v>
      </c>
      <c r="K116" s="2" t="s">
        <v>23</v>
      </c>
      <c r="L116" s="2" t="s">
        <v>24</v>
      </c>
      <c r="AC116" s="7"/>
    </row>
    <row r="117" spans="1:29">
      <c r="A117" t="s">
        <v>182</v>
      </c>
      <c r="B117" s="2"/>
      <c r="C117">
        <v>50.585000000000001</v>
      </c>
      <c r="D117">
        <v>46.283999999999999</v>
      </c>
      <c r="E117">
        <f>C117/2</f>
        <v>25.2925</v>
      </c>
      <c r="F117">
        <f>D117/2</f>
        <v>23.141999999999999</v>
      </c>
      <c r="G117">
        <f>PI()*E117*F117</f>
        <v>1838.8339803622671</v>
      </c>
      <c r="H117" s="2"/>
      <c r="I117" s="2"/>
      <c r="J117" s="2"/>
      <c r="K117" s="2"/>
      <c r="L117" s="2"/>
      <c r="AC117" s="7"/>
    </row>
    <row r="118" spans="1:29">
      <c r="C118">
        <v>26.581</v>
      </c>
      <c r="D118">
        <v>14.311999999999999</v>
      </c>
      <c r="E118">
        <f t="shared" ref="E118:E119" si="36">C118/2</f>
        <v>13.2905</v>
      </c>
      <c r="F118">
        <f t="shared" ref="F118:F119" si="37">D118/2</f>
        <v>7.1559999999999997</v>
      </c>
      <c r="G118">
        <f t="shared" ref="G118:G119" si="38">PI()*E118*F118</f>
        <v>298.78688073510148</v>
      </c>
      <c r="Q118" s="11"/>
      <c r="R118" s="11"/>
      <c r="S118" s="11"/>
      <c r="AC118" s="7"/>
    </row>
    <row r="119" spans="1:29">
      <c r="C119">
        <v>21.565999999999999</v>
      </c>
      <c r="D119">
        <v>20.123000000000001</v>
      </c>
      <c r="E119">
        <f t="shared" si="36"/>
        <v>10.782999999999999</v>
      </c>
      <c r="F119">
        <f t="shared" si="37"/>
        <v>10.061500000000001</v>
      </c>
      <c r="G119">
        <f t="shared" si="38"/>
        <v>340.84129714198247</v>
      </c>
      <c r="Q119" s="11"/>
      <c r="R119" s="11"/>
      <c r="S119" s="11"/>
      <c r="AC119" s="7"/>
    </row>
    <row r="120" spans="1:29">
      <c r="A120" s="31" t="s">
        <v>81</v>
      </c>
      <c r="B120" s="31">
        <f>COUNT(C117:C119)</f>
        <v>3</v>
      </c>
      <c r="C120" s="31">
        <f>AVERAGE(C117:C119)</f>
        <v>32.910666666666664</v>
      </c>
      <c r="D120" s="31">
        <f>AVERAGE(D117:D119)</f>
        <v>26.906333333333333</v>
      </c>
      <c r="E120" s="31">
        <f>AVERAGE(E117:E119)</f>
        <v>16.455333333333332</v>
      </c>
      <c r="F120" s="31">
        <f>AVERAGE(F117:F119)</f>
        <v>13.453166666666666</v>
      </c>
      <c r="G120" s="31">
        <f>AVERAGE(G117:G119)</f>
        <v>826.15405274645036</v>
      </c>
      <c r="H120" s="34">
        <f>B120</f>
        <v>3</v>
      </c>
      <c r="I120" s="65">
        <f>H120*G120</f>
        <v>2478.4621582393511</v>
      </c>
      <c r="J120" s="11">
        <v>14846.468000000001</v>
      </c>
      <c r="K120" s="67">
        <f>I120/J120</f>
        <v>0.16693951438411822</v>
      </c>
      <c r="L120" s="67">
        <f>K120*100</f>
        <v>16.693951438411823</v>
      </c>
      <c r="AC120" s="7"/>
    </row>
    <row r="121" spans="1:29">
      <c r="A121" s="32" t="s">
        <v>88</v>
      </c>
      <c r="B121" s="30">
        <f>COUNTIF(C117:C119,"&gt;"&amp;$B$6)</f>
        <v>0</v>
      </c>
      <c r="C121" s="32" t="e">
        <f>AVERAGEIF(C117:C119,"&gt;"&amp;$B$6)</f>
        <v>#DIV/0!</v>
      </c>
      <c r="D121" s="32" t="e">
        <f>AVERAGEIF(D117:D119,"&gt;"&amp;$B$6)</f>
        <v>#DIV/0!</v>
      </c>
      <c r="E121" s="32" t="e">
        <f>AVERAGEIF(C117:C119,"&gt;"&amp;$B$6,E117:E119)</f>
        <v>#DIV/0!</v>
      </c>
      <c r="F121" s="32" t="e">
        <f>AVERAGEIF(D117:D119,"&gt;"&amp;$B$6,F117:F119)</f>
        <v>#DIV/0!</v>
      </c>
      <c r="G121" s="32" t="e">
        <f>AVERAGEIF(C117:C119,"&gt;"&amp;$B$6,G117:G119)</f>
        <v>#DIV/0!</v>
      </c>
      <c r="H121" s="32">
        <f>B121</f>
        <v>0</v>
      </c>
      <c r="I121" s="65" t="e">
        <f>H121*G121</f>
        <v>#DIV/0!</v>
      </c>
      <c r="J121" s="30">
        <f>J120</f>
        <v>14846.468000000001</v>
      </c>
      <c r="K121" s="67" t="e">
        <f>I121/J121</f>
        <v>#DIV/0!</v>
      </c>
      <c r="L121" s="67" t="e">
        <f>K121*100</f>
        <v>#DIV/0!</v>
      </c>
      <c r="AC121" s="7"/>
    </row>
    <row r="122" spans="1:29">
      <c r="A122" s="30" t="s">
        <v>25</v>
      </c>
      <c r="B122" s="30">
        <f>COUNTIF(C117:C119,"&gt;"&amp;$B$7)-COUNTIF(C117:C119,"&gt;"&amp;$B$6)</f>
        <v>0</v>
      </c>
      <c r="C122" s="30" t="e">
        <f>AVERAGEIFS(C117:C119,C117:C119,"&gt;"&amp;$B$7,C117:C119,"&lt;"&amp;$B$6)</f>
        <v>#DIV/0!</v>
      </c>
      <c r="D122" s="30" t="e">
        <f>AVERAGEIFS(D117:D119,D117:D119,"&gt;"&amp;$B$7,D117:D119,"&lt;"&amp;$B$6)</f>
        <v>#DIV/0!</v>
      </c>
      <c r="E122" s="30" t="e">
        <f>AVERAGEIFS(E117:E119,C117:C119,"&gt;"&amp;$B$7,C117:C119,"&lt;"&amp;$B$6)</f>
        <v>#DIV/0!</v>
      </c>
      <c r="F122" s="30" t="e">
        <f>AVERAGEIFS(F117:F119,D117:D119,"&gt;"&amp;$B$7,D117:D119,"&lt;"&amp;$B$6)</f>
        <v>#DIV/0!</v>
      </c>
      <c r="G122" s="30" t="e">
        <f>AVERAGEIFS(G117:G119,C117:C119,"&gt;"&amp;$B$7,C117:C119,"&lt;"&amp;$B$6)</f>
        <v>#DIV/0!</v>
      </c>
      <c r="H122" s="32">
        <f t="shared" ref="H122" si="39">B122</f>
        <v>0</v>
      </c>
      <c r="I122" s="33" t="e">
        <f>H122*G122</f>
        <v>#DIV/0!</v>
      </c>
      <c r="J122" s="30">
        <f>J120</f>
        <v>14846.468000000001</v>
      </c>
      <c r="K122" s="32" t="e">
        <f>I122/J122</f>
        <v>#DIV/0!</v>
      </c>
      <c r="L122" s="32" t="e">
        <f>K122*100</f>
        <v>#DIV/0!</v>
      </c>
      <c r="AC122" s="7"/>
    </row>
    <row r="123" spans="1:29">
      <c r="A123" s="33" t="s">
        <v>26</v>
      </c>
      <c r="B123" s="30">
        <f>COUNTIF(C117:C119,"&gt;"&amp;$B$8)-COUNTIF(C117:C119,"&gt;"&amp;$B$7)</f>
        <v>3</v>
      </c>
      <c r="C123" s="30">
        <f>AVERAGEIFS(C117:C119,C117:C119,"&gt;"&amp;$B$8,C117:C119,"&lt;"&amp;$B$7)</f>
        <v>32.910666666666664</v>
      </c>
      <c r="D123" s="30">
        <f>AVERAGEIFS(D117:D119,D117:D119,"&gt;"&amp;$B$8,D117:D119,"&lt;"&amp;$B$7)</f>
        <v>26.906333333333333</v>
      </c>
      <c r="E123" s="30">
        <f>AVERAGEIFS(E117:E119,C117:C119,"&gt;"&amp;$B$8,C117:C119,"&lt;"&amp;$B$7)</f>
        <v>16.455333333333332</v>
      </c>
      <c r="F123" s="30">
        <f>AVERAGEIFS(F117:F119,D117:D119,"&gt;"&amp;$B$8,D117:D119,"&lt;"&amp;$B$7)</f>
        <v>13.453166666666666</v>
      </c>
      <c r="G123" s="30">
        <f>AVERAGEIFS(G117:G119,C117:C119,"&gt;"&amp;$B$8,C117:C119,"&lt;"&amp;$B$7)</f>
        <v>826.15405274645036</v>
      </c>
      <c r="H123" s="32">
        <f>B123</f>
        <v>3</v>
      </c>
      <c r="I123" s="33">
        <f>H123*G123</f>
        <v>2478.4621582393511</v>
      </c>
      <c r="J123" s="30">
        <f>J120</f>
        <v>14846.468000000001</v>
      </c>
      <c r="K123" s="32">
        <f>I123/J123</f>
        <v>0.16693951438411822</v>
      </c>
      <c r="L123" s="32">
        <f>K123*100</f>
        <v>16.693951438411823</v>
      </c>
      <c r="AC123" s="7"/>
    </row>
    <row r="124" spans="1:29">
      <c r="A124" s="11"/>
      <c r="B124" s="11"/>
      <c r="C124" s="11"/>
      <c r="D124" s="11"/>
      <c r="E124" s="11"/>
      <c r="F124" s="11"/>
      <c r="G124" s="11"/>
      <c r="H124" s="11"/>
      <c r="I124" s="11"/>
      <c r="J124" s="11"/>
      <c r="K124" s="11"/>
      <c r="L124" s="11"/>
      <c r="AC124" s="7"/>
    </row>
    <row r="125" spans="1:29">
      <c r="A125" s="11"/>
      <c r="B125" s="11"/>
      <c r="C125" s="33"/>
      <c r="D125" s="33"/>
      <c r="E125" s="33"/>
      <c r="F125" s="33"/>
      <c r="G125" s="33"/>
      <c r="H125" s="11"/>
      <c r="I125" s="11"/>
      <c r="J125" s="11"/>
      <c r="K125" s="11"/>
      <c r="L125" s="33"/>
      <c r="AC125" s="7"/>
    </row>
    <row r="126" spans="1:29">
      <c r="A126" s="11"/>
      <c r="B126" s="11"/>
      <c r="C126" s="11"/>
      <c r="D126" s="11"/>
      <c r="E126" s="11"/>
      <c r="F126" s="11"/>
      <c r="G126" s="11"/>
      <c r="H126" s="11"/>
      <c r="I126" s="11"/>
      <c r="J126" s="11"/>
      <c r="K126" s="11"/>
      <c r="L126" s="11"/>
      <c r="AC126" s="7"/>
    </row>
    <row r="127" spans="1:29">
      <c r="A127" s="11"/>
      <c r="B127" s="11"/>
      <c r="C127" s="11"/>
      <c r="D127" s="11"/>
      <c r="E127" s="11"/>
      <c r="F127" s="11"/>
      <c r="G127" s="11"/>
      <c r="H127" s="11"/>
      <c r="I127" s="11"/>
      <c r="J127" s="11"/>
      <c r="K127" s="11"/>
      <c r="L127" s="11"/>
      <c r="AC127" s="7"/>
    </row>
    <row r="128" spans="1:29">
      <c r="A128" s="11"/>
      <c r="B128" s="11"/>
      <c r="C128" s="11"/>
      <c r="D128" s="11"/>
      <c r="E128" s="11"/>
      <c r="F128" s="11"/>
      <c r="G128" s="11"/>
      <c r="H128" s="11"/>
      <c r="I128" s="11"/>
      <c r="J128" s="11"/>
      <c r="K128" s="11"/>
      <c r="L128" s="11"/>
      <c r="AC128" s="7"/>
    </row>
    <row r="129" spans="1:29">
      <c r="A129" s="11"/>
      <c r="B129" s="11"/>
      <c r="C129" s="11"/>
      <c r="D129" s="11"/>
      <c r="E129" s="11"/>
      <c r="F129" s="11"/>
      <c r="G129" s="11"/>
      <c r="H129" s="11"/>
      <c r="I129" s="11"/>
      <c r="J129" s="11"/>
      <c r="K129" s="11"/>
      <c r="L129" s="11"/>
      <c r="AC129" s="7"/>
    </row>
    <row r="130" spans="1:29">
      <c r="A130" s="11"/>
      <c r="B130" s="11"/>
      <c r="C130" s="11"/>
      <c r="D130" s="11"/>
      <c r="E130" s="11"/>
      <c r="F130" s="11"/>
      <c r="G130" s="11"/>
      <c r="H130" s="11"/>
      <c r="I130" s="11"/>
      <c r="J130" s="11"/>
      <c r="K130" s="29"/>
      <c r="L130" s="29"/>
      <c r="AC130" s="7"/>
    </row>
    <row r="131" spans="1:29">
      <c r="A131" s="11"/>
      <c r="B131" s="11"/>
      <c r="C131" s="11"/>
      <c r="D131" s="11"/>
      <c r="E131" s="11"/>
      <c r="F131" s="11"/>
      <c r="G131" s="11"/>
      <c r="H131" s="11"/>
      <c r="I131" s="11"/>
      <c r="J131" s="11"/>
      <c r="K131" s="11"/>
      <c r="L131" s="11"/>
      <c r="AC131" s="7"/>
    </row>
    <row r="132" spans="1:29">
      <c r="A132" s="11"/>
      <c r="B132" s="11"/>
      <c r="C132" s="11"/>
      <c r="D132" s="11"/>
      <c r="E132" s="11"/>
      <c r="F132" s="11"/>
      <c r="G132" s="11"/>
      <c r="H132" s="11"/>
      <c r="I132" s="11"/>
      <c r="J132" s="11"/>
      <c r="K132" s="11"/>
      <c r="L132" s="11"/>
      <c r="AC132" s="7"/>
    </row>
    <row r="133" spans="1:29">
      <c r="A133" s="11"/>
      <c r="B133" s="11"/>
      <c r="C133" s="11"/>
      <c r="D133" s="11"/>
      <c r="E133" s="11"/>
      <c r="F133" s="11"/>
      <c r="G133" s="11"/>
      <c r="H133" s="11"/>
      <c r="I133" s="11"/>
      <c r="J133" s="11"/>
      <c r="K133" s="11"/>
      <c r="L133" s="11"/>
      <c r="AC133" s="7"/>
    </row>
    <row r="134" spans="1:29">
      <c r="A134" s="11"/>
      <c r="B134" s="11"/>
      <c r="C134" s="11"/>
      <c r="D134" s="11"/>
      <c r="E134" s="11"/>
      <c r="F134" s="11"/>
      <c r="G134" s="11"/>
      <c r="H134" s="11"/>
      <c r="I134" s="11"/>
      <c r="J134" s="11"/>
      <c r="K134" s="11"/>
      <c r="L134" s="11"/>
    </row>
    <row r="135" spans="1:29">
      <c r="A135" s="11"/>
      <c r="B135" s="11"/>
      <c r="C135" s="11"/>
      <c r="D135" s="11"/>
      <c r="E135" s="11"/>
      <c r="F135" s="11"/>
      <c r="G135" s="11"/>
      <c r="H135" s="11"/>
      <c r="I135" s="11"/>
      <c r="J135" s="11"/>
      <c r="K135" s="11"/>
      <c r="L135" s="11"/>
    </row>
    <row r="136" spans="1:29">
      <c r="A136" s="11"/>
      <c r="B136" s="11"/>
      <c r="C136" s="11"/>
      <c r="D136" s="11"/>
      <c r="E136" s="11"/>
      <c r="F136" s="11"/>
      <c r="G136" s="11"/>
      <c r="H136" s="11"/>
      <c r="I136" s="11"/>
      <c r="J136" s="11"/>
      <c r="K136" s="11"/>
      <c r="L136" s="11"/>
    </row>
    <row r="137" spans="1:29">
      <c r="A137" s="11"/>
      <c r="B137" s="11"/>
      <c r="C137" s="11"/>
      <c r="D137" s="11"/>
      <c r="E137" s="11"/>
      <c r="F137" s="11"/>
      <c r="G137" s="11"/>
      <c r="H137" s="11"/>
      <c r="I137" s="11"/>
      <c r="J137" s="11"/>
      <c r="K137" s="11"/>
      <c r="L137" s="11"/>
    </row>
    <row r="138" spans="1:29">
      <c r="A138" s="11"/>
      <c r="B138" s="11"/>
      <c r="C138" s="11"/>
      <c r="D138" s="11"/>
      <c r="E138" s="11"/>
      <c r="F138" s="11"/>
      <c r="G138" s="11"/>
      <c r="H138" s="11"/>
      <c r="I138" s="11"/>
      <c r="J138" s="11"/>
      <c r="K138" s="11"/>
      <c r="L138" s="11"/>
    </row>
    <row r="139" spans="1:29">
      <c r="A139" s="11"/>
      <c r="B139" s="11"/>
      <c r="C139" s="11"/>
      <c r="D139" s="11"/>
      <c r="E139" s="11"/>
      <c r="F139" s="11"/>
      <c r="G139" s="11"/>
      <c r="H139" s="11"/>
      <c r="I139" s="11"/>
      <c r="J139" s="11"/>
      <c r="K139" s="11"/>
      <c r="L139" s="11"/>
    </row>
    <row r="140" spans="1:29">
      <c r="A140" s="11"/>
      <c r="B140" s="11"/>
      <c r="C140" s="11"/>
      <c r="D140" s="11"/>
      <c r="E140" s="11"/>
      <c r="F140" s="11"/>
      <c r="G140" s="11"/>
      <c r="H140" s="11"/>
      <c r="I140" s="11"/>
      <c r="J140" s="11"/>
      <c r="K140" s="11"/>
      <c r="L140" s="11"/>
    </row>
    <row r="141" spans="1:29">
      <c r="A141" s="11"/>
      <c r="B141" s="11"/>
      <c r="C141" s="11"/>
      <c r="D141" s="11"/>
      <c r="E141" s="11"/>
      <c r="F141" s="11"/>
      <c r="G141" s="11"/>
      <c r="H141" s="11"/>
      <c r="I141" s="11"/>
      <c r="J141" s="11"/>
      <c r="K141" s="11"/>
      <c r="L141" s="11"/>
    </row>
    <row r="142" spans="1:29">
      <c r="A142" s="11"/>
      <c r="B142" s="11"/>
      <c r="C142" s="11"/>
      <c r="D142" s="11"/>
      <c r="E142" s="11"/>
      <c r="F142" s="11"/>
      <c r="G142" s="11"/>
      <c r="H142" s="11"/>
      <c r="I142" s="11"/>
      <c r="J142" s="11"/>
      <c r="K142" s="11"/>
      <c r="L142" s="11"/>
    </row>
    <row r="143" spans="1:29">
      <c r="A143" s="11"/>
      <c r="B143" s="11"/>
      <c r="C143" s="11"/>
      <c r="D143" s="11"/>
      <c r="E143" s="11"/>
      <c r="F143" s="11"/>
      <c r="G143" s="11"/>
      <c r="H143" s="11"/>
      <c r="I143" s="11"/>
      <c r="J143" s="11"/>
      <c r="K143" s="11"/>
      <c r="L143" s="11"/>
    </row>
    <row r="144" spans="1:29">
      <c r="A144" s="11"/>
      <c r="B144" s="11"/>
      <c r="C144" s="11"/>
      <c r="D144" s="11"/>
      <c r="E144" s="11"/>
      <c r="F144" s="11"/>
      <c r="G144" s="11"/>
      <c r="H144" s="11"/>
      <c r="I144" s="11"/>
      <c r="J144" s="11"/>
      <c r="K144" s="11"/>
      <c r="L144" s="11"/>
    </row>
    <row r="145" spans="1:12">
      <c r="A145" s="11"/>
      <c r="B145" s="11"/>
      <c r="C145" s="11"/>
      <c r="D145" s="11"/>
      <c r="E145" s="11"/>
      <c r="F145" s="11"/>
      <c r="G145" s="11"/>
      <c r="H145" s="11"/>
      <c r="I145" s="11"/>
      <c r="J145" s="11"/>
      <c r="K145" s="11"/>
      <c r="L145" s="11"/>
    </row>
    <row r="146" spans="1:12">
      <c r="A146" s="11"/>
      <c r="B146" s="11"/>
      <c r="C146" s="11"/>
      <c r="D146" s="11"/>
      <c r="E146" s="11"/>
      <c r="F146" s="11"/>
      <c r="G146" s="11"/>
      <c r="H146" s="11"/>
      <c r="I146" s="11"/>
      <c r="J146" s="11"/>
      <c r="K146" s="11"/>
      <c r="L146" s="11"/>
    </row>
    <row r="147" spans="1:12">
      <c r="A147" s="11"/>
      <c r="B147" s="11"/>
      <c r="C147" s="11"/>
      <c r="D147" s="11"/>
      <c r="E147" s="11"/>
      <c r="F147" s="11"/>
      <c r="G147" s="11"/>
      <c r="H147" s="11"/>
      <c r="I147" s="11"/>
      <c r="J147" s="11"/>
      <c r="K147" s="11"/>
      <c r="L147" s="11"/>
    </row>
    <row r="148" spans="1:12">
      <c r="A148" s="11"/>
      <c r="B148" s="11"/>
      <c r="C148" s="11"/>
      <c r="D148" s="11"/>
      <c r="E148" s="11"/>
      <c r="F148" s="11"/>
      <c r="G148" s="11"/>
      <c r="H148" s="11"/>
      <c r="I148" s="11"/>
      <c r="J148" s="11"/>
      <c r="K148" s="11"/>
      <c r="L148" s="11"/>
    </row>
    <row r="149" spans="1:12">
      <c r="A149" s="11"/>
      <c r="B149" s="11"/>
      <c r="C149" s="11"/>
      <c r="D149" s="11"/>
      <c r="E149" s="11"/>
      <c r="F149" s="11"/>
      <c r="G149" s="11"/>
      <c r="H149" s="11"/>
      <c r="I149" s="11"/>
      <c r="J149" s="11"/>
      <c r="K149" s="11"/>
      <c r="L149" s="11"/>
    </row>
    <row r="150" spans="1:12">
      <c r="A150" s="11"/>
      <c r="B150" s="11"/>
      <c r="C150" s="11"/>
      <c r="D150" s="11"/>
      <c r="E150" s="11"/>
      <c r="F150" s="11"/>
      <c r="G150" s="11"/>
      <c r="H150" s="11"/>
      <c r="I150" s="11"/>
      <c r="J150" s="11"/>
      <c r="K150" s="11"/>
      <c r="L150" s="11"/>
    </row>
    <row r="151" spans="1:12">
      <c r="A151" s="11"/>
      <c r="B151" s="11"/>
      <c r="C151" s="11"/>
      <c r="D151" s="11"/>
      <c r="E151" s="11"/>
      <c r="F151" s="11"/>
      <c r="G151" s="11"/>
      <c r="H151" s="11"/>
      <c r="I151" s="11"/>
      <c r="J151" s="11"/>
      <c r="K151" s="11"/>
      <c r="L151" s="11"/>
    </row>
    <row r="152" spans="1:12">
      <c r="A152" s="11"/>
      <c r="B152" s="11"/>
      <c r="C152" s="11"/>
      <c r="D152" s="11"/>
      <c r="E152" s="11"/>
      <c r="F152" s="11"/>
      <c r="G152" s="11"/>
      <c r="H152" s="11"/>
      <c r="I152" s="11"/>
      <c r="J152" s="11"/>
      <c r="K152" s="11"/>
      <c r="L152" s="11"/>
    </row>
    <row r="153" spans="1:12">
      <c r="A153" s="11"/>
      <c r="B153" s="11"/>
      <c r="C153" s="11"/>
      <c r="D153" s="11"/>
      <c r="E153" s="11"/>
      <c r="F153" s="11"/>
      <c r="G153" s="11"/>
      <c r="H153" s="11"/>
      <c r="I153" s="11"/>
      <c r="J153" s="11"/>
      <c r="K153" s="11"/>
      <c r="L153" s="11"/>
    </row>
    <row r="154" spans="1:12">
      <c r="A154" s="11"/>
      <c r="B154" s="11"/>
      <c r="C154" s="11"/>
      <c r="D154" s="11"/>
      <c r="E154" s="11"/>
      <c r="F154" s="11"/>
      <c r="G154" s="11"/>
      <c r="H154" s="11"/>
      <c r="I154" s="11"/>
      <c r="J154" s="11"/>
      <c r="K154" s="11"/>
      <c r="L154" s="11"/>
    </row>
    <row r="155" spans="1:12">
      <c r="A155" s="11"/>
      <c r="B155" s="11"/>
      <c r="C155" s="11"/>
      <c r="D155" s="11"/>
      <c r="E155" s="11"/>
      <c r="F155" s="11"/>
      <c r="G155" s="11"/>
      <c r="H155" s="11"/>
      <c r="I155" s="11"/>
      <c r="J155" s="11"/>
      <c r="K155" s="11"/>
      <c r="L155" s="11"/>
    </row>
    <row r="156" spans="1:12">
      <c r="A156" s="11"/>
      <c r="B156" s="11"/>
      <c r="C156" s="11"/>
      <c r="D156" s="11"/>
      <c r="E156" s="11"/>
      <c r="F156" s="11"/>
      <c r="G156" s="11"/>
      <c r="H156" s="11"/>
      <c r="I156" s="11"/>
      <c r="J156" s="11"/>
      <c r="K156" s="11"/>
      <c r="L156" s="11"/>
    </row>
    <row r="157" spans="1:12">
      <c r="A157" s="11"/>
      <c r="B157" s="11"/>
      <c r="C157" s="11"/>
      <c r="D157" s="11"/>
      <c r="E157" s="11"/>
      <c r="F157" s="11"/>
      <c r="G157" s="11"/>
      <c r="H157" s="11"/>
      <c r="I157" s="11"/>
      <c r="J157" s="11"/>
      <c r="K157" s="11"/>
      <c r="L157" s="11"/>
    </row>
    <row r="158" spans="1:12">
      <c r="A158" s="11"/>
      <c r="B158" s="11"/>
      <c r="C158" s="11"/>
      <c r="D158" s="11"/>
      <c r="E158" s="11"/>
      <c r="F158" s="11"/>
      <c r="G158" s="11"/>
      <c r="H158" s="11"/>
      <c r="I158" s="11"/>
      <c r="J158" s="11"/>
      <c r="K158" s="11"/>
      <c r="L158" s="11"/>
    </row>
    <row r="159" spans="1:12">
      <c r="A159" s="33"/>
      <c r="B159" s="33"/>
      <c r="C159" s="33"/>
      <c r="D159" s="33"/>
      <c r="E159" s="33"/>
      <c r="F159" s="33"/>
      <c r="G159" s="33"/>
      <c r="H159" s="33"/>
      <c r="I159" s="33"/>
      <c r="J159" s="33"/>
      <c r="K159" s="33"/>
      <c r="L159" s="33"/>
    </row>
    <row r="160" spans="1:12">
      <c r="A160" s="11"/>
      <c r="B160" s="11"/>
      <c r="C160" s="11"/>
      <c r="D160" s="11"/>
      <c r="E160" s="11"/>
      <c r="F160" s="11"/>
      <c r="G160" s="11"/>
      <c r="H160" s="11"/>
      <c r="I160" s="11"/>
      <c r="J160" s="11"/>
      <c r="K160" s="33"/>
      <c r="L160" s="33"/>
    </row>
    <row r="161" spans="1:12">
      <c r="A161" s="11"/>
      <c r="B161" s="11"/>
      <c r="C161" s="11"/>
      <c r="D161" s="11"/>
      <c r="E161" s="11"/>
      <c r="F161" s="11"/>
      <c r="G161" s="11"/>
      <c r="H161" s="11"/>
      <c r="I161" s="11"/>
      <c r="J161" s="11"/>
      <c r="K161" s="33"/>
      <c r="L161" s="33"/>
    </row>
    <row r="162" spans="1:12">
      <c r="A162" s="33"/>
      <c r="B162" s="11"/>
      <c r="C162" s="11"/>
      <c r="D162" s="11"/>
      <c r="E162" s="11"/>
      <c r="F162" s="11"/>
      <c r="G162" s="11"/>
      <c r="H162" s="11"/>
      <c r="I162" s="11"/>
      <c r="J162" s="11"/>
      <c r="K162" s="33"/>
      <c r="L162" s="33"/>
    </row>
    <row r="163" spans="1:12">
      <c r="A163" s="11"/>
      <c r="B163" s="11"/>
      <c r="C163" s="11"/>
      <c r="D163" s="11"/>
      <c r="E163" s="11"/>
      <c r="F163" s="11"/>
      <c r="G163" s="11"/>
      <c r="H163" s="11"/>
      <c r="I163" s="11"/>
      <c r="J163" s="11"/>
      <c r="K163" s="11"/>
      <c r="L163" s="11"/>
    </row>
    <row r="164" spans="1:12">
      <c r="A164" s="11"/>
      <c r="B164" s="11"/>
      <c r="C164" s="11"/>
      <c r="D164" s="11"/>
      <c r="E164" s="11"/>
      <c r="F164" s="11"/>
      <c r="G164" s="11"/>
      <c r="H164" s="11"/>
      <c r="I164" s="11"/>
      <c r="J164" s="11"/>
      <c r="K164" s="11"/>
      <c r="L164" s="11"/>
    </row>
    <row r="165" spans="1:12">
      <c r="A165" s="11"/>
      <c r="B165" s="11"/>
      <c r="C165" s="11"/>
      <c r="D165" s="11"/>
      <c r="E165" s="11"/>
      <c r="F165" s="11"/>
      <c r="G165" s="11"/>
      <c r="H165" s="11"/>
      <c r="I165" s="11"/>
      <c r="J165" s="11"/>
      <c r="K165" s="11"/>
      <c r="L165" s="11"/>
    </row>
    <row r="166" spans="1:12">
      <c r="A166" s="11"/>
      <c r="B166" s="11"/>
      <c r="C166" s="11"/>
      <c r="D166" s="11"/>
      <c r="E166" s="11"/>
      <c r="F166" s="11"/>
      <c r="G166" s="11"/>
      <c r="H166" s="11"/>
      <c r="I166" s="11"/>
      <c r="J166" s="11"/>
      <c r="K166" s="11"/>
      <c r="L166" s="11"/>
    </row>
    <row r="167" spans="1:12">
      <c r="A167" s="11"/>
      <c r="B167" s="11"/>
      <c r="C167" s="11"/>
      <c r="D167" s="11"/>
      <c r="E167" s="11"/>
      <c r="F167" s="11"/>
      <c r="G167" s="11"/>
      <c r="H167" s="11"/>
      <c r="I167" s="11"/>
      <c r="J167" s="11"/>
      <c r="K167" s="29"/>
      <c r="L167" s="29"/>
    </row>
    <row r="168" spans="1:12">
      <c r="A168" s="11"/>
      <c r="B168" s="11"/>
      <c r="C168" s="11"/>
      <c r="D168" s="11"/>
      <c r="E168" s="11"/>
      <c r="F168" s="11"/>
      <c r="G168" s="11"/>
      <c r="H168" s="11"/>
      <c r="I168" s="11"/>
      <c r="J168" s="11"/>
      <c r="K168" s="11"/>
      <c r="L168" s="11"/>
    </row>
    <row r="169" spans="1:12">
      <c r="A169" s="11"/>
      <c r="B169" s="11"/>
      <c r="C169" s="11"/>
      <c r="D169" s="11"/>
      <c r="E169" s="11"/>
      <c r="F169" s="11"/>
      <c r="G169" s="11"/>
      <c r="H169" s="11"/>
      <c r="I169" s="11"/>
      <c r="J169" s="11"/>
      <c r="K169" s="11"/>
      <c r="L169" s="11"/>
    </row>
    <row r="170" spans="1:12">
      <c r="A170" s="11"/>
      <c r="B170" s="11"/>
      <c r="C170" s="11"/>
      <c r="D170" s="11"/>
      <c r="E170" s="11"/>
      <c r="F170" s="11"/>
      <c r="G170" s="11"/>
      <c r="H170" s="11"/>
      <c r="I170" s="11"/>
      <c r="J170" s="11"/>
      <c r="K170" s="11"/>
      <c r="L170" s="11"/>
    </row>
    <row r="171" spans="1:12">
      <c r="A171" s="11"/>
      <c r="B171" s="11"/>
      <c r="C171" s="11"/>
      <c r="D171" s="11"/>
      <c r="E171" s="11"/>
      <c r="F171" s="11"/>
      <c r="G171" s="11"/>
      <c r="H171" s="11"/>
      <c r="I171" s="11"/>
      <c r="J171" s="11"/>
      <c r="K171" s="11"/>
      <c r="L171" s="11"/>
    </row>
    <row r="172" spans="1:12">
      <c r="A172" s="11"/>
      <c r="B172" s="11"/>
      <c r="C172" s="11"/>
      <c r="D172" s="11"/>
      <c r="E172" s="11"/>
      <c r="F172" s="11"/>
      <c r="G172" s="11"/>
      <c r="H172" s="11"/>
      <c r="I172" s="11"/>
      <c r="J172" s="11"/>
      <c r="K172" s="11"/>
      <c r="L172" s="11"/>
    </row>
    <row r="173" spans="1:12">
      <c r="A173" s="11"/>
      <c r="B173" s="11"/>
      <c r="C173" s="11"/>
      <c r="D173" s="11"/>
      <c r="E173" s="11"/>
      <c r="F173" s="11"/>
      <c r="G173" s="11"/>
      <c r="H173" s="11"/>
      <c r="I173" s="11"/>
      <c r="J173" s="11"/>
      <c r="K173" s="11"/>
      <c r="L173" s="11"/>
    </row>
    <row r="174" spans="1:12">
      <c r="A174" s="33"/>
      <c r="B174" s="33"/>
      <c r="C174" s="33"/>
      <c r="D174" s="33"/>
      <c r="E174" s="33"/>
      <c r="F174" s="33"/>
      <c r="G174" s="33"/>
      <c r="H174" s="33"/>
      <c r="I174" s="33"/>
      <c r="J174" s="11"/>
      <c r="K174" s="33"/>
      <c r="L174" s="33"/>
    </row>
    <row r="175" spans="1:12">
      <c r="A175" s="11"/>
      <c r="B175" s="11"/>
      <c r="C175" s="11"/>
      <c r="D175" s="11"/>
      <c r="E175" s="11"/>
      <c r="F175" s="11"/>
      <c r="G175" s="11"/>
      <c r="H175" s="11"/>
      <c r="I175" s="11"/>
      <c r="J175" s="11"/>
      <c r="K175" s="33"/>
      <c r="L175" s="33"/>
    </row>
    <row r="176" spans="1:12">
      <c r="A176" s="11"/>
      <c r="B176" s="11"/>
      <c r="C176" s="11"/>
      <c r="D176" s="11"/>
      <c r="E176" s="11"/>
      <c r="F176" s="11"/>
      <c r="G176" s="11"/>
      <c r="H176" s="11"/>
      <c r="I176" s="11"/>
      <c r="J176" s="11"/>
      <c r="K176" s="33"/>
      <c r="L176" s="33"/>
    </row>
    <row r="177" spans="1:12">
      <c r="A177" s="33"/>
      <c r="B177" s="11"/>
      <c r="C177" s="11"/>
      <c r="D177" s="11"/>
      <c r="E177" s="11"/>
      <c r="F177" s="11"/>
      <c r="G177" s="11"/>
      <c r="H177" s="11"/>
      <c r="I177" s="11"/>
      <c r="J177" s="11"/>
      <c r="K177" s="33"/>
      <c r="L177" s="33"/>
    </row>
    <row r="178" spans="1:12">
      <c r="A178" s="11"/>
      <c r="B178" s="11"/>
      <c r="C178" s="11"/>
      <c r="D178" s="11"/>
      <c r="E178" s="11"/>
      <c r="F178" s="11"/>
      <c r="G178" s="11"/>
      <c r="H178" s="11"/>
      <c r="I178" s="11"/>
      <c r="J178" s="11"/>
      <c r="K178" s="11"/>
      <c r="L178" s="11"/>
    </row>
    <row r="179" spans="1:12">
      <c r="A179" s="11"/>
      <c r="B179" s="11"/>
      <c r="C179" s="11"/>
      <c r="D179" s="11"/>
      <c r="E179" s="11"/>
      <c r="F179" s="11"/>
      <c r="G179" s="11"/>
      <c r="H179" s="11"/>
      <c r="I179" s="11"/>
      <c r="J179" s="11"/>
      <c r="K179" s="11"/>
      <c r="L179" s="11"/>
    </row>
    <row r="180" spans="1:12">
      <c r="A180" s="11"/>
      <c r="B180" s="11"/>
      <c r="C180" s="11"/>
      <c r="D180" s="11"/>
      <c r="E180" s="11"/>
      <c r="F180" s="11"/>
      <c r="G180" s="11"/>
      <c r="H180" s="11"/>
      <c r="I180" s="11"/>
      <c r="J180" s="11"/>
      <c r="K180" s="11"/>
      <c r="L180" s="11"/>
    </row>
    <row r="181" spans="1:12">
      <c r="A181" s="11"/>
      <c r="B181" s="11"/>
      <c r="C181" s="11"/>
      <c r="D181" s="11"/>
      <c r="E181" s="11"/>
      <c r="F181" s="11"/>
      <c r="G181" s="11"/>
      <c r="H181" s="11"/>
      <c r="I181" s="11"/>
      <c r="J181" s="11"/>
      <c r="K181" s="29"/>
      <c r="L181" s="29"/>
    </row>
    <row r="182" spans="1:12">
      <c r="A182" s="11"/>
      <c r="B182" s="11"/>
      <c r="C182" s="11"/>
      <c r="D182" s="11"/>
      <c r="E182" s="11"/>
      <c r="F182" s="11"/>
      <c r="G182" s="11"/>
      <c r="H182" s="11"/>
      <c r="I182" s="11"/>
      <c r="J182" s="11"/>
      <c r="K182" s="11"/>
      <c r="L182" s="11"/>
    </row>
    <row r="183" spans="1:12">
      <c r="A183" s="11"/>
      <c r="B183" s="11"/>
      <c r="C183" s="11"/>
      <c r="D183" s="11"/>
      <c r="E183" s="11"/>
      <c r="F183" s="11"/>
      <c r="G183" s="11"/>
      <c r="H183" s="11"/>
      <c r="I183" s="11"/>
      <c r="J183" s="11"/>
      <c r="K183" s="11"/>
      <c r="L183" s="11"/>
    </row>
    <row r="184" spans="1:12">
      <c r="A184" s="11"/>
      <c r="B184" s="11"/>
      <c r="C184" s="11"/>
      <c r="D184" s="11"/>
      <c r="E184" s="11"/>
      <c r="F184" s="11"/>
      <c r="G184" s="11"/>
      <c r="H184" s="11"/>
      <c r="I184" s="11"/>
      <c r="J184" s="11"/>
      <c r="K184" s="11"/>
      <c r="L184" s="11"/>
    </row>
    <row r="185" spans="1:12">
      <c r="A185" s="11"/>
      <c r="B185" s="11"/>
      <c r="C185" s="11"/>
      <c r="D185" s="11"/>
      <c r="E185" s="11"/>
      <c r="F185" s="11"/>
      <c r="G185" s="11"/>
      <c r="H185" s="11"/>
      <c r="I185" s="11"/>
      <c r="J185" s="11"/>
      <c r="K185" s="11"/>
      <c r="L185" s="11"/>
    </row>
    <row r="186" spans="1:12">
      <c r="A186" s="11"/>
      <c r="B186" s="11"/>
      <c r="C186" s="11"/>
      <c r="D186" s="11"/>
      <c r="E186" s="11"/>
      <c r="F186" s="11"/>
      <c r="G186" s="11"/>
      <c r="H186" s="11"/>
      <c r="I186" s="11"/>
      <c r="J186" s="11"/>
      <c r="K186" s="11"/>
      <c r="L186" s="11"/>
    </row>
    <row r="187" spans="1:12">
      <c r="A187" s="11"/>
      <c r="B187" s="11"/>
      <c r="C187" s="11"/>
      <c r="D187" s="11"/>
      <c r="E187" s="11"/>
      <c r="F187" s="11"/>
      <c r="G187" s="11"/>
      <c r="H187" s="11"/>
      <c r="I187" s="11"/>
      <c r="J187" s="11"/>
      <c r="K187" s="11"/>
      <c r="L187" s="11"/>
    </row>
    <row r="188" spans="1:12">
      <c r="A188" s="11"/>
      <c r="B188" s="11"/>
      <c r="C188" s="11"/>
      <c r="D188" s="11"/>
      <c r="E188" s="11"/>
      <c r="F188" s="11"/>
      <c r="G188" s="11"/>
      <c r="H188" s="11"/>
      <c r="I188" s="11"/>
      <c r="J188" s="11"/>
      <c r="K188" s="11"/>
      <c r="L188" s="11"/>
    </row>
    <row r="189" spans="1:12">
      <c r="A189" s="11"/>
      <c r="B189" s="11"/>
      <c r="C189" s="11"/>
      <c r="D189" s="11"/>
      <c r="E189" s="11"/>
      <c r="F189" s="11"/>
      <c r="G189" s="11"/>
      <c r="H189" s="11"/>
      <c r="I189" s="11"/>
      <c r="J189" s="11"/>
      <c r="K189" s="11"/>
      <c r="L189" s="11"/>
    </row>
    <row r="190" spans="1:12">
      <c r="A190" s="11"/>
      <c r="B190" s="11"/>
      <c r="C190" s="11"/>
      <c r="D190" s="11"/>
      <c r="E190" s="11"/>
      <c r="F190" s="11"/>
      <c r="G190" s="11"/>
      <c r="H190" s="11"/>
      <c r="I190" s="11"/>
      <c r="J190" s="11"/>
      <c r="K190" s="11"/>
      <c r="L190" s="11"/>
    </row>
    <row r="191" spans="1:12">
      <c r="A191" s="11"/>
      <c r="B191" s="11"/>
      <c r="C191" s="11"/>
      <c r="D191" s="11"/>
      <c r="E191" s="11"/>
      <c r="F191" s="11"/>
      <c r="G191" s="11"/>
      <c r="H191" s="11"/>
      <c r="I191" s="11"/>
      <c r="J191" s="11"/>
      <c r="K191" s="11"/>
      <c r="L191" s="11"/>
    </row>
    <row r="192" spans="1:12">
      <c r="A192" s="11"/>
      <c r="B192" s="11"/>
      <c r="C192" s="11"/>
      <c r="D192" s="11"/>
      <c r="E192" s="11"/>
      <c r="F192" s="11"/>
      <c r="G192" s="11"/>
      <c r="H192" s="11"/>
      <c r="I192" s="11"/>
      <c r="J192" s="11"/>
      <c r="K192" s="11"/>
      <c r="L192" s="11"/>
    </row>
    <row r="193" spans="1:12">
      <c r="A193" s="33"/>
      <c r="B193" s="33"/>
      <c r="C193" s="33"/>
      <c r="D193" s="33"/>
      <c r="E193" s="33"/>
      <c r="F193" s="33"/>
      <c r="G193" s="33"/>
      <c r="H193" s="33"/>
      <c r="I193" s="33"/>
      <c r="J193" s="11"/>
      <c r="K193" s="33"/>
      <c r="L193" s="33"/>
    </row>
    <row r="194" spans="1:12">
      <c r="A194" s="11"/>
      <c r="B194" s="11"/>
      <c r="C194" s="11"/>
      <c r="D194" s="11"/>
      <c r="E194" s="11"/>
      <c r="F194" s="11"/>
      <c r="G194" s="11"/>
      <c r="H194" s="11"/>
      <c r="I194" s="11"/>
      <c r="J194" s="11"/>
      <c r="K194" s="33"/>
      <c r="L194" s="33"/>
    </row>
    <row r="195" spans="1:12">
      <c r="A195" s="11"/>
      <c r="B195" s="11"/>
      <c r="C195" s="11"/>
      <c r="D195" s="11"/>
      <c r="E195" s="11"/>
      <c r="F195" s="11"/>
      <c r="G195" s="11"/>
      <c r="H195" s="11"/>
      <c r="I195" s="11"/>
      <c r="J195" s="11"/>
      <c r="K195" s="33"/>
      <c r="L195" s="33"/>
    </row>
    <row r="196" spans="1:12">
      <c r="A196" s="33"/>
      <c r="B196" s="11"/>
      <c r="C196" s="11"/>
      <c r="D196" s="11"/>
      <c r="E196" s="11"/>
      <c r="F196" s="11"/>
      <c r="G196" s="11"/>
      <c r="H196" s="11"/>
      <c r="I196" s="11"/>
      <c r="J196" s="11"/>
      <c r="K196" s="33"/>
      <c r="L196" s="33"/>
    </row>
    <row r="197" spans="1:12">
      <c r="A197" s="11"/>
      <c r="B197" s="11"/>
      <c r="C197" s="11"/>
      <c r="D197" s="11"/>
      <c r="E197" s="11"/>
      <c r="F197" s="11"/>
      <c r="G197" s="11"/>
      <c r="H197" s="11"/>
      <c r="I197" s="11"/>
      <c r="J197" s="11"/>
      <c r="K197" s="11"/>
      <c r="L197" s="11"/>
    </row>
    <row r="198" spans="1:12">
      <c r="A198" s="11"/>
      <c r="B198" s="11"/>
      <c r="C198" s="11"/>
      <c r="D198" s="11"/>
      <c r="E198" s="11"/>
      <c r="F198" s="11"/>
      <c r="G198" s="11"/>
      <c r="H198" s="11"/>
      <c r="I198" s="11"/>
      <c r="J198" s="11"/>
      <c r="K198" s="11"/>
      <c r="L198" s="11"/>
    </row>
    <row r="199" spans="1:12">
      <c r="A199" s="11"/>
      <c r="B199" s="11"/>
      <c r="C199" s="11"/>
      <c r="D199" s="11"/>
      <c r="E199" s="11"/>
      <c r="F199" s="11"/>
      <c r="G199" s="11"/>
      <c r="H199" s="11"/>
      <c r="I199" s="11"/>
      <c r="J199" s="11"/>
      <c r="K199" s="11"/>
      <c r="L199" s="11"/>
    </row>
    <row r="200" spans="1:12">
      <c r="A200" s="11"/>
      <c r="B200" s="11"/>
      <c r="C200" s="11"/>
      <c r="D200" s="11"/>
      <c r="E200" s="11"/>
      <c r="F200" s="11"/>
      <c r="G200" s="11"/>
      <c r="H200" s="11"/>
      <c r="I200" s="11"/>
      <c r="J200" s="11"/>
      <c r="K200" s="29"/>
      <c r="L200" s="29"/>
    </row>
    <row r="201" spans="1:12">
      <c r="A201" s="11"/>
      <c r="B201" s="11"/>
      <c r="C201" s="11"/>
      <c r="D201" s="11"/>
      <c r="E201" s="11"/>
      <c r="F201" s="11"/>
      <c r="G201" s="11"/>
      <c r="H201" s="11"/>
      <c r="I201" s="11"/>
      <c r="J201" s="11"/>
      <c r="K201" s="11"/>
      <c r="L201" s="11"/>
    </row>
    <row r="202" spans="1:12">
      <c r="A202" s="11"/>
      <c r="B202" s="11"/>
      <c r="C202" s="11"/>
      <c r="D202" s="11"/>
      <c r="E202" s="11"/>
      <c r="F202" s="11"/>
      <c r="G202" s="11"/>
      <c r="H202" s="11"/>
      <c r="I202" s="11"/>
      <c r="J202" s="11"/>
      <c r="K202" s="11"/>
      <c r="L202" s="11"/>
    </row>
    <row r="203" spans="1:12">
      <c r="A203" s="11"/>
      <c r="B203" s="11"/>
      <c r="C203" s="11"/>
      <c r="D203" s="11"/>
      <c r="E203" s="11"/>
      <c r="F203" s="11"/>
      <c r="G203" s="11"/>
      <c r="H203" s="11"/>
      <c r="I203" s="11"/>
      <c r="J203" s="11"/>
      <c r="K203" s="11"/>
      <c r="L203" s="11"/>
    </row>
    <row r="204" spans="1:12">
      <c r="A204" s="11"/>
      <c r="B204" s="11"/>
      <c r="C204" s="11"/>
      <c r="D204" s="11"/>
      <c r="E204" s="11"/>
      <c r="F204" s="11"/>
      <c r="G204" s="11"/>
      <c r="H204" s="11"/>
      <c r="I204" s="11"/>
      <c r="J204" s="11"/>
      <c r="K204" s="11"/>
      <c r="L204" s="11"/>
    </row>
    <row r="205" spans="1:12">
      <c r="A205" s="11"/>
      <c r="B205" s="11"/>
      <c r="C205" s="11"/>
      <c r="D205" s="11"/>
      <c r="E205" s="11"/>
      <c r="F205" s="11"/>
      <c r="G205" s="11"/>
      <c r="H205" s="11"/>
      <c r="I205" s="11"/>
      <c r="J205" s="11"/>
      <c r="K205" s="11"/>
      <c r="L205" s="11"/>
    </row>
    <row r="206" spans="1:12">
      <c r="A206" s="11"/>
      <c r="B206" s="11"/>
      <c r="C206" s="11"/>
      <c r="D206" s="11"/>
      <c r="E206" s="11"/>
      <c r="F206" s="11"/>
      <c r="G206" s="11"/>
      <c r="H206" s="11"/>
      <c r="I206" s="11"/>
      <c r="J206" s="11"/>
      <c r="K206" s="11"/>
      <c r="L206" s="11"/>
    </row>
    <row r="207" spans="1:12">
      <c r="A207" s="11"/>
      <c r="B207" s="11"/>
      <c r="C207" s="11"/>
      <c r="D207" s="11"/>
      <c r="E207" s="11"/>
      <c r="F207" s="11"/>
      <c r="G207" s="11"/>
      <c r="H207" s="11"/>
      <c r="I207" s="11"/>
      <c r="J207" s="11"/>
      <c r="K207" s="11"/>
      <c r="L207" s="11"/>
    </row>
    <row r="208" spans="1:12">
      <c r="A208" s="11"/>
      <c r="B208" s="11"/>
      <c r="C208" s="11"/>
      <c r="D208" s="11"/>
      <c r="E208" s="11"/>
      <c r="F208" s="11"/>
      <c r="G208" s="11"/>
      <c r="H208" s="11"/>
      <c r="I208" s="11"/>
      <c r="J208" s="11"/>
      <c r="K208" s="11"/>
      <c r="L208" s="11"/>
    </row>
    <row r="209" spans="1:12">
      <c r="A209" s="11"/>
      <c r="B209" s="11"/>
      <c r="C209" s="11"/>
      <c r="D209" s="11"/>
      <c r="E209" s="11"/>
      <c r="F209" s="11"/>
      <c r="G209" s="11"/>
      <c r="H209" s="11"/>
      <c r="I209" s="11"/>
      <c r="J209" s="11"/>
      <c r="K209" s="11"/>
      <c r="L209" s="11"/>
    </row>
    <row r="210" spans="1:12">
      <c r="A210" s="11"/>
      <c r="B210" s="11"/>
      <c r="C210" s="11"/>
      <c r="D210" s="11"/>
      <c r="E210" s="11"/>
      <c r="F210" s="11"/>
      <c r="G210" s="11"/>
      <c r="H210" s="11"/>
      <c r="I210" s="11"/>
      <c r="J210" s="11"/>
      <c r="K210" s="11"/>
      <c r="L210" s="11"/>
    </row>
    <row r="211" spans="1:12">
      <c r="A211" s="11"/>
      <c r="B211" s="11"/>
      <c r="C211" s="11"/>
      <c r="D211" s="11"/>
      <c r="E211" s="11"/>
      <c r="F211" s="11"/>
      <c r="G211" s="11"/>
      <c r="H211" s="11"/>
      <c r="I211" s="11"/>
      <c r="J211" s="11"/>
      <c r="K211" s="11"/>
      <c r="L211" s="11"/>
    </row>
    <row r="212" spans="1:12">
      <c r="A212" s="11"/>
      <c r="B212" s="11"/>
      <c r="C212" s="11"/>
      <c r="D212" s="11"/>
      <c r="E212" s="11"/>
      <c r="F212" s="11"/>
      <c r="G212" s="11"/>
      <c r="H212" s="11"/>
      <c r="I212" s="11"/>
      <c r="J212" s="11"/>
      <c r="K212" s="11"/>
      <c r="L212" s="11"/>
    </row>
    <row r="213" spans="1:12">
      <c r="A213" s="11"/>
      <c r="B213" s="11"/>
      <c r="C213" s="11"/>
      <c r="D213" s="11"/>
      <c r="E213" s="11"/>
      <c r="F213" s="11"/>
      <c r="G213" s="11"/>
      <c r="H213" s="11"/>
      <c r="I213" s="11"/>
      <c r="J213" s="11"/>
      <c r="K213" s="11"/>
      <c r="L213" s="11"/>
    </row>
    <row r="214" spans="1:12">
      <c r="A214" s="11"/>
      <c r="B214" s="11"/>
      <c r="C214" s="11"/>
      <c r="D214" s="11"/>
      <c r="E214" s="11"/>
      <c r="F214" s="11"/>
      <c r="G214" s="11"/>
      <c r="H214" s="11"/>
      <c r="I214" s="11"/>
      <c r="J214" s="11"/>
      <c r="K214" s="11"/>
      <c r="L214" s="11"/>
    </row>
    <row r="215" spans="1:12">
      <c r="A215" s="11"/>
      <c r="B215" s="11"/>
      <c r="C215" s="11"/>
      <c r="D215" s="11"/>
      <c r="E215" s="11"/>
      <c r="F215" s="11"/>
      <c r="G215" s="11"/>
      <c r="H215" s="11"/>
      <c r="I215" s="11"/>
      <c r="J215" s="11"/>
      <c r="K215" s="11"/>
      <c r="L215" s="11"/>
    </row>
    <row r="216" spans="1:12">
      <c r="A216" s="11"/>
      <c r="B216" s="11"/>
      <c r="C216" s="11"/>
      <c r="D216" s="11"/>
      <c r="E216" s="11"/>
      <c r="F216" s="11"/>
      <c r="G216" s="11"/>
      <c r="H216" s="11"/>
      <c r="I216" s="11"/>
      <c r="J216" s="11"/>
      <c r="K216" s="11"/>
      <c r="L216" s="11"/>
    </row>
    <row r="217" spans="1:12">
      <c r="A217" s="11"/>
      <c r="B217" s="11"/>
      <c r="C217" s="11"/>
      <c r="D217" s="11"/>
      <c r="E217" s="11"/>
      <c r="F217" s="11"/>
      <c r="G217" s="11"/>
      <c r="H217" s="11"/>
      <c r="I217" s="11"/>
      <c r="J217" s="11"/>
      <c r="K217" s="11"/>
      <c r="L217" s="11"/>
    </row>
    <row r="218" spans="1:12">
      <c r="A218" s="33"/>
      <c r="B218" s="33"/>
      <c r="C218" s="33"/>
      <c r="D218" s="33"/>
      <c r="E218" s="33"/>
      <c r="F218" s="33"/>
      <c r="G218" s="33"/>
      <c r="H218" s="33"/>
      <c r="I218" s="33"/>
      <c r="J218" s="11"/>
      <c r="K218" s="33"/>
      <c r="L218" s="33"/>
    </row>
    <row r="219" spans="1:12">
      <c r="A219" s="11"/>
      <c r="B219" s="11"/>
      <c r="C219" s="11"/>
      <c r="D219" s="11"/>
      <c r="E219" s="11"/>
      <c r="F219" s="11"/>
      <c r="G219" s="11"/>
      <c r="H219" s="11"/>
      <c r="I219" s="11"/>
      <c r="J219" s="11"/>
      <c r="K219" s="33"/>
      <c r="L219" s="33"/>
    </row>
    <row r="220" spans="1:12">
      <c r="A220" s="11"/>
      <c r="B220" s="11"/>
      <c r="C220" s="11"/>
      <c r="D220" s="11"/>
      <c r="E220" s="11"/>
      <c r="F220" s="11"/>
      <c r="G220" s="11"/>
      <c r="H220" s="11"/>
      <c r="I220" s="11"/>
      <c r="J220" s="11"/>
      <c r="K220" s="33"/>
      <c r="L220" s="33"/>
    </row>
    <row r="221" spans="1:12">
      <c r="A221" s="33"/>
      <c r="B221" s="11"/>
      <c r="C221" s="11"/>
      <c r="D221" s="11"/>
      <c r="E221" s="11"/>
      <c r="F221" s="11"/>
      <c r="G221" s="11"/>
      <c r="H221" s="11"/>
      <c r="I221" s="11"/>
      <c r="J221" s="11"/>
      <c r="K221" s="33"/>
      <c r="L221" s="33"/>
    </row>
    <row r="222" spans="1:12">
      <c r="A222" s="11"/>
      <c r="B222" s="11"/>
      <c r="C222" s="11"/>
      <c r="D222" s="11"/>
      <c r="E222" s="11"/>
      <c r="F222" s="11"/>
      <c r="G222" s="11"/>
      <c r="H222" s="11"/>
      <c r="I222" s="11"/>
      <c r="J222" s="11"/>
      <c r="K222" s="11"/>
      <c r="L222" s="11"/>
    </row>
    <row r="223" spans="1:12">
      <c r="A223" s="11"/>
      <c r="B223" s="11"/>
      <c r="C223" s="11"/>
      <c r="D223" s="11"/>
      <c r="E223" s="11"/>
      <c r="F223" s="11"/>
      <c r="G223" s="11"/>
      <c r="H223" s="11"/>
      <c r="I223" s="11"/>
      <c r="J223" s="11"/>
      <c r="K223" s="11"/>
      <c r="L223" s="11"/>
    </row>
    <row r="224" spans="1:12">
      <c r="A224" s="11"/>
      <c r="B224" s="11"/>
      <c r="C224" s="11"/>
      <c r="D224" s="11"/>
      <c r="E224" s="11"/>
      <c r="F224" s="11"/>
      <c r="G224" s="11"/>
      <c r="H224" s="11"/>
      <c r="I224" s="11"/>
      <c r="J224" s="11"/>
      <c r="K224" s="29"/>
      <c r="L224" s="29"/>
    </row>
    <row r="225" spans="1:12">
      <c r="A225" s="11"/>
      <c r="B225" s="11"/>
      <c r="C225" s="11"/>
      <c r="D225" s="11"/>
      <c r="E225" s="11"/>
      <c r="F225" s="11"/>
      <c r="G225" s="11"/>
      <c r="H225" s="11"/>
      <c r="I225" s="33"/>
      <c r="J225" s="11"/>
      <c r="K225" s="11"/>
      <c r="L225" s="11"/>
    </row>
    <row r="226" spans="1:12">
      <c r="A226" s="11"/>
      <c r="B226" s="11"/>
      <c r="C226" s="11"/>
      <c r="D226" s="11"/>
      <c r="E226" s="11"/>
      <c r="F226" s="11"/>
      <c r="G226" s="11"/>
      <c r="H226" s="11"/>
      <c r="I226" s="11"/>
      <c r="J226" s="11"/>
      <c r="K226" s="11"/>
      <c r="L226" s="11"/>
    </row>
    <row r="227" spans="1:12">
      <c r="A227" s="11"/>
      <c r="B227" s="11"/>
      <c r="C227" s="11"/>
      <c r="D227" s="11"/>
      <c r="E227" s="11"/>
      <c r="F227" s="11"/>
      <c r="G227" s="11"/>
      <c r="H227" s="11"/>
      <c r="I227" s="11"/>
      <c r="J227" s="11"/>
      <c r="K227" s="11"/>
      <c r="L227" s="11"/>
    </row>
    <row r="228" spans="1:12">
      <c r="A228" s="11"/>
      <c r="B228" s="11"/>
      <c r="C228" s="11"/>
      <c r="D228" s="11"/>
      <c r="E228" s="11"/>
      <c r="F228" s="11"/>
      <c r="G228" s="11"/>
      <c r="H228" s="11"/>
      <c r="I228" s="11"/>
      <c r="J228" s="11"/>
      <c r="K228" s="11"/>
      <c r="L228" s="11"/>
    </row>
    <row r="229" spans="1:12">
      <c r="A229" s="11"/>
      <c r="B229" s="11"/>
      <c r="C229" s="11"/>
      <c r="D229" s="11"/>
      <c r="E229" s="11"/>
      <c r="F229" s="11"/>
      <c r="G229" s="11"/>
      <c r="H229" s="11"/>
      <c r="I229" s="11"/>
      <c r="J229" s="11"/>
      <c r="K229" s="11"/>
      <c r="L229" s="11"/>
    </row>
    <row r="230" spans="1:12">
      <c r="A230" s="11"/>
      <c r="B230" s="11"/>
      <c r="C230" s="11"/>
      <c r="D230" s="11"/>
      <c r="E230" s="11"/>
      <c r="F230" s="11"/>
      <c r="G230" s="11"/>
      <c r="H230" s="11"/>
      <c r="I230" s="11"/>
      <c r="J230" s="11"/>
      <c r="K230" s="11"/>
      <c r="L230" s="11"/>
    </row>
    <row r="231" spans="1:12">
      <c r="A231" s="33"/>
      <c r="B231" s="33"/>
      <c r="C231" s="33"/>
      <c r="D231" s="33"/>
      <c r="E231" s="33"/>
      <c r="F231" s="33"/>
      <c r="G231" s="33"/>
      <c r="H231" s="33"/>
      <c r="I231" s="33"/>
      <c r="J231" s="11"/>
      <c r="K231" s="33"/>
      <c r="L231" s="33"/>
    </row>
    <row r="232" spans="1:12">
      <c r="A232" s="11"/>
      <c r="B232" s="11"/>
      <c r="C232" s="11"/>
      <c r="D232" s="11"/>
      <c r="E232" s="11"/>
      <c r="F232" s="11"/>
      <c r="G232" s="11"/>
      <c r="H232" s="11"/>
      <c r="I232" s="11"/>
      <c r="J232" s="11"/>
      <c r="K232" s="33"/>
      <c r="L232" s="33"/>
    </row>
    <row r="233" spans="1:12">
      <c r="A233" s="11"/>
      <c r="B233" s="11"/>
      <c r="C233" s="11"/>
      <c r="D233" s="11"/>
      <c r="E233" s="11"/>
      <c r="F233" s="11"/>
      <c r="G233" s="11"/>
      <c r="H233" s="11"/>
      <c r="I233" s="11"/>
      <c r="J233" s="11"/>
      <c r="K233" s="33"/>
      <c r="L233" s="33"/>
    </row>
    <row r="234" spans="1:12">
      <c r="A234" s="33"/>
      <c r="B234" s="11"/>
      <c r="C234" s="11"/>
      <c r="D234" s="11"/>
      <c r="E234" s="11"/>
      <c r="F234" s="11"/>
      <c r="G234" s="11"/>
      <c r="H234" s="11"/>
      <c r="I234" s="11"/>
      <c r="J234" s="11"/>
      <c r="K234" s="33"/>
      <c r="L234" s="33"/>
    </row>
    <row r="235" spans="1:12">
      <c r="A235" s="11"/>
      <c r="B235" s="11"/>
      <c r="C235" s="11"/>
      <c r="D235" s="11"/>
      <c r="E235" s="11"/>
      <c r="F235" s="11"/>
      <c r="G235" s="11"/>
      <c r="H235" s="11"/>
      <c r="I235" s="11"/>
      <c r="J235" s="11"/>
      <c r="K235" s="11"/>
      <c r="L235" s="11"/>
    </row>
    <row r="236" spans="1:12">
      <c r="A236" s="11"/>
      <c r="B236" s="11"/>
      <c r="C236" s="11"/>
      <c r="D236" s="11"/>
      <c r="E236" s="11"/>
      <c r="F236" s="11"/>
      <c r="G236" s="11"/>
      <c r="H236" s="11"/>
      <c r="I236" s="11"/>
      <c r="J236" s="11"/>
      <c r="K236" s="11"/>
      <c r="L236" s="11"/>
    </row>
    <row r="237" spans="1:12">
      <c r="A237" s="11"/>
      <c r="B237" s="11"/>
      <c r="C237" s="11"/>
      <c r="D237" s="11"/>
      <c r="E237" s="11"/>
      <c r="F237" s="11"/>
      <c r="G237" s="11"/>
      <c r="H237" s="11"/>
      <c r="I237" s="11"/>
      <c r="J237" s="11"/>
      <c r="K237" s="11"/>
      <c r="L237" s="11"/>
    </row>
    <row r="238" spans="1:12">
      <c r="A238" s="11"/>
      <c r="B238" s="11"/>
      <c r="C238" s="11"/>
      <c r="D238" s="11"/>
      <c r="E238" s="11"/>
      <c r="F238" s="11"/>
      <c r="G238" s="11"/>
      <c r="H238" s="11"/>
      <c r="I238" s="11"/>
      <c r="J238" s="11"/>
      <c r="K238" s="11"/>
      <c r="L238" s="11"/>
    </row>
    <row r="239" spans="1:12">
      <c r="A239" s="11"/>
      <c r="B239" s="11"/>
      <c r="C239" s="11"/>
      <c r="D239" s="11"/>
      <c r="E239" s="11"/>
      <c r="F239" s="11"/>
      <c r="G239" s="11"/>
      <c r="H239" s="11"/>
      <c r="I239" s="11"/>
      <c r="J239" s="11"/>
      <c r="K239" s="11"/>
      <c r="L239" s="11"/>
    </row>
    <row r="240" spans="1:12">
      <c r="A240" s="11"/>
      <c r="B240" s="11"/>
      <c r="C240" s="11"/>
      <c r="D240" s="11"/>
      <c r="E240" s="11"/>
      <c r="F240" s="11"/>
      <c r="G240" s="11"/>
      <c r="H240" s="11"/>
      <c r="I240" s="11"/>
      <c r="J240" s="11"/>
      <c r="K240" s="11"/>
      <c r="L240" s="11"/>
    </row>
    <row r="241" spans="1:12">
      <c r="A241" s="11"/>
      <c r="B241" s="11"/>
      <c r="C241" s="11"/>
      <c r="D241" s="11"/>
      <c r="E241" s="11"/>
      <c r="F241" s="11"/>
      <c r="G241" s="11"/>
      <c r="H241" s="11"/>
      <c r="I241" s="11"/>
      <c r="J241" s="11"/>
      <c r="K241" s="11"/>
      <c r="L241" s="11"/>
    </row>
    <row r="242" spans="1:12">
      <c r="A242" s="11"/>
      <c r="B242" s="11"/>
      <c r="C242" s="11"/>
      <c r="D242" s="11"/>
      <c r="E242" s="11"/>
      <c r="F242" s="11"/>
      <c r="G242" s="11"/>
      <c r="H242" s="11"/>
      <c r="I242" s="11"/>
      <c r="J242" s="11"/>
      <c r="K242" s="11"/>
      <c r="L242" s="11"/>
    </row>
    <row r="243" spans="1:12">
      <c r="A243" s="11"/>
      <c r="B243" s="11"/>
      <c r="C243" s="11"/>
      <c r="D243" s="11"/>
      <c r="E243" s="11"/>
      <c r="F243" s="11"/>
      <c r="G243" s="11"/>
      <c r="H243" s="11"/>
      <c r="I243" s="11"/>
      <c r="J243" s="11"/>
      <c r="K243" s="11"/>
      <c r="L243" s="11"/>
    </row>
    <row r="244" spans="1:12">
      <c r="A244" s="11"/>
      <c r="B244" s="11"/>
      <c r="C244" s="11"/>
      <c r="D244" s="11"/>
      <c r="E244" s="11"/>
      <c r="F244" s="11"/>
      <c r="G244" s="11"/>
      <c r="H244" s="11"/>
      <c r="I244" s="11"/>
      <c r="J244" s="11"/>
      <c r="K244" s="11"/>
      <c r="L244" s="11"/>
    </row>
    <row r="245" spans="1:12">
      <c r="A245" s="11"/>
      <c r="B245" s="11"/>
      <c r="C245" s="11"/>
      <c r="D245" s="11"/>
      <c r="E245" s="11"/>
      <c r="F245" s="11"/>
      <c r="G245" s="11"/>
      <c r="H245" s="11"/>
      <c r="I245" s="11"/>
      <c r="J245" s="11"/>
      <c r="K245" s="11"/>
      <c r="L245" s="11"/>
    </row>
    <row r="246" spans="1:12">
      <c r="A246" s="11"/>
      <c r="B246" s="11"/>
      <c r="C246" s="11"/>
      <c r="D246" s="11"/>
      <c r="E246" s="11"/>
      <c r="F246" s="11"/>
      <c r="G246" s="11"/>
      <c r="H246" s="11"/>
      <c r="I246" s="11"/>
      <c r="J246" s="11"/>
      <c r="K246" s="11"/>
      <c r="L246" s="11"/>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P57"/>
  <sheetViews>
    <sheetView workbookViewId="0">
      <selection activeCell="E58" sqref="E58"/>
    </sheetView>
  </sheetViews>
  <sheetFormatPr baseColWidth="10" defaultColWidth="11" defaultRowHeight="15" x14ac:dyDescent="0"/>
  <cols>
    <col min="1" max="1" width="24.1640625" customWidth="1"/>
    <col min="3" max="3" width="11" customWidth="1"/>
    <col min="5" max="5" width="12.6640625" customWidth="1"/>
    <col min="7" max="7" width="18.33203125" customWidth="1"/>
    <col min="8" max="8" width="14.1640625" customWidth="1"/>
    <col min="9" max="9" width="15.33203125" customWidth="1"/>
    <col min="10" max="10" width="16.83203125" customWidth="1"/>
  </cols>
  <sheetData>
    <row r="2" spans="1:10">
      <c r="A2" t="s">
        <v>27</v>
      </c>
    </row>
    <row r="4" spans="1:10">
      <c r="A4" t="s">
        <v>180</v>
      </c>
    </row>
    <row r="5" spans="1:10">
      <c r="A5" s="62" t="s">
        <v>181</v>
      </c>
    </row>
    <row r="6" spans="1:10">
      <c r="A6" s="62"/>
    </row>
    <row r="12" spans="1:10">
      <c r="A12" t="s">
        <v>3</v>
      </c>
    </row>
    <row r="13" spans="1:10">
      <c r="A13" s="3"/>
      <c r="C13" s="7"/>
      <c r="D13" s="7"/>
      <c r="E13" s="7"/>
      <c r="F13" s="7"/>
      <c r="G13" s="7"/>
      <c r="H13" s="14"/>
      <c r="I13" s="13"/>
      <c r="J13" s="12"/>
    </row>
    <row r="14" spans="1:10">
      <c r="A14" t="s">
        <v>43</v>
      </c>
    </row>
    <row r="15" spans="1:10" ht="46" thickBot="1">
      <c r="A15" s="78" t="s">
        <v>18</v>
      </c>
      <c r="B15" s="79" t="s">
        <v>115</v>
      </c>
      <c r="C15" s="79" t="s">
        <v>116</v>
      </c>
      <c r="D15" s="79" t="s">
        <v>117</v>
      </c>
      <c r="E15" s="79" t="s">
        <v>123</v>
      </c>
    </row>
    <row r="16" spans="1:10" ht="16" thickTop="1">
      <c r="A16" s="76" t="str">
        <f>A33</f>
        <v>Cv-cho-RR-47</v>
      </c>
      <c r="B16" s="70">
        <f>B37</f>
        <v>0.53374999999999995</v>
      </c>
      <c r="C16" s="70">
        <f t="shared" ref="C16:D16" si="0">C37</f>
        <v>2.6952499999999997</v>
      </c>
      <c r="D16" s="70">
        <f t="shared" si="0"/>
        <v>1.3994114999999998</v>
      </c>
      <c r="E16" s="71"/>
    </row>
    <row r="17" spans="1:16">
      <c r="A17" s="70"/>
      <c r="B17" s="70"/>
      <c r="C17" s="70"/>
      <c r="D17" s="70"/>
      <c r="E17" s="71"/>
    </row>
    <row r="18" spans="1:16">
      <c r="A18" s="77"/>
      <c r="B18" s="71"/>
      <c r="C18" s="71"/>
      <c r="D18" s="71"/>
      <c r="E18" s="71"/>
    </row>
    <row r="19" spans="1:16">
      <c r="A19" s="71"/>
      <c r="B19" s="71"/>
      <c r="C19" s="71"/>
      <c r="D19" s="71"/>
      <c r="E19" s="71"/>
    </row>
    <row r="20" spans="1:16">
      <c r="A20" s="71" t="str">
        <f>A47</f>
        <v>Cv-cho-RR-24</v>
      </c>
      <c r="B20" s="71"/>
      <c r="C20" s="71"/>
      <c r="D20" s="71"/>
      <c r="E20" s="71">
        <f>G53</f>
        <v>3.1848863371867484</v>
      </c>
    </row>
    <row r="21" spans="1:16">
      <c r="A21" t="s">
        <v>111</v>
      </c>
      <c r="B21" s="58">
        <f>AVERAGE(B16:B19)</f>
        <v>0.53374999999999995</v>
      </c>
      <c r="C21" s="58">
        <f>AVERAGE(C16:C19)</f>
        <v>2.6952499999999997</v>
      </c>
      <c r="D21" s="58">
        <f>AVERAGE(D16:D19)</f>
        <v>1.3994114999999998</v>
      </c>
      <c r="E21" s="58">
        <f>E20</f>
        <v>3.1848863371867484</v>
      </c>
    </row>
    <row r="22" spans="1:16">
      <c r="B22" s="17"/>
      <c r="C22" s="17"/>
      <c r="D22" s="17"/>
      <c r="E22" s="17"/>
      <c r="F22" s="17"/>
      <c r="G22" s="17"/>
      <c r="H22" s="17"/>
      <c r="I22" s="17"/>
      <c r="J22" s="17"/>
      <c r="K22" s="17"/>
      <c r="L22" s="17"/>
      <c r="M22" s="17"/>
      <c r="N22" s="17"/>
      <c r="O22" s="17"/>
      <c r="P22" s="17"/>
    </row>
    <row r="23" spans="1:16">
      <c r="B23" s="17"/>
      <c r="C23" s="17"/>
      <c r="D23" s="17"/>
      <c r="E23" s="17"/>
      <c r="F23" s="17"/>
      <c r="G23" s="17"/>
      <c r="H23" s="17"/>
      <c r="I23" s="17"/>
      <c r="J23" s="17"/>
      <c r="K23" s="17"/>
      <c r="L23" s="17"/>
      <c r="M23" s="17"/>
      <c r="N23" s="17"/>
      <c r="O23" s="17"/>
      <c r="P23" s="17"/>
    </row>
    <row r="24" spans="1:16">
      <c r="A24" t="s">
        <v>163</v>
      </c>
      <c r="B24" s="100">
        <f>Apopyle!F12</f>
        <v>28.034512749464277</v>
      </c>
      <c r="C24" s="17"/>
      <c r="D24" s="17"/>
      <c r="E24" s="17"/>
      <c r="F24" s="17"/>
      <c r="G24" s="17"/>
      <c r="H24" s="17"/>
      <c r="I24" s="17"/>
      <c r="J24" s="17"/>
      <c r="K24" s="17"/>
      <c r="L24" s="17"/>
      <c r="M24" s="17"/>
      <c r="N24" s="17"/>
      <c r="O24" s="17"/>
      <c r="P24" s="17"/>
    </row>
    <row r="25" spans="1:16">
      <c r="A25" t="s">
        <v>164</v>
      </c>
      <c r="B25" s="17">
        <f>'Choanocyte Chambers'!M12</f>
        <v>1234.2048824908286</v>
      </c>
      <c r="C25" s="17"/>
      <c r="D25" s="17"/>
      <c r="E25" s="17"/>
      <c r="F25" s="17"/>
      <c r="G25" s="17"/>
      <c r="H25" s="17"/>
      <c r="I25" s="17"/>
      <c r="J25" s="17"/>
      <c r="K25" s="17"/>
      <c r="L25" s="17"/>
      <c r="M25" s="17"/>
      <c r="N25" s="17"/>
      <c r="O25" s="17"/>
      <c r="P25" s="17"/>
    </row>
    <row r="26" spans="1:16">
      <c r="A26" t="s">
        <v>166</v>
      </c>
      <c r="B26" s="100">
        <f>B25-B24</f>
        <v>1206.1703697413643</v>
      </c>
      <c r="C26" s="17" t="s">
        <v>165</v>
      </c>
      <c r="D26" s="17"/>
      <c r="E26" s="17"/>
      <c r="F26" s="17"/>
      <c r="G26" s="17"/>
      <c r="H26" s="17"/>
      <c r="I26" s="17"/>
      <c r="J26" s="17"/>
      <c r="K26" s="17"/>
      <c r="L26" s="17"/>
      <c r="M26" s="17"/>
      <c r="N26" s="17"/>
      <c r="O26" s="17"/>
      <c r="P26" s="17"/>
    </row>
    <row r="28" spans="1:16" ht="49">
      <c r="A28" s="84"/>
      <c r="B28" s="80" t="s">
        <v>124</v>
      </c>
      <c r="C28" s="80" t="s">
        <v>125</v>
      </c>
      <c r="D28" s="80" t="s">
        <v>126</v>
      </c>
      <c r="E28" s="81" t="s">
        <v>127</v>
      </c>
    </row>
    <row r="29" spans="1:16">
      <c r="A29" s="84"/>
      <c r="B29" s="82">
        <f>'Choanocyte Chambers'!G12</f>
        <v>14358.317270685819</v>
      </c>
      <c r="C29" s="82">
        <f>(E21/100)*B26</f>
        <v>38.415155309087602</v>
      </c>
      <c r="D29" s="83">
        <f>B29*C29</f>
        <v>551576.98793055059</v>
      </c>
      <c r="E29" s="85">
        <f>D29/1000000</f>
        <v>0.55157698793055054</v>
      </c>
    </row>
    <row r="31" spans="1:16">
      <c r="A31" t="s">
        <v>43</v>
      </c>
    </row>
    <row r="32" spans="1:16" ht="76" thickBot="1">
      <c r="A32" s="59" t="s">
        <v>18</v>
      </c>
      <c r="B32" s="61" t="s">
        <v>185</v>
      </c>
      <c r="C32" s="61" t="s">
        <v>186</v>
      </c>
      <c r="D32" s="61" t="s">
        <v>117</v>
      </c>
      <c r="E32" s="61" t="s">
        <v>118</v>
      </c>
    </row>
    <row r="33" spans="1:7" ht="16" thickTop="1">
      <c r="A33" t="s">
        <v>187</v>
      </c>
      <c r="B33">
        <v>0.61199999999999999</v>
      </c>
      <c r="C33">
        <v>2.5409999999999999</v>
      </c>
      <c r="D33">
        <f>B33*C33</f>
        <v>1.5550919999999999</v>
      </c>
    </row>
    <row r="34" spans="1:7">
      <c r="B34">
        <v>0.81899999999999995</v>
      </c>
      <c r="C34">
        <v>2.444</v>
      </c>
      <c r="D34">
        <f t="shared" ref="D34:D36" si="1">B34*C34</f>
        <v>2.001636</v>
      </c>
    </row>
    <row r="35" spans="1:7">
      <c r="B35" s="7">
        <v>0.34899999999999998</v>
      </c>
      <c r="C35" s="7">
        <v>2.7770000000000001</v>
      </c>
      <c r="D35" s="7">
        <f t="shared" si="1"/>
        <v>0.96917299999999995</v>
      </c>
    </row>
    <row r="36" spans="1:7">
      <c r="B36" s="63">
        <v>0.35499999999999998</v>
      </c>
      <c r="C36" s="63">
        <v>3.0190000000000001</v>
      </c>
      <c r="D36" s="63">
        <f t="shared" si="1"/>
        <v>1.0717449999999999</v>
      </c>
    </row>
    <row r="37" spans="1:7">
      <c r="B37">
        <f>AVERAGE(B33:B36)</f>
        <v>0.53374999999999995</v>
      </c>
      <c r="C37">
        <f t="shared" ref="C37:D37" si="2">AVERAGE(C33:C36)</f>
        <v>2.6952499999999997</v>
      </c>
      <c r="D37">
        <f t="shared" si="2"/>
        <v>1.3994114999999998</v>
      </c>
    </row>
    <row r="38" spans="1:7">
      <c r="D38" s="7"/>
    </row>
    <row r="39" spans="1:7">
      <c r="D39" s="7"/>
    </row>
    <row r="40" spans="1:7">
      <c r="D40" s="7"/>
    </row>
    <row r="41" spans="1:7">
      <c r="D41" s="7"/>
    </row>
    <row r="42" spans="1:7">
      <c r="D42" s="7"/>
    </row>
    <row r="43" spans="1:7">
      <c r="D43" s="7"/>
    </row>
    <row r="44" spans="1:7">
      <c r="D44" s="7"/>
    </row>
    <row r="45" spans="1:7">
      <c r="D45" s="7"/>
    </row>
    <row r="46" spans="1:7" ht="46" thickBot="1">
      <c r="A46" s="59" t="s">
        <v>18</v>
      </c>
      <c r="B46" s="61" t="s">
        <v>115</v>
      </c>
      <c r="C46" s="61" t="s">
        <v>116</v>
      </c>
      <c r="D46" s="61" t="s">
        <v>117</v>
      </c>
      <c r="E46" s="61" t="s">
        <v>122</v>
      </c>
      <c r="F46" s="64" t="s">
        <v>184</v>
      </c>
      <c r="G46" s="61" t="s">
        <v>123</v>
      </c>
    </row>
    <row r="47" spans="1:7" ht="16" thickTop="1">
      <c r="A47" t="s">
        <v>188</v>
      </c>
      <c r="D47">
        <v>0.20100000000000001</v>
      </c>
    </row>
    <row r="48" spans="1:7">
      <c r="D48">
        <v>0.23599999999999999</v>
      </c>
    </row>
    <row r="49" spans="2:8">
      <c r="D49">
        <v>0.55000000000000004</v>
      </c>
    </row>
    <row r="50" spans="2:8">
      <c r="B50" s="7"/>
      <c r="C50" s="7"/>
      <c r="D50">
        <v>0.16400000000000001</v>
      </c>
      <c r="E50" s="7"/>
      <c r="F50" s="7"/>
      <c r="G50" s="7"/>
      <c r="H50" s="7"/>
    </row>
    <row r="51" spans="2:8">
      <c r="B51" s="7"/>
      <c r="C51" s="7"/>
      <c r="D51">
        <v>0.28599999999999998</v>
      </c>
      <c r="E51" s="7"/>
      <c r="F51" s="7"/>
      <c r="G51" s="7"/>
      <c r="H51" s="7"/>
    </row>
    <row r="52" spans="2:8">
      <c r="B52" s="63"/>
      <c r="C52" s="63"/>
      <c r="D52" s="63">
        <v>0.20499999999999999</v>
      </c>
      <c r="E52" s="63"/>
      <c r="F52" s="63"/>
      <c r="G52" s="63"/>
      <c r="H52" s="7"/>
    </row>
    <row r="53" spans="2:8">
      <c r="B53" s="7"/>
      <c r="C53" s="7"/>
      <c r="D53" s="7">
        <f>SUM(D47:D52)</f>
        <v>1.6420000000000001</v>
      </c>
      <c r="E53" s="7"/>
      <c r="F53" s="7">
        <v>51.555999999999997</v>
      </c>
      <c r="G53" s="7">
        <f>D53/F53*100</f>
        <v>3.1848863371867484</v>
      </c>
      <c r="H53" s="7"/>
    </row>
    <row r="54" spans="2:8">
      <c r="B54" s="7"/>
      <c r="C54" s="7"/>
      <c r="D54" s="7"/>
      <c r="E54" s="7"/>
      <c r="F54" s="7"/>
      <c r="G54" s="7"/>
      <c r="H54" s="7"/>
    </row>
    <row r="55" spans="2:8">
      <c r="B55" s="7"/>
      <c r="C55" s="7"/>
      <c r="D55" s="7"/>
      <c r="E55" s="7"/>
      <c r="F55" s="7"/>
      <c r="G55" s="7"/>
      <c r="H55" s="7"/>
    </row>
    <row r="56" spans="2:8">
      <c r="B56" s="7"/>
      <c r="C56" s="7"/>
      <c r="D56" s="7"/>
      <c r="E56" s="7"/>
      <c r="F56" s="7"/>
      <c r="G56" s="7"/>
      <c r="H56" s="7"/>
    </row>
    <row r="57" spans="2:8">
      <c r="B57" s="7"/>
      <c r="C57" s="7"/>
      <c r="D57" s="7"/>
      <c r="E57" s="7"/>
      <c r="F57" s="7"/>
      <c r="G57" s="7"/>
      <c r="H57" s="7"/>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T1048527"/>
  <sheetViews>
    <sheetView tabSelected="1" topLeftCell="E35" workbookViewId="0">
      <selection activeCell="E61" sqref="E61"/>
    </sheetView>
  </sheetViews>
  <sheetFormatPr baseColWidth="10" defaultColWidth="11" defaultRowHeight="15" x14ac:dyDescent="0.75"/>
  <cols>
    <col min="1" max="1" width="21.83203125" customWidth="1"/>
    <col min="2" max="2" width="13.5" customWidth="1"/>
    <col min="3" max="3" width="13.1640625" customWidth="1"/>
    <col min="4" max="4" width="13" customWidth="1"/>
    <col min="5" max="5" width="14.1640625" customWidth="1"/>
    <col min="6" max="6" width="16.6640625" customWidth="1"/>
    <col min="7" max="7" width="13.83203125" customWidth="1"/>
    <col min="8" max="8" width="13.1640625" customWidth="1"/>
    <col min="9" max="9" width="14" customWidth="1"/>
    <col min="10" max="10" width="14.1640625" customWidth="1"/>
    <col min="11" max="11" width="14" customWidth="1"/>
    <col min="12" max="13" width="15.5" customWidth="1"/>
    <col min="14" max="16" width="15" customWidth="1"/>
    <col min="17" max="17" width="16.6640625" customWidth="1"/>
    <col min="18" max="18" width="14.83203125" customWidth="1"/>
    <col min="19" max="19" width="14.5" customWidth="1"/>
    <col min="20" max="20" width="17" customWidth="1"/>
  </cols>
  <sheetData>
    <row r="2" spans="1:20">
      <c r="A2" t="s">
        <v>191</v>
      </c>
    </row>
    <row r="4" spans="1:20">
      <c r="A4" t="s">
        <v>189</v>
      </c>
    </row>
    <row r="5" spans="1:20">
      <c r="A5" t="s">
        <v>190</v>
      </c>
    </row>
    <row r="8" spans="1:20">
      <c r="A8" t="s">
        <v>28</v>
      </c>
    </row>
    <row r="10" spans="1:20">
      <c r="A10" t="s">
        <v>3</v>
      </c>
    </row>
    <row r="12" spans="1:20" ht="61" thickBot="1">
      <c r="A12" s="8" t="s">
        <v>18</v>
      </c>
      <c r="B12" s="8" t="s">
        <v>29</v>
      </c>
      <c r="C12" s="8" t="s">
        <v>30</v>
      </c>
      <c r="D12" s="8" t="s">
        <v>31</v>
      </c>
      <c r="E12" s="8" t="s">
        <v>32</v>
      </c>
      <c r="F12" s="8" t="s">
        <v>193</v>
      </c>
      <c r="G12" s="8" t="s">
        <v>33</v>
      </c>
      <c r="H12" s="8" t="s">
        <v>34</v>
      </c>
      <c r="I12" s="8" t="s">
        <v>39</v>
      </c>
      <c r="J12" s="8" t="s">
        <v>35</v>
      </c>
      <c r="K12" s="8" t="s">
        <v>36</v>
      </c>
      <c r="L12" s="8" t="s">
        <v>37</v>
      </c>
      <c r="M12" s="8" t="s">
        <v>38</v>
      </c>
      <c r="N12" s="8" t="s">
        <v>40</v>
      </c>
      <c r="O12" s="8" t="s">
        <v>41</v>
      </c>
      <c r="P12" s="29"/>
      <c r="Q12" s="29"/>
      <c r="R12" s="29"/>
      <c r="S12" s="29"/>
      <c r="T12" s="29"/>
    </row>
    <row r="13" spans="1:20" ht="16" thickTop="1">
      <c r="A13" s="4"/>
      <c r="B13" s="4">
        <f>B60</f>
        <v>32.666666666666664</v>
      </c>
      <c r="C13" s="4">
        <f t="shared" ref="C13:I13" si="0">C60</f>
        <v>0.1086</v>
      </c>
      <c r="D13" s="4">
        <f t="shared" si="0"/>
        <v>6.9399999999999989E-2</v>
      </c>
      <c r="E13" s="4">
        <f t="shared" si="0"/>
        <v>1.6326000000000001</v>
      </c>
      <c r="F13" s="4">
        <f t="shared" si="0"/>
        <v>5.1818181818181812E-2</v>
      </c>
      <c r="G13" s="4">
        <f t="shared" si="0"/>
        <v>0.11330243999999999</v>
      </c>
      <c r="H13" s="4">
        <f t="shared" si="0"/>
        <v>3.7012130399999994</v>
      </c>
      <c r="I13" s="4">
        <f t="shared" si="0"/>
        <v>92.5</v>
      </c>
      <c r="J13" s="4">
        <f>J60</f>
        <v>342.36220619999995</v>
      </c>
      <c r="K13" s="4">
        <f>'Choanocyte Chambers'!G12</f>
        <v>14358.317270685819</v>
      </c>
      <c r="L13" s="4">
        <f>J13*K13</f>
        <v>4915745.1781115588</v>
      </c>
      <c r="M13" s="4">
        <f>L13/1000000</f>
        <v>4.9157451781115586</v>
      </c>
      <c r="N13" s="4">
        <f>N60</f>
        <v>2.6087499999999997</v>
      </c>
      <c r="O13" s="4">
        <f>O60</f>
        <v>0.49100000000000005</v>
      </c>
      <c r="P13" s="11"/>
      <c r="Q13" s="11"/>
      <c r="R13" s="11"/>
      <c r="S13" s="11"/>
      <c r="T13" s="11"/>
    </row>
    <row r="14" spans="1:20">
      <c r="A14" s="4"/>
      <c r="B14" s="4"/>
      <c r="C14" s="4"/>
      <c r="D14" s="4"/>
      <c r="E14" s="4"/>
      <c r="F14" s="4"/>
      <c r="G14" s="4"/>
      <c r="H14" s="4"/>
      <c r="I14" s="4"/>
      <c r="J14" s="4"/>
      <c r="K14" s="4"/>
      <c r="L14" s="4"/>
      <c r="M14" s="4"/>
      <c r="N14" s="4"/>
      <c r="O14" s="4"/>
      <c r="P14" s="11"/>
      <c r="Q14" s="11"/>
      <c r="R14" s="11"/>
      <c r="S14" s="11"/>
      <c r="T14" s="11"/>
    </row>
    <row r="15" spans="1:20" ht="75">
      <c r="C15" s="2" t="s">
        <v>161</v>
      </c>
      <c r="D15">
        <f>(C13+D13)/1000</f>
        <v>1.7799999999999999E-4</v>
      </c>
      <c r="P15" s="11"/>
      <c r="Q15" s="11"/>
      <c r="R15" s="11"/>
      <c r="S15" s="11"/>
      <c r="T15" s="11"/>
    </row>
    <row r="16" spans="1:20">
      <c r="C16" s="2"/>
      <c r="P16" s="11"/>
      <c r="Q16" s="11"/>
      <c r="R16" s="11"/>
      <c r="S16" s="11"/>
      <c r="T16" s="11"/>
    </row>
    <row r="17" spans="1:20">
      <c r="A17" s="116" t="s">
        <v>241</v>
      </c>
      <c r="B17" s="117"/>
      <c r="C17" s="117"/>
      <c r="D17" s="117"/>
      <c r="E17" s="117"/>
      <c r="F17" s="117"/>
      <c r="G17" s="117"/>
      <c r="P17" s="11"/>
      <c r="Q17" s="11"/>
      <c r="R17" s="11"/>
      <c r="S17" s="11"/>
      <c r="T17" s="11"/>
    </row>
    <row r="18" spans="1:20" ht="45">
      <c r="A18" s="118"/>
      <c r="B18" s="2" t="s">
        <v>19</v>
      </c>
      <c r="C18" s="2" t="s">
        <v>242</v>
      </c>
      <c r="D18" s="2" t="s">
        <v>150</v>
      </c>
      <c r="E18" s="2" t="s">
        <v>243</v>
      </c>
      <c r="F18" s="2" t="s">
        <v>244</v>
      </c>
      <c r="G18" s="2" t="s">
        <v>245</v>
      </c>
      <c r="P18" s="11"/>
      <c r="Q18" s="11"/>
      <c r="R18" s="11"/>
      <c r="S18" s="11"/>
      <c r="T18" s="11"/>
    </row>
    <row r="19" spans="1:20">
      <c r="A19" s="119" t="s">
        <v>246</v>
      </c>
      <c r="B19" s="120">
        <f>O13</f>
        <v>0.49100000000000005</v>
      </c>
      <c r="C19" s="121">
        <f>N13</f>
        <v>2.6087499999999997</v>
      </c>
      <c r="D19">
        <f>B19*C19</f>
        <v>1.2808962500000001</v>
      </c>
      <c r="E19" s="2">
        <f>D19*I13</f>
        <v>118.48290312500001</v>
      </c>
      <c r="F19">
        <f>E19*K13</f>
        <v>1701215.1142206823</v>
      </c>
      <c r="G19" s="122">
        <f>F19/1000000</f>
        <v>1.7012151142206824</v>
      </c>
      <c r="P19" s="11"/>
      <c r="Q19" s="11"/>
      <c r="R19" s="11"/>
      <c r="S19" s="11"/>
      <c r="T19" s="11"/>
    </row>
    <row r="20" spans="1:20">
      <c r="A20" s="119" t="s">
        <v>247</v>
      </c>
      <c r="B20" s="123">
        <f>N13</f>
        <v>2.6087499999999997</v>
      </c>
      <c r="C20" s="123">
        <f>E13</f>
        <v>1.6326000000000001</v>
      </c>
      <c r="D20">
        <f>B20*C20</f>
        <v>4.2590452499999998</v>
      </c>
      <c r="E20" s="2">
        <f>D20*I13</f>
        <v>393.96168562499997</v>
      </c>
      <c r="F20">
        <f>E20*K13</f>
        <v>5656626.8746979339</v>
      </c>
      <c r="G20" s="122">
        <f>F20/1000000</f>
        <v>5.6566268746979338</v>
      </c>
      <c r="P20" s="11"/>
      <c r="Q20" s="11"/>
      <c r="R20" s="11"/>
      <c r="S20" s="11"/>
      <c r="T20" s="11"/>
    </row>
    <row r="21" spans="1:20">
      <c r="A21" s="17"/>
      <c r="B21" s="11"/>
      <c r="C21" s="11"/>
      <c r="D21" s="17"/>
      <c r="E21" s="101"/>
      <c r="F21" s="17"/>
      <c r="G21" s="37"/>
      <c r="P21" s="11"/>
      <c r="Q21" s="11"/>
      <c r="R21" s="11"/>
      <c r="S21" s="11"/>
      <c r="T21" s="11"/>
    </row>
    <row r="22" spans="1:20">
      <c r="A22" s="17"/>
      <c r="B22" s="11"/>
      <c r="C22" s="11"/>
      <c r="D22" s="17"/>
      <c r="E22" s="101"/>
      <c r="F22" s="17"/>
      <c r="G22" s="37"/>
      <c r="P22" s="11"/>
      <c r="Q22" s="11"/>
      <c r="R22" s="11"/>
      <c r="S22" s="11"/>
      <c r="T22" s="11"/>
    </row>
    <row r="23" spans="1:20" ht="60">
      <c r="A23" s="2" t="s">
        <v>18</v>
      </c>
      <c r="B23" s="89" t="s">
        <v>29</v>
      </c>
      <c r="C23" s="89" t="s">
        <v>30</v>
      </c>
      <c r="D23" s="89" t="s">
        <v>31</v>
      </c>
      <c r="E23" s="89" t="s">
        <v>32</v>
      </c>
      <c r="F23" s="89" t="s">
        <v>193</v>
      </c>
      <c r="G23" s="2" t="s">
        <v>33</v>
      </c>
      <c r="H23" s="2" t="s">
        <v>34</v>
      </c>
      <c r="I23" s="89" t="s">
        <v>39</v>
      </c>
      <c r="J23" s="2" t="s">
        <v>35</v>
      </c>
      <c r="K23" s="2" t="s">
        <v>36</v>
      </c>
      <c r="L23" s="2" t="s">
        <v>37</v>
      </c>
      <c r="M23" s="2" t="s">
        <v>38</v>
      </c>
      <c r="N23" s="89" t="s">
        <v>40</v>
      </c>
      <c r="O23" s="89" t="s">
        <v>41</v>
      </c>
      <c r="P23" s="29"/>
      <c r="Q23" s="29"/>
      <c r="R23" s="29"/>
      <c r="S23" s="29"/>
      <c r="T23" s="29"/>
    </row>
    <row r="24" spans="1:20">
      <c r="A24" t="s">
        <v>187</v>
      </c>
      <c r="E24">
        <v>2.238</v>
      </c>
      <c r="N24">
        <v>2.5409999999999999</v>
      </c>
      <c r="O24">
        <v>0.61199999999999999</v>
      </c>
    </row>
    <row r="25" spans="1:20">
      <c r="E25">
        <v>1.65</v>
      </c>
      <c r="N25">
        <v>2.444</v>
      </c>
      <c r="O25">
        <v>0.81899999999999995</v>
      </c>
    </row>
    <row r="26" spans="1:20">
      <c r="E26">
        <v>1.5649999999999999</v>
      </c>
      <c r="N26">
        <v>2.7770000000000001</v>
      </c>
      <c r="O26">
        <v>0.34899999999999998</v>
      </c>
    </row>
    <row r="27" spans="1:20">
      <c r="A27" s="63"/>
      <c r="B27" s="63"/>
      <c r="C27" s="63"/>
      <c r="D27" s="63"/>
      <c r="E27" s="63">
        <v>1.2949999999999999</v>
      </c>
      <c r="F27" s="63"/>
      <c r="G27" s="63"/>
      <c r="H27" s="63"/>
      <c r="I27" s="63"/>
      <c r="J27" s="63"/>
      <c r="K27" s="63"/>
      <c r="L27" s="63"/>
      <c r="M27" s="63"/>
      <c r="N27" s="63">
        <v>3.0190000000000001</v>
      </c>
      <c r="O27" s="63">
        <v>0.35499999999999998</v>
      </c>
    </row>
    <row r="28" spans="1:20">
      <c r="A28" t="s">
        <v>192</v>
      </c>
      <c r="B28">
        <f>18*2</f>
        <v>36</v>
      </c>
      <c r="C28">
        <v>0.09</v>
      </c>
      <c r="N28">
        <v>2.5760000000000001</v>
      </c>
      <c r="O28">
        <v>0.6</v>
      </c>
    </row>
    <row r="29" spans="1:20">
      <c r="B29">
        <f>16*2</f>
        <v>32</v>
      </c>
      <c r="C29">
        <v>9.0999999999999998E-2</v>
      </c>
      <c r="N29">
        <v>2.548</v>
      </c>
      <c r="O29">
        <v>0.44700000000000001</v>
      </c>
    </row>
    <row r="30" spans="1:20">
      <c r="B30">
        <f>15*2</f>
        <v>30</v>
      </c>
      <c r="C30">
        <v>0.09</v>
      </c>
      <c r="N30">
        <v>2.5390000000000001</v>
      </c>
      <c r="O30">
        <v>0.5</v>
      </c>
    </row>
    <row r="31" spans="1:20">
      <c r="C31">
        <v>0.10299999999999999</v>
      </c>
      <c r="O31">
        <v>0.31900000000000001</v>
      </c>
    </row>
    <row r="32" spans="1:20">
      <c r="C32">
        <v>0.11799999999999999</v>
      </c>
      <c r="O32">
        <v>0.47299999999999998</v>
      </c>
    </row>
    <row r="33" spans="1:15">
      <c r="A33" s="63"/>
      <c r="B33" s="63"/>
      <c r="C33" s="63">
        <v>0.113</v>
      </c>
      <c r="D33" s="63"/>
      <c r="E33" s="63"/>
      <c r="F33" s="63"/>
      <c r="G33" s="63"/>
      <c r="H33" s="63"/>
      <c r="I33" s="63"/>
      <c r="J33" s="63"/>
      <c r="K33" s="63"/>
      <c r="L33" s="63"/>
      <c r="M33" s="63"/>
      <c r="N33" s="63"/>
      <c r="O33" s="63"/>
    </row>
    <row r="34" spans="1:15">
      <c r="A34" t="s">
        <v>194</v>
      </c>
      <c r="D34">
        <v>4.9000000000000002E-2</v>
      </c>
      <c r="F34">
        <v>0.03</v>
      </c>
      <c r="G34" s="87"/>
    </row>
    <row r="35" spans="1:15">
      <c r="D35">
        <v>4.5999999999999999E-2</v>
      </c>
      <c r="F35">
        <v>1.7000000000000001E-2</v>
      </c>
      <c r="G35" s="87"/>
    </row>
    <row r="36" spans="1:15">
      <c r="D36">
        <v>4.2999999999999997E-2</v>
      </c>
      <c r="F36">
        <v>2.5999999999999999E-2</v>
      </c>
      <c r="G36" s="87"/>
    </row>
    <row r="37" spans="1:15">
      <c r="D37">
        <v>6.2E-2</v>
      </c>
      <c r="F37">
        <v>2.8000000000000001E-2</v>
      </c>
      <c r="G37" s="87"/>
    </row>
    <row r="38" spans="1:15">
      <c r="D38">
        <v>4.9000000000000002E-2</v>
      </c>
      <c r="F38">
        <v>2.1999999999999999E-2</v>
      </c>
      <c r="G38" s="87"/>
    </row>
    <row r="39" spans="1:15">
      <c r="D39">
        <v>5.2999999999999999E-2</v>
      </c>
      <c r="F39">
        <v>3.2000000000000001E-2</v>
      </c>
      <c r="G39" s="87"/>
    </row>
    <row r="40" spans="1:15">
      <c r="A40" s="63"/>
      <c r="B40" s="63"/>
      <c r="C40" s="63"/>
      <c r="D40" s="63">
        <v>6.3E-2</v>
      </c>
      <c r="E40" s="63"/>
      <c r="F40" s="63">
        <v>0.03</v>
      </c>
      <c r="G40" s="88"/>
      <c r="H40" s="63"/>
      <c r="I40" s="63"/>
      <c r="J40" s="63"/>
      <c r="K40" s="63"/>
      <c r="L40" s="63"/>
      <c r="M40" s="63"/>
      <c r="N40" s="63"/>
      <c r="O40" s="63"/>
    </row>
    <row r="41" spans="1:15">
      <c r="A41" t="s">
        <v>195</v>
      </c>
      <c r="C41">
        <v>0.113</v>
      </c>
      <c r="D41">
        <v>4.7E-2</v>
      </c>
      <c r="E41">
        <v>1.415</v>
      </c>
      <c r="F41">
        <v>0.128</v>
      </c>
      <c r="N41">
        <v>2.4260000000000002</v>
      </c>
      <c r="O41">
        <v>0.45</v>
      </c>
    </row>
    <row r="42" spans="1:15">
      <c r="C42">
        <v>0.123</v>
      </c>
      <c r="D42">
        <v>4.7E-2</v>
      </c>
      <c r="F42">
        <v>0.105</v>
      </c>
      <c r="O42">
        <v>0.47699999999999998</v>
      </c>
    </row>
    <row r="43" spans="1:15">
      <c r="C43">
        <v>0.13200000000000001</v>
      </c>
      <c r="D43">
        <v>5.7000000000000002E-2</v>
      </c>
      <c r="F43">
        <v>7.1999999999999995E-2</v>
      </c>
    </row>
    <row r="44" spans="1:15">
      <c r="A44" s="63"/>
      <c r="B44" s="63"/>
      <c r="C44" s="63">
        <v>0.113</v>
      </c>
      <c r="D44" s="63">
        <v>7.5999999999999998E-2</v>
      </c>
      <c r="E44" s="63"/>
      <c r="F44" s="63">
        <v>0.08</v>
      </c>
      <c r="G44" s="63"/>
      <c r="H44" s="88"/>
      <c r="I44" s="63"/>
      <c r="J44" s="63"/>
      <c r="K44" s="63"/>
      <c r="L44" s="63"/>
      <c r="M44" s="63"/>
      <c r="N44" s="63"/>
      <c r="O44" s="63"/>
    </row>
    <row r="45" spans="1:15">
      <c r="A45" t="s">
        <v>196</v>
      </c>
      <c r="B45" s="87"/>
      <c r="D45">
        <v>8.7999999999999995E-2</v>
      </c>
      <c r="E45">
        <v>8.6999999999999994E-2</v>
      </c>
      <c r="H45" s="87"/>
    </row>
    <row r="46" spans="1:15">
      <c r="B46" s="87"/>
      <c r="D46">
        <v>9.8000000000000004E-2</v>
      </c>
      <c r="E46">
        <v>0.05</v>
      </c>
      <c r="H46" s="87"/>
      <c r="I46" s="87"/>
    </row>
    <row r="47" spans="1:15">
      <c r="B47" s="87"/>
      <c r="D47">
        <v>0.154</v>
      </c>
      <c r="E47">
        <v>5.1999999999999998E-2</v>
      </c>
      <c r="H47" s="87"/>
      <c r="I47" s="87"/>
    </row>
    <row r="48" spans="1:15">
      <c r="B48" s="87"/>
      <c r="D48">
        <v>0.109</v>
      </c>
      <c r="E48">
        <v>4.4999999999999998E-2</v>
      </c>
    </row>
    <row r="49" spans="1:15">
      <c r="E49">
        <v>6.5000000000000002E-2</v>
      </c>
      <c r="H49" s="87"/>
    </row>
    <row r="50" spans="1:15">
      <c r="E50">
        <v>2.7E-2</v>
      </c>
      <c r="H50" s="87"/>
    </row>
    <row r="51" spans="1:15">
      <c r="E51">
        <v>5.5E-2</v>
      </c>
      <c r="H51" s="87"/>
    </row>
    <row r="52" spans="1:15">
      <c r="E52">
        <v>5.7000000000000002E-2</v>
      </c>
      <c r="H52" s="87"/>
    </row>
    <row r="53" spans="1:15">
      <c r="E53">
        <v>8.8999999999999996E-2</v>
      </c>
      <c r="H53" s="87"/>
    </row>
    <row r="54" spans="1:15">
      <c r="E54">
        <v>3.5999999999999997E-2</v>
      </c>
      <c r="H54" s="87"/>
    </row>
    <row r="55" spans="1:15">
      <c r="A55" s="63"/>
      <c r="B55" s="63"/>
      <c r="C55" s="63"/>
      <c r="D55" s="63"/>
      <c r="E55" s="63">
        <v>9.7000000000000003E-2</v>
      </c>
      <c r="F55" s="63"/>
      <c r="G55" s="63"/>
      <c r="H55" s="88"/>
      <c r="I55" s="63"/>
      <c r="J55" s="63"/>
      <c r="K55" s="63"/>
      <c r="L55" s="63"/>
      <c r="M55" s="63"/>
      <c r="N55" s="63"/>
      <c r="O55" s="63"/>
    </row>
    <row r="56" spans="1:15">
      <c r="A56" t="s">
        <v>197</v>
      </c>
      <c r="H56" s="87"/>
      <c r="I56">
        <v>55</v>
      </c>
    </row>
    <row r="57" spans="1:15">
      <c r="A57" t="s">
        <v>198</v>
      </c>
      <c r="H57" s="87"/>
      <c r="I57">
        <v>57</v>
      </c>
    </row>
    <row r="58" spans="1:15">
      <c r="A58" t="s">
        <v>198</v>
      </c>
      <c r="H58" s="87"/>
      <c r="I58">
        <v>37</v>
      </c>
    </row>
    <row r="59" spans="1:15">
      <c r="A59" s="63" t="s">
        <v>199</v>
      </c>
      <c r="B59" s="63"/>
      <c r="C59" s="63"/>
      <c r="D59" s="63"/>
      <c r="E59" s="63"/>
      <c r="F59" s="63"/>
      <c r="G59" s="63"/>
      <c r="H59" s="88"/>
      <c r="I59" s="63">
        <v>36</v>
      </c>
      <c r="J59" s="63"/>
      <c r="K59" s="63"/>
      <c r="L59" s="63"/>
      <c r="M59" s="63"/>
      <c r="N59" s="63"/>
      <c r="O59" s="63"/>
    </row>
    <row r="60" spans="1:15">
      <c r="B60">
        <f>AVERAGE(B24:B59)</f>
        <v>32.666666666666664</v>
      </c>
      <c r="C60">
        <f t="shared" ref="C60:F60" si="1">AVERAGE(C24:C59)</f>
        <v>0.1086</v>
      </c>
      <c r="D60">
        <f t="shared" si="1"/>
        <v>6.9399999999999989E-2</v>
      </c>
      <c r="E60">
        <f>AVERAGE(E24:E41)</f>
        <v>1.6326000000000001</v>
      </c>
      <c r="F60">
        <f t="shared" si="1"/>
        <v>5.1818181818181812E-2</v>
      </c>
      <c r="G60">
        <f>(E60/F60)*(F60*D60)</f>
        <v>0.11330243999999999</v>
      </c>
      <c r="H60">
        <f>G60*B60</f>
        <v>3.7012130399999994</v>
      </c>
      <c r="I60">
        <f>AVERAGE(I24:I59)*2</f>
        <v>92.5</v>
      </c>
      <c r="J60">
        <f>H60*I60</f>
        <v>342.36220619999995</v>
      </c>
      <c r="N60">
        <f t="shared" ref="N60" si="2">AVERAGE(N24:N59)</f>
        <v>2.6087499999999997</v>
      </c>
      <c r="O60">
        <f t="shared" ref="O60" si="3">AVERAGE(O24:O59)</f>
        <v>0.49100000000000005</v>
      </c>
    </row>
    <row r="1048527" spans="1:1">
      <c r="A1048527" s="6"/>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P70"/>
  <sheetViews>
    <sheetView workbookViewId="0">
      <selection activeCell="J10" sqref="J10"/>
    </sheetView>
  </sheetViews>
  <sheetFormatPr baseColWidth="10" defaultColWidth="11" defaultRowHeight="15" x14ac:dyDescent="0"/>
  <cols>
    <col min="1" max="1" width="22.6640625" customWidth="1"/>
    <col min="15" max="15" width="15" customWidth="1"/>
  </cols>
  <sheetData>
    <row r="2" spans="1:16">
      <c r="A2" t="s">
        <v>203</v>
      </c>
    </row>
    <row r="3" spans="1:16">
      <c r="A3" t="s">
        <v>206</v>
      </c>
    </row>
    <row r="4" spans="1:16">
      <c r="A4" t="s">
        <v>212</v>
      </c>
    </row>
    <row r="5" spans="1:16">
      <c r="A5" t="s">
        <v>207</v>
      </c>
    </row>
    <row r="6" spans="1:16">
      <c r="A6" t="s">
        <v>208</v>
      </c>
    </row>
    <row r="8" spans="1:16" ht="133">
      <c r="A8" s="90" t="s">
        <v>4</v>
      </c>
      <c r="B8" s="90" t="s">
        <v>14</v>
      </c>
      <c r="C8" s="90" t="s">
        <v>53</v>
      </c>
      <c r="D8" s="91" t="s">
        <v>54</v>
      </c>
      <c r="E8" s="91" t="s">
        <v>128</v>
      </c>
      <c r="F8" s="91" t="s">
        <v>205</v>
      </c>
      <c r="G8" s="91" t="s">
        <v>204</v>
      </c>
      <c r="H8" s="90" t="s">
        <v>55</v>
      </c>
      <c r="I8" s="90" t="s">
        <v>56</v>
      </c>
      <c r="J8" s="90" t="s">
        <v>57</v>
      </c>
      <c r="K8" s="90" t="s">
        <v>58</v>
      </c>
      <c r="L8" s="90" t="s">
        <v>59</v>
      </c>
      <c r="M8" s="90" t="s">
        <v>60</v>
      </c>
      <c r="N8" s="90" t="s">
        <v>61</v>
      </c>
      <c r="O8" s="90" t="s">
        <v>62</v>
      </c>
      <c r="P8" s="90" t="s">
        <v>129</v>
      </c>
    </row>
    <row r="9" spans="1:16">
      <c r="A9" t="str">
        <f>A17</f>
        <v>Cv-cho-RR-04</v>
      </c>
      <c r="B9">
        <f>B28</f>
        <v>9301.0509999999995</v>
      </c>
      <c r="C9">
        <f t="shared" ref="C9:D9" si="0">C28</f>
        <v>11</v>
      </c>
      <c r="D9">
        <f t="shared" si="0"/>
        <v>17.567636363636367</v>
      </c>
      <c r="E9">
        <f>1000000/B9</f>
        <v>107.51473139970956</v>
      </c>
      <c r="F9">
        <f>C9*E9*0.75</f>
        <v>886.99653404760375</v>
      </c>
      <c r="G9">
        <f>F9*33.33</f>
        <v>29563.59447980663</v>
      </c>
      <c r="H9">
        <f>E28</f>
        <v>8.7838181818181837</v>
      </c>
      <c r="I9">
        <f>F28</f>
        <v>248.16888145120248</v>
      </c>
      <c r="J9">
        <f>I9*G9/1000000</f>
        <v>7.3367641737305558</v>
      </c>
      <c r="K9">
        <f>I9*C9</f>
        <v>2729.8576959632273</v>
      </c>
      <c r="L9">
        <f>K9/B9</f>
        <v>0.29349991694091643</v>
      </c>
      <c r="M9">
        <f>4*PI()*(H9^2)</f>
        <v>969.56412854472876</v>
      </c>
      <c r="N9">
        <f>(4/3)*PI()*(H9^3)</f>
        <v>2838.8250069166306</v>
      </c>
      <c r="O9">
        <f>N9/1000000000</f>
        <v>2.8388250069166308E-6</v>
      </c>
      <c r="P9">
        <f>M9*G9/1000000</f>
        <v>28.66380071846347</v>
      </c>
    </row>
    <row r="10" spans="1:16">
      <c r="A10" t="str">
        <f>A31</f>
        <v>Cv-cho-RR-53</v>
      </c>
      <c r="B10">
        <f>B46</f>
        <v>47267.82</v>
      </c>
      <c r="C10">
        <f t="shared" ref="C10:D10" si="1">C46</f>
        <v>15</v>
      </c>
      <c r="D10">
        <f t="shared" si="1"/>
        <v>21.683933333333332</v>
      </c>
      <c r="E10">
        <f>1000000/B10</f>
        <v>21.15604231377711</v>
      </c>
      <c r="F10">
        <f t="shared" ref="F10" si="2">C10*E10*0.75</f>
        <v>238.00547602999251</v>
      </c>
      <c r="G10">
        <f t="shared" ref="G10:G11" si="3">F10*33.33</f>
        <v>7932.7225160796497</v>
      </c>
      <c r="H10">
        <f>E46</f>
        <v>10.841966666666666</v>
      </c>
      <c r="I10">
        <f>F46</f>
        <v>379.72007058621796</v>
      </c>
      <c r="J10">
        <f t="shared" ref="J10" si="4">I10*G10/1000000</f>
        <v>3.0122139537466452</v>
      </c>
      <c r="K10">
        <f t="shared" ref="K10" si="5">I10*C10</f>
        <v>5695.8010587932695</v>
      </c>
      <c r="L10">
        <f t="shared" ref="L10" si="6">K10/B10</f>
        <v>0.12050060821068688</v>
      </c>
      <c r="M10">
        <f>4*PI()*(H10^2)</f>
        <v>1477.1547639992466</v>
      </c>
      <c r="N10">
        <f>(4/3)*PI()*(H10^3)</f>
        <v>5338.4209042625653</v>
      </c>
      <c r="O10">
        <f>N10/1000000000</f>
        <v>5.338420904262565E-6</v>
      </c>
      <c r="P10">
        <f>M10*G10/1000000</f>
        <v>11.717858856111144</v>
      </c>
    </row>
    <row r="11" spans="1:16">
      <c r="A11" s="7" t="str">
        <f>A50</f>
        <v>Cv-RR-30um-wax-16</v>
      </c>
      <c r="B11" s="7">
        <f>B70</f>
        <v>89618.7</v>
      </c>
      <c r="C11" s="7">
        <f t="shared" ref="C11:D11" si="7">C70</f>
        <v>20</v>
      </c>
      <c r="D11" s="7">
        <f t="shared" si="7"/>
        <v>19.994099999999996</v>
      </c>
      <c r="E11">
        <f>1000000/B11</f>
        <v>11.158385470889446</v>
      </c>
      <c r="F11">
        <f>C11*E11*0.75</f>
        <v>167.37578206334166</v>
      </c>
      <c r="G11">
        <f t="shared" si="3"/>
        <v>5578.6348161711776</v>
      </c>
      <c r="H11" s="7">
        <f>E70</f>
        <v>9.997049999999998</v>
      </c>
      <c r="I11" s="7">
        <f>F70</f>
        <v>328.16193671310259</v>
      </c>
      <c r="J11">
        <f t="shared" ref="J11" si="8">I11*G11/1000000</f>
        <v>1.8306956054898766</v>
      </c>
      <c r="K11">
        <f t="shared" ref="K11" si="9">I11*C11</f>
        <v>6563.2387342620514</v>
      </c>
      <c r="L11">
        <f t="shared" ref="L11" si="10">K11/B11</f>
        <v>7.3235147734368511E-2</v>
      </c>
      <c r="M11">
        <f>4*PI()*(H11^2)</f>
        <v>1255.8957549285099</v>
      </c>
      <c r="N11">
        <f>(4/3)*PI()*(H11^3)</f>
        <v>4185.0842189360183</v>
      </c>
      <c r="O11">
        <f>N11/1000000000</f>
        <v>4.1850842189360181E-6</v>
      </c>
      <c r="P11">
        <f>M11*G11/1000000</f>
        <v>7.0061837839257697</v>
      </c>
    </row>
    <row r="12" spans="1:16">
      <c r="A12" s="6"/>
      <c r="B12" s="6">
        <f>AVERAGE(B9:B11)</f>
        <v>48729.190333333332</v>
      </c>
      <c r="C12" s="6">
        <f t="shared" ref="C12:G12" si="11">AVERAGE(C9:C11)</f>
        <v>15.333333333333334</v>
      </c>
      <c r="D12" s="6">
        <f t="shared" si="11"/>
        <v>19.748556565656564</v>
      </c>
      <c r="E12" s="6">
        <f t="shared" si="11"/>
        <v>46.609719728125377</v>
      </c>
      <c r="F12" s="6">
        <f t="shared" si="11"/>
        <v>430.7925973803126</v>
      </c>
      <c r="G12" s="6">
        <f t="shared" si="11"/>
        <v>14358.317270685819</v>
      </c>
      <c r="H12" s="6">
        <f t="shared" ref="H12" si="12">AVERAGE(H9:H11)</f>
        <v>9.874278282828282</v>
      </c>
      <c r="I12" s="6">
        <f t="shared" ref="I12:O12" si="13">AVERAGE(I9:I11)</f>
        <v>318.6836295835077</v>
      </c>
      <c r="J12" s="6">
        <f>AVERAGE(J9:J11)</f>
        <v>4.0598912443223591</v>
      </c>
      <c r="K12" s="6">
        <f t="shared" si="13"/>
        <v>4996.2991630061824</v>
      </c>
      <c r="L12" s="6">
        <f t="shared" si="13"/>
        <v>0.1624118909619906</v>
      </c>
      <c r="M12" s="6">
        <f t="shared" si="13"/>
        <v>1234.2048824908286</v>
      </c>
      <c r="N12" s="6">
        <f t="shared" si="13"/>
        <v>4120.7767100384044</v>
      </c>
      <c r="O12" s="6">
        <f t="shared" si="13"/>
        <v>4.1207767100384053E-6</v>
      </c>
      <c r="P12" s="6">
        <f t="shared" ref="P12" si="14">AVERAGE(P9:P11)</f>
        <v>15.795947786166794</v>
      </c>
    </row>
    <row r="16" spans="1:16" s="2" customFormat="1" ht="45">
      <c r="A16" s="2" t="s">
        <v>4</v>
      </c>
      <c r="B16" s="2" t="s">
        <v>14</v>
      </c>
      <c r="C16" s="2" t="s">
        <v>63</v>
      </c>
      <c r="D16" s="2" t="s">
        <v>64</v>
      </c>
      <c r="E16" s="2" t="s">
        <v>55</v>
      </c>
      <c r="F16" s="2" t="s">
        <v>56</v>
      </c>
    </row>
    <row r="17" spans="1:6">
      <c r="A17" t="s">
        <v>200</v>
      </c>
      <c r="D17">
        <v>18.887</v>
      </c>
      <c r="E17">
        <f>D17/2</f>
        <v>9.4435000000000002</v>
      </c>
      <c r="F17">
        <f>PI()*(E17^2)</f>
        <v>280.16626602199864</v>
      </c>
    </row>
    <row r="18" spans="1:6">
      <c r="D18">
        <v>15.384</v>
      </c>
      <c r="E18">
        <f t="shared" ref="E18:E27" si="15">D18/2</f>
        <v>7.6920000000000002</v>
      </c>
      <c r="F18">
        <f t="shared" ref="F18:F27" si="16">PI()*(E18^2)</f>
        <v>185.87818527834642</v>
      </c>
    </row>
    <row r="19" spans="1:6">
      <c r="D19">
        <v>16.448</v>
      </c>
      <c r="E19">
        <f t="shared" si="15"/>
        <v>8.2240000000000002</v>
      </c>
      <c r="F19">
        <f t="shared" si="16"/>
        <v>212.4790304531991</v>
      </c>
    </row>
    <row r="20" spans="1:6">
      <c r="D20">
        <v>13.646000000000001</v>
      </c>
      <c r="E20">
        <f t="shared" si="15"/>
        <v>6.8230000000000004</v>
      </c>
      <c r="F20">
        <f t="shared" si="16"/>
        <v>146.2515963865487</v>
      </c>
    </row>
    <row r="21" spans="1:6">
      <c r="D21">
        <v>18.547999999999998</v>
      </c>
      <c r="E21">
        <f t="shared" si="15"/>
        <v>9.2739999999999991</v>
      </c>
      <c r="F21">
        <f t="shared" si="16"/>
        <v>270.19919811833898</v>
      </c>
    </row>
    <row r="22" spans="1:6">
      <c r="D22">
        <v>14.823</v>
      </c>
      <c r="E22">
        <f t="shared" si="15"/>
        <v>7.4115000000000002</v>
      </c>
      <c r="F22">
        <f t="shared" si="16"/>
        <v>172.56872825584651</v>
      </c>
    </row>
    <row r="23" spans="1:6">
      <c r="D23">
        <v>18.837</v>
      </c>
      <c r="E23">
        <f t="shared" si="15"/>
        <v>9.4184999999999999</v>
      </c>
      <c r="F23">
        <f t="shared" si="16"/>
        <v>278.68484800619831</v>
      </c>
    </row>
    <row r="24" spans="1:6">
      <c r="D24">
        <v>21.800999999999998</v>
      </c>
      <c r="E24">
        <f t="shared" si="15"/>
        <v>10.900499999999999</v>
      </c>
      <c r="F24">
        <f t="shared" si="16"/>
        <v>373.28686731832556</v>
      </c>
    </row>
    <row r="25" spans="1:6">
      <c r="D25">
        <v>20.98</v>
      </c>
      <c r="E25">
        <f t="shared" si="15"/>
        <v>10.49</v>
      </c>
      <c r="F25">
        <f t="shared" si="16"/>
        <v>345.70116976028623</v>
      </c>
    </row>
    <row r="26" spans="1:6">
      <c r="D26">
        <v>14.000999999999999</v>
      </c>
      <c r="E26">
        <f t="shared" si="15"/>
        <v>7.0004999999999997</v>
      </c>
      <c r="F26">
        <f t="shared" si="16"/>
        <v>153.96003195987313</v>
      </c>
    </row>
    <row r="27" spans="1:6">
      <c r="B27" s="63"/>
      <c r="C27" s="63"/>
      <c r="D27" s="63">
        <v>19.888999999999999</v>
      </c>
      <c r="E27" s="63">
        <f t="shared" si="15"/>
        <v>9.9444999999999997</v>
      </c>
      <c r="F27" s="63">
        <f t="shared" si="16"/>
        <v>310.68177440426587</v>
      </c>
    </row>
    <row r="28" spans="1:6">
      <c r="B28">
        <v>9301.0509999999995</v>
      </c>
      <c r="C28">
        <f>COUNT(D17:D27)</f>
        <v>11</v>
      </c>
      <c r="D28">
        <f>AVERAGE(D17:D27)</f>
        <v>17.567636363636367</v>
      </c>
      <c r="E28">
        <f t="shared" ref="E28:F28" si="17">AVERAGE(E17:E27)</f>
        <v>8.7838181818181837</v>
      </c>
      <c r="F28">
        <f t="shared" si="17"/>
        <v>248.16888145120248</v>
      </c>
    </row>
    <row r="30" spans="1:6" ht="45">
      <c r="A30" s="2" t="s">
        <v>4</v>
      </c>
      <c r="B30" s="2" t="s">
        <v>14</v>
      </c>
      <c r="C30" s="2" t="s">
        <v>63</v>
      </c>
      <c r="D30" s="2" t="s">
        <v>64</v>
      </c>
      <c r="E30" s="2" t="s">
        <v>55</v>
      </c>
      <c r="F30" s="2" t="s">
        <v>56</v>
      </c>
    </row>
    <row r="31" spans="1:6">
      <c r="A31" t="s">
        <v>201</v>
      </c>
      <c r="D31">
        <v>21.411999999999999</v>
      </c>
      <c r="E31">
        <f>D31/2</f>
        <v>10.706</v>
      </c>
      <c r="F31">
        <f>PI()*(E31^2)</f>
        <v>360.08443650355184</v>
      </c>
    </row>
    <row r="32" spans="1:6">
      <c r="D32">
        <v>20.603999999999999</v>
      </c>
      <c r="E32">
        <f t="shared" ref="E32:E45" si="18">D32/2</f>
        <v>10.302</v>
      </c>
      <c r="F32">
        <f t="shared" ref="F32:F45" si="19">PI()*(E32^2)</f>
        <v>333.42101080303968</v>
      </c>
    </row>
    <row r="33" spans="2:6">
      <c r="D33">
        <v>17.081</v>
      </c>
      <c r="E33">
        <f t="shared" si="18"/>
        <v>8.5404999999999998</v>
      </c>
      <c r="F33">
        <f t="shared" si="19"/>
        <v>229.14820876120916</v>
      </c>
    </row>
    <row r="34" spans="2:6">
      <c r="D34">
        <v>14.617000000000001</v>
      </c>
      <c r="E34">
        <f t="shared" si="18"/>
        <v>7.3085000000000004</v>
      </c>
      <c r="F34">
        <f t="shared" si="19"/>
        <v>167.8055711381798</v>
      </c>
    </row>
    <row r="35" spans="2:6">
      <c r="D35">
        <v>23.018000000000001</v>
      </c>
      <c r="E35">
        <f t="shared" si="18"/>
        <v>11.509</v>
      </c>
      <c r="F35">
        <f t="shared" si="19"/>
        <v>416.12619258554821</v>
      </c>
    </row>
    <row r="36" spans="2:6">
      <c r="D36">
        <v>24.035</v>
      </c>
      <c r="E36">
        <f t="shared" si="18"/>
        <v>12.0175</v>
      </c>
      <c r="F36">
        <f t="shared" si="19"/>
        <v>453.70977314418809</v>
      </c>
    </row>
    <row r="37" spans="2:6">
      <c r="D37">
        <v>24.556999999999999</v>
      </c>
      <c r="E37">
        <f t="shared" si="18"/>
        <v>12.278499999999999</v>
      </c>
      <c r="F37">
        <f t="shared" si="19"/>
        <v>473.63141640832021</v>
      </c>
    </row>
    <row r="38" spans="2:6">
      <c r="D38">
        <v>22.722000000000001</v>
      </c>
      <c r="E38">
        <f t="shared" si="18"/>
        <v>11.361000000000001</v>
      </c>
      <c r="F38">
        <f t="shared" si="19"/>
        <v>405.49265543538365</v>
      </c>
    </row>
    <row r="39" spans="2:6">
      <c r="D39">
        <v>17.687999999999999</v>
      </c>
      <c r="E39">
        <f t="shared" si="18"/>
        <v>8.8439999999999994</v>
      </c>
      <c r="F39">
        <f t="shared" si="19"/>
        <v>245.72386656831083</v>
      </c>
    </row>
    <row r="40" spans="2:6">
      <c r="D40">
        <v>21.454000000000001</v>
      </c>
      <c r="E40">
        <f t="shared" si="18"/>
        <v>10.727</v>
      </c>
      <c r="F40">
        <f t="shared" si="19"/>
        <v>361.49844536578411</v>
      </c>
    </row>
    <row r="41" spans="2:6">
      <c r="D41">
        <v>31.228000000000002</v>
      </c>
      <c r="E41">
        <f t="shared" si="18"/>
        <v>15.614000000000001</v>
      </c>
      <c r="F41">
        <f t="shared" si="19"/>
        <v>765.91085160086027</v>
      </c>
    </row>
    <row r="42" spans="2:6">
      <c r="D42">
        <v>21.344000000000001</v>
      </c>
      <c r="E42">
        <f t="shared" si="18"/>
        <v>10.672000000000001</v>
      </c>
      <c r="F42">
        <f t="shared" si="19"/>
        <v>357.80096360010486</v>
      </c>
    </row>
    <row r="43" spans="2:6">
      <c r="D43">
        <v>21.591000000000001</v>
      </c>
      <c r="E43">
        <f t="shared" si="18"/>
        <v>10.795500000000001</v>
      </c>
      <c r="F43">
        <f t="shared" si="19"/>
        <v>366.13006792603579</v>
      </c>
    </row>
    <row r="44" spans="2:6">
      <c r="D44">
        <v>23.145</v>
      </c>
      <c r="E44">
        <f t="shared" si="18"/>
        <v>11.5725</v>
      </c>
      <c r="F44">
        <f t="shared" si="19"/>
        <v>420.73074718349653</v>
      </c>
    </row>
    <row r="45" spans="2:6">
      <c r="D45">
        <v>20.763000000000002</v>
      </c>
      <c r="E45">
        <f t="shared" si="18"/>
        <v>10.381500000000001</v>
      </c>
      <c r="F45">
        <f t="shared" si="19"/>
        <v>338.58685176925638</v>
      </c>
    </row>
    <row r="46" spans="2:6">
      <c r="B46">
        <v>47267.82</v>
      </c>
      <c r="C46" s="6">
        <f>COUNT(D31:D45)</f>
        <v>15</v>
      </c>
      <c r="D46" s="6">
        <f>AVERAGE(D31:D45)</f>
        <v>21.683933333333332</v>
      </c>
      <c r="E46" s="6">
        <f t="shared" ref="E46:F46" si="20">AVERAGE(E31:E45)</f>
        <v>10.841966666666666</v>
      </c>
      <c r="F46" s="6">
        <f t="shared" si="20"/>
        <v>379.72007058621796</v>
      </c>
    </row>
    <row r="49" spans="1:6" ht="45">
      <c r="A49" s="2" t="s">
        <v>4</v>
      </c>
      <c r="B49" s="2" t="s">
        <v>14</v>
      </c>
      <c r="C49" s="2" t="s">
        <v>63</v>
      </c>
      <c r="D49" s="2" t="s">
        <v>64</v>
      </c>
      <c r="E49" s="2" t="s">
        <v>55</v>
      </c>
      <c r="F49" s="2" t="s">
        <v>56</v>
      </c>
    </row>
    <row r="50" spans="1:6">
      <c r="A50" t="s">
        <v>202</v>
      </c>
      <c r="D50">
        <v>21.600999999999999</v>
      </c>
      <c r="E50">
        <f t="shared" ref="E50" si="21">D50/2</f>
        <v>10.8005</v>
      </c>
      <c r="F50">
        <f t="shared" ref="F50" si="22">PI()*(E50^2)</f>
        <v>366.46929710077035</v>
      </c>
    </row>
    <row r="51" spans="1:6">
      <c r="D51">
        <v>30.827000000000002</v>
      </c>
      <c r="E51">
        <f t="shared" ref="E51:E69" si="23">D51/2</f>
        <v>15.413500000000001</v>
      </c>
      <c r="F51">
        <f t="shared" ref="F51:F69" si="24">PI()*(E51^2)</f>
        <v>746.36696050597925</v>
      </c>
    </row>
    <row r="52" spans="1:6">
      <c r="D52">
        <v>13.962999999999999</v>
      </c>
      <c r="E52">
        <f t="shared" si="23"/>
        <v>6.9814999999999996</v>
      </c>
      <c r="F52">
        <f t="shared" si="24"/>
        <v>153.12544273870577</v>
      </c>
    </row>
    <row r="53" spans="1:6">
      <c r="D53">
        <v>27.459</v>
      </c>
      <c r="E53">
        <f t="shared" si="23"/>
        <v>13.7295</v>
      </c>
      <c r="F53">
        <f t="shared" si="24"/>
        <v>592.18760846517171</v>
      </c>
    </row>
    <row r="54" spans="1:6">
      <c r="D54">
        <v>15.622</v>
      </c>
      <c r="E54">
        <f t="shared" si="23"/>
        <v>7.8109999999999999</v>
      </c>
      <c r="F54">
        <f t="shared" si="24"/>
        <v>191.67397447647011</v>
      </c>
    </row>
    <row r="55" spans="1:6">
      <c r="D55">
        <v>24.29</v>
      </c>
      <c r="E55">
        <f t="shared" si="23"/>
        <v>12.145</v>
      </c>
      <c r="F55">
        <f t="shared" si="24"/>
        <v>463.3881365369644</v>
      </c>
    </row>
    <row r="56" spans="1:6">
      <c r="D56">
        <v>21.89</v>
      </c>
      <c r="E56">
        <f t="shared" si="23"/>
        <v>10.945</v>
      </c>
      <c r="F56">
        <f t="shared" si="24"/>
        <v>376.34088729129843</v>
      </c>
    </row>
    <row r="57" spans="1:6">
      <c r="D57">
        <v>16.245000000000001</v>
      </c>
      <c r="E57">
        <f t="shared" si="23"/>
        <v>8.1225000000000005</v>
      </c>
      <c r="F57">
        <f t="shared" si="24"/>
        <v>207.26659495554071</v>
      </c>
    </row>
    <row r="58" spans="1:6">
      <c r="D58">
        <v>21.84</v>
      </c>
      <c r="E58">
        <f t="shared" si="23"/>
        <v>10.92</v>
      </c>
      <c r="F58">
        <f t="shared" si="24"/>
        <v>374.6236142070299</v>
      </c>
    </row>
    <row r="59" spans="1:6">
      <c r="D59">
        <v>18.155999999999999</v>
      </c>
      <c r="E59">
        <f t="shared" si="23"/>
        <v>9.0779999999999994</v>
      </c>
      <c r="F59">
        <f t="shared" si="24"/>
        <v>258.89891447611768</v>
      </c>
    </row>
    <row r="60" spans="1:6">
      <c r="D60">
        <v>17.798999999999999</v>
      </c>
      <c r="E60">
        <f t="shared" si="23"/>
        <v>8.8994999999999997</v>
      </c>
      <c r="F60">
        <f t="shared" si="24"/>
        <v>248.81759470162871</v>
      </c>
    </row>
    <row r="61" spans="1:6">
      <c r="D61">
        <v>15.427</v>
      </c>
      <c r="E61">
        <f t="shared" si="23"/>
        <v>7.7134999999999998</v>
      </c>
      <c r="F61">
        <f t="shared" si="24"/>
        <v>186.91873809928126</v>
      </c>
    </row>
    <row r="62" spans="1:6">
      <c r="D62">
        <v>15.759</v>
      </c>
      <c r="E62">
        <f t="shared" si="23"/>
        <v>7.8795000000000002</v>
      </c>
      <c r="F62">
        <f t="shared" si="24"/>
        <v>195.05055590435393</v>
      </c>
    </row>
    <row r="63" spans="1:6">
      <c r="D63">
        <v>23.350999999999999</v>
      </c>
      <c r="E63">
        <f t="shared" si="23"/>
        <v>11.6755</v>
      </c>
      <c r="F63">
        <f t="shared" si="24"/>
        <v>428.25342902259405</v>
      </c>
    </row>
    <row r="64" spans="1:6">
      <c r="D64">
        <v>18.541</v>
      </c>
      <c r="E64">
        <f t="shared" si="23"/>
        <v>9.2705000000000002</v>
      </c>
      <c r="F64">
        <f t="shared" si="24"/>
        <v>269.99529069096326</v>
      </c>
    </row>
    <row r="65" spans="2:6">
      <c r="D65">
        <v>16.221</v>
      </c>
      <c r="E65">
        <f t="shared" si="23"/>
        <v>8.1105</v>
      </c>
      <c r="F65">
        <f t="shared" si="24"/>
        <v>206.65462527299201</v>
      </c>
    </row>
    <row r="66" spans="2:6">
      <c r="D66">
        <v>19.111000000000001</v>
      </c>
      <c r="E66">
        <f t="shared" si="23"/>
        <v>9.5555000000000003</v>
      </c>
      <c r="F66">
        <f t="shared" si="24"/>
        <v>286.85122333046047</v>
      </c>
    </row>
    <row r="67" spans="2:6">
      <c r="D67">
        <v>21.637</v>
      </c>
      <c r="E67">
        <f t="shared" si="23"/>
        <v>10.8185</v>
      </c>
      <c r="F67">
        <f t="shared" si="24"/>
        <v>367.6918227491737</v>
      </c>
    </row>
    <row r="68" spans="2:6">
      <c r="D68">
        <v>22.574999999999999</v>
      </c>
      <c r="E68">
        <f t="shared" si="23"/>
        <v>11.2875</v>
      </c>
      <c r="F68">
        <f t="shared" si="24"/>
        <v>400.26295688609366</v>
      </c>
    </row>
    <row r="69" spans="2:6">
      <c r="D69">
        <v>17.568000000000001</v>
      </c>
      <c r="E69">
        <f t="shared" si="23"/>
        <v>8.7840000000000007</v>
      </c>
      <c r="F69">
        <f t="shared" si="24"/>
        <v>242.40106685046203</v>
      </c>
    </row>
    <row r="70" spans="2:6">
      <c r="B70">
        <v>89618.7</v>
      </c>
      <c r="C70" s="6">
        <f>COUNT(D50:D69)</f>
        <v>20</v>
      </c>
      <c r="D70" s="6">
        <f>AVERAGE(D50:D69)</f>
        <v>19.994099999999996</v>
      </c>
      <c r="E70" s="6">
        <f>AVERAGE(E50:E69)</f>
        <v>9.997049999999998</v>
      </c>
      <c r="F70" s="6">
        <f>AVERAGE(F50:F69)</f>
        <v>328.16193671310259</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S117"/>
  <sheetViews>
    <sheetView topLeftCell="F31" workbookViewId="0">
      <selection activeCell="I58" sqref="I58"/>
    </sheetView>
  </sheetViews>
  <sheetFormatPr baseColWidth="10" defaultRowHeight="15" x14ac:dyDescent="0"/>
  <cols>
    <col min="1" max="1" width="16.83203125" customWidth="1"/>
    <col min="16" max="16" width="15.5" customWidth="1"/>
  </cols>
  <sheetData>
    <row r="2" spans="1:19">
      <c r="A2" t="s">
        <v>140</v>
      </c>
    </row>
    <row r="4" spans="1:19">
      <c r="A4" t="s">
        <v>139</v>
      </c>
    </row>
    <row r="5" spans="1:19">
      <c r="A5" t="s">
        <v>141</v>
      </c>
    </row>
    <row r="6" spans="1:19">
      <c r="A6" t="s">
        <v>121</v>
      </c>
      <c r="B6">
        <v>250</v>
      </c>
    </row>
    <row r="7" spans="1:19">
      <c r="A7" t="s">
        <v>25</v>
      </c>
      <c r="B7">
        <v>100</v>
      </c>
    </row>
    <row r="8" spans="1:19">
      <c r="A8" t="s">
        <v>26</v>
      </c>
      <c r="B8">
        <v>0</v>
      </c>
    </row>
    <row r="9" spans="1:19">
      <c r="A9" t="s">
        <v>142</v>
      </c>
    </row>
    <row r="10" spans="1:19">
      <c r="A10" t="s">
        <v>143</v>
      </c>
    </row>
    <row r="11" spans="1:19">
      <c r="A11" s="4" t="s">
        <v>17</v>
      </c>
      <c r="B11" s="17"/>
      <c r="C11" s="17"/>
      <c r="D11" s="17"/>
      <c r="E11" s="17"/>
      <c r="F11" s="17"/>
      <c r="G11" s="17"/>
      <c r="H11" s="17"/>
      <c r="I11" s="17"/>
      <c r="J11" s="17"/>
      <c r="K11" s="17"/>
      <c r="L11" s="17"/>
    </row>
    <row r="12" spans="1:19" ht="45">
      <c r="A12" s="72" t="s">
        <v>18</v>
      </c>
      <c r="B12" s="72"/>
      <c r="C12" s="72" t="s">
        <v>19</v>
      </c>
      <c r="D12" s="72"/>
      <c r="E12" s="72" t="s">
        <v>20</v>
      </c>
      <c r="F12" s="72"/>
      <c r="G12" s="72" t="s">
        <v>6</v>
      </c>
      <c r="H12" s="72" t="s">
        <v>21</v>
      </c>
      <c r="I12" s="72" t="s">
        <v>22</v>
      </c>
      <c r="J12" s="72" t="s">
        <v>8</v>
      </c>
      <c r="K12" s="99" t="s">
        <v>23</v>
      </c>
      <c r="L12" s="99" t="s">
        <v>24</v>
      </c>
      <c r="M12" s="99" t="s">
        <v>112</v>
      </c>
      <c r="O12" s="74" t="s">
        <v>87</v>
      </c>
      <c r="P12" s="75" t="s">
        <v>4</v>
      </c>
      <c r="Q12" s="74" t="s">
        <v>88</v>
      </c>
      <c r="R12" s="74" t="s">
        <v>25</v>
      </c>
      <c r="S12" s="74" t="s">
        <v>26</v>
      </c>
    </row>
    <row r="13" spans="1:19">
      <c r="A13" s="72" t="str">
        <f>A38</f>
        <v>Cv-cho-RR-01</v>
      </c>
      <c r="B13" s="72" t="s">
        <v>147</v>
      </c>
      <c r="C13" s="72">
        <f>C57</f>
        <v>316.399</v>
      </c>
      <c r="D13" s="72">
        <f t="shared" ref="D13:L13" si="0">D57</f>
        <v>316.399</v>
      </c>
      <c r="E13" s="72">
        <f t="shared" si="0"/>
        <v>158.1995</v>
      </c>
      <c r="F13" s="72">
        <f t="shared" si="0"/>
        <v>158.1995</v>
      </c>
      <c r="G13" s="72">
        <f t="shared" si="0"/>
        <v>79291.763234544691</v>
      </c>
      <c r="H13" s="72">
        <f t="shared" si="0"/>
        <v>2</v>
      </c>
      <c r="I13" s="72">
        <f t="shared" si="0"/>
        <v>158583.52646908938</v>
      </c>
      <c r="J13" s="72">
        <f t="shared" si="0"/>
        <v>6785078.125</v>
      </c>
      <c r="K13" s="72">
        <f t="shared" si="0"/>
        <v>2.3372395062745042E-2</v>
      </c>
      <c r="L13" s="72">
        <f t="shared" si="0"/>
        <v>2.3372395062745044</v>
      </c>
      <c r="M13" s="72">
        <f>K13*100</f>
        <v>2.3372395062745044</v>
      </c>
      <c r="O13" s="74"/>
      <c r="P13" s="74" t="str">
        <f>A38</f>
        <v>Cv-cho-RR-01</v>
      </c>
      <c r="Q13">
        <v>1057.1990000000001</v>
      </c>
      <c r="R13">
        <v>1103.028</v>
      </c>
      <c r="S13" s="74"/>
    </row>
    <row r="14" spans="1:19">
      <c r="A14" s="71"/>
      <c r="B14" s="71" t="s">
        <v>146</v>
      </c>
      <c r="C14" s="72">
        <f t="shared" ref="C14:L15" si="1">C58</f>
        <v>195.548</v>
      </c>
      <c r="D14" s="72">
        <f t="shared" si="1"/>
        <v>195.548</v>
      </c>
      <c r="E14" s="72">
        <f t="shared" si="1"/>
        <v>97.774000000000001</v>
      </c>
      <c r="F14" s="72">
        <f t="shared" si="1"/>
        <v>97.774000000000001</v>
      </c>
      <c r="G14" s="72">
        <f t="shared" si="1"/>
        <v>30964.808781053558</v>
      </c>
      <c r="H14" s="72">
        <f t="shared" si="1"/>
        <v>5</v>
      </c>
      <c r="I14" s="72">
        <f t="shared" si="1"/>
        <v>154824.04390526778</v>
      </c>
      <c r="J14" s="72">
        <f t="shared" si="1"/>
        <v>6785078.125</v>
      </c>
      <c r="K14" s="72">
        <f t="shared" si="1"/>
        <v>2.2818314108250269E-2</v>
      </c>
      <c r="L14" s="72">
        <f t="shared" si="1"/>
        <v>2.2818314108250268</v>
      </c>
      <c r="M14" s="72">
        <f t="shared" ref="M14:M20" si="2">K14*100</f>
        <v>2.2818314108250268</v>
      </c>
      <c r="O14" s="74"/>
      <c r="P14" s="74" t="str">
        <f>A63</f>
        <v>Cv-cho-RR-02</v>
      </c>
      <c r="Q14" s="74"/>
      <c r="R14">
        <v>1088.8219999999999</v>
      </c>
      <c r="S14" s="74"/>
    </row>
    <row r="15" spans="1:19">
      <c r="A15" s="71"/>
      <c r="B15" s="70" t="s">
        <v>145</v>
      </c>
      <c r="C15" s="72">
        <f t="shared" si="1"/>
        <v>52.158545454545454</v>
      </c>
      <c r="D15" s="72">
        <f t="shared" si="1"/>
        <v>52.158545454545454</v>
      </c>
      <c r="E15" s="72">
        <f t="shared" si="1"/>
        <v>26.079272727272727</v>
      </c>
      <c r="F15" s="72">
        <f t="shared" si="1"/>
        <v>26.079272727272727</v>
      </c>
      <c r="G15" s="72">
        <f t="shared" si="1"/>
        <v>2352.999857315986</v>
      </c>
      <c r="H15" s="72">
        <f t="shared" si="1"/>
        <v>11</v>
      </c>
      <c r="I15" s="72">
        <f t="shared" si="1"/>
        <v>25882.998430475847</v>
      </c>
      <c r="J15" s="72">
        <f t="shared" si="1"/>
        <v>6785078.125</v>
      </c>
      <c r="K15" s="72">
        <f t="shared" si="1"/>
        <v>3.8146942383918163E-3</v>
      </c>
      <c r="L15" s="72">
        <f t="shared" si="1"/>
        <v>0.38146942383918164</v>
      </c>
      <c r="M15" s="72">
        <f t="shared" si="2"/>
        <v>0.38146942383918164</v>
      </c>
      <c r="O15" s="74"/>
      <c r="P15" s="74"/>
      <c r="Q15" s="74"/>
      <c r="R15">
        <v>1096.2149999999999</v>
      </c>
      <c r="S15" s="74"/>
    </row>
    <row r="16" spans="1:19">
      <c r="A16" s="71" t="str">
        <f>A63</f>
        <v>Cv-cho-RR-02</v>
      </c>
      <c r="B16" s="71" t="s">
        <v>146</v>
      </c>
      <c r="C16" s="71">
        <f>C90</f>
        <v>178.69357142857143</v>
      </c>
      <c r="D16" s="71">
        <f t="shared" ref="D16:L16" si="3">D90</f>
        <v>178.69357142857143</v>
      </c>
      <c r="E16" s="71">
        <f t="shared" si="3"/>
        <v>89.346785714285716</v>
      </c>
      <c r="F16" s="71">
        <f t="shared" si="3"/>
        <v>89.346785714285716</v>
      </c>
      <c r="G16" s="71">
        <f t="shared" si="3"/>
        <v>26151.172190066743</v>
      </c>
      <c r="H16" s="71">
        <f t="shared" si="3"/>
        <v>7</v>
      </c>
      <c r="I16" s="71">
        <f t="shared" si="3"/>
        <v>183058.2053304672</v>
      </c>
      <c r="J16" s="71">
        <f t="shared" si="3"/>
        <v>3129017.6549999998</v>
      </c>
      <c r="K16" s="71">
        <f t="shared" si="3"/>
        <v>5.8503410819031383E-2</v>
      </c>
      <c r="L16" s="71">
        <f t="shared" si="3"/>
        <v>5.8503410819031387</v>
      </c>
      <c r="M16" s="72">
        <f t="shared" si="2"/>
        <v>5.8503410819031387</v>
      </c>
      <c r="O16" s="74"/>
      <c r="P16" s="74" t="str">
        <f>A96</f>
        <v>Cv-cho-RR-B-01-2</v>
      </c>
      <c r="Q16">
        <v>852.04899999999998</v>
      </c>
      <c r="R16" s="70"/>
      <c r="S16" s="74"/>
    </row>
    <row r="17" spans="1:19">
      <c r="A17" s="71"/>
      <c r="B17" s="71" t="s">
        <v>145</v>
      </c>
      <c r="C17" s="71">
        <f>C91</f>
        <v>43.182833333333342</v>
      </c>
      <c r="D17" s="71">
        <f t="shared" ref="D17:L17" si="4">D91</f>
        <v>43.182833333333342</v>
      </c>
      <c r="E17" s="71">
        <f t="shared" si="4"/>
        <v>21.591416666666671</v>
      </c>
      <c r="F17" s="71">
        <f t="shared" si="4"/>
        <v>21.591416666666671</v>
      </c>
      <c r="G17" s="71">
        <f t="shared" si="4"/>
        <v>1746.8390503291312</v>
      </c>
      <c r="H17" s="71">
        <f t="shared" si="4"/>
        <v>18</v>
      </c>
      <c r="I17" s="71">
        <f t="shared" si="4"/>
        <v>31443.102905924359</v>
      </c>
      <c r="J17" s="71">
        <f t="shared" si="4"/>
        <v>3129017.6549999998</v>
      </c>
      <c r="K17" s="71">
        <f t="shared" si="4"/>
        <v>1.0048873599572055E-2</v>
      </c>
      <c r="L17" s="71">
        <f t="shared" si="4"/>
        <v>1.0048873599572055</v>
      </c>
      <c r="M17" s="72">
        <f t="shared" si="2"/>
        <v>1.0048873599572055</v>
      </c>
      <c r="O17" s="74"/>
      <c r="P17" s="74"/>
      <c r="Q17">
        <v>2393.4119999999998</v>
      </c>
      <c r="R17" s="74"/>
      <c r="S17" s="74"/>
    </row>
    <row r="18" spans="1:19">
      <c r="A18" s="71" t="str">
        <f>A96</f>
        <v>Cv-cho-RR-B-01-2</v>
      </c>
      <c r="B18" s="71" t="s">
        <v>147</v>
      </c>
      <c r="C18" s="71">
        <f>C115</f>
        <v>362.43</v>
      </c>
      <c r="D18" s="71">
        <f t="shared" ref="D18:L18" si="5">D115</f>
        <v>362.43</v>
      </c>
      <c r="E18" s="71">
        <f t="shared" si="5"/>
        <v>181.215</v>
      </c>
      <c r="F18" s="71">
        <f t="shared" si="5"/>
        <v>181.215</v>
      </c>
      <c r="G18" s="71">
        <f t="shared" si="5"/>
        <v>108331.21270490397</v>
      </c>
      <c r="H18" s="71">
        <f t="shared" si="5"/>
        <v>6</v>
      </c>
      <c r="I18" s="71">
        <f t="shared" si="5"/>
        <v>649987.27622942382</v>
      </c>
      <c r="J18" s="71">
        <f t="shared" si="5"/>
        <v>17375713.719999999</v>
      </c>
      <c r="K18" s="71">
        <f t="shared" si="5"/>
        <v>3.7407803023438845E-2</v>
      </c>
      <c r="L18" s="71">
        <f t="shared" si="5"/>
        <v>3.7407803023438846</v>
      </c>
      <c r="M18" s="72">
        <f t="shared" si="2"/>
        <v>3.7407803023438846</v>
      </c>
      <c r="O18" s="74"/>
      <c r="P18" s="74"/>
      <c r="Q18">
        <v>1065.92</v>
      </c>
      <c r="R18" s="74"/>
      <c r="S18" s="74"/>
    </row>
    <row r="19" spans="1:19">
      <c r="A19" s="71"/>
      <c r="B19" s="71" t="s">
        <v>146</v>
      </c>
      <c r="C19" s="71">
        <f t="shared" ref="C19:L20" si="6">C116</f>
        <v>162.27699999999999</v>
      </c>
      <c r="D19" s="71">
        <f t="shared" si="6"/>
        <v>162.27699999999999</v>
      </c>
      <c r="E19" s="71">
        <f t="shared" si="6"/>
        <v>81.138499999999993</v>
      </c>
      <c r="F19" s="71">
        <f t="shared" si="6"/>
        <v>81.138499999999993</v>
      </c>
      <c r="G19" s="71">
        <f t="shared" si="6"/>
        <v>21203.917448711967</v>
      </c>
      <c r="H19" s="71">
        <f t="shared" si="6"/>
        <v>4</v>
      </c>
      <c r="I19" s="71">
        <f t="shared" si="6"/>
        <v>84815.669794847869</v>
      </c>
      <c r="J19" s="71">
        <f t="shared" si="6"/>
        <v>17375713.719999999</v>
      </c>
      <c r="K19" s="71">
        <f t="shared" si="6"/>
        <v>4.8812768880522207E-3</v>
      </c>
      <c r="L19" s="71">
        <f t="shared" si="6"/>
        <v>0.48812768880522206</v>
      </c>
      <c r="M19" s="72">
        <f t="shared" si="2"/>
        <v>0.48812768880522206</v>
      </c>
      <c r="O19" s="74"/>
      <c r="P19" s="74"/>
      <c r="Q19" s="74"/>
      <c r="R19" s="74"/>
      <c r="S19" s="74"/>
    </row>
    <row r="20" spans="1:19">
      <c r="A20" s="71"/>
      <c r="B20" s="71" t="s">
        <v>145</v>
      </c>
      <c r="C20" s="71">
        <f t="shared" si="6"/>
        <v>63.318124999999995</v>
      </c>
      <c r="D20" s="71">
        <f t="shared" si="6"/>
        <v>63.318124999999995</v>
      </c>
      <c r="E20" s="71">
        <f t="shared" si="6"/>
        <v>31.659062499999997</v>
      </c>
      <c r="F20" s="71">
        <f t="shared" si="6"/>
        <v>31.659062499999997</v>
      </c>
      <c r="G20" s="71">
        <f t="shared" si="6"/>
        <v>3563.4383805749067</v>
      </c>
      <c r="H20" s="71">
        <f t="shared" si="6"/>
        <v>8</v>
      </c>
      <c r="I20" s="71">
        <f t="shared" si="6"/>
        <v>28507.507044599253</v>
      </c>
      <c r="J20" s="71">
        <f t="shared" si="6"/>
        <v>17375713.719999999</v>
      </c>
      <c r="K20" s="71">
        <f t="shared" si="6"/>
        <v>1.6406524361520878E-3</v>
      </c>
      <c r="L20" s="71">
        <f t="shared" si="6"/>
        <v>0.16406524361520877</v>
      </c>
      <c r="M20" s="72">
        <f t="shared" si="2"/>
        <v>0.16406524361520877</v>
      </c>
      <c r="O20" s="74"/>
      <c r="P20" s="74"/>
      <c r="Q20" s="74"/>
      <c r="R20" s="74"/>
      <c r="S20" s="74"/>
    </row>
    <row r="21" spans="1:19">
      <c r="A21" s="71"/>
      <c r="B21" s="71"/>
      <c r="C21" s="71"/>
      <c r="D21" s="71"/>
      <c r="E21" s="71"/>
      <c r="F21" s="71"/>
      <c r="G21" s="71"/>
      <c r="H21" s="71"/>
      <c r="I21" s="71"/>
      <c r="J21" s="71"/>
      <c r="K21" s="71"/>
      <c r="L21" s="71"/>
      <c r="M21" s="71"/>
      <c r="P21" t="s">
        <v>111</v>
      </c>
      <c r="Q21">
        <f>AVERAGE(Q13:Q20)</f>
        <v>1342.145</v>
      </c>
      <c r="R21">
        <f>AVERAGE(R13:R20)</f>
        <v>1096.0216666666665</v>
      </c>
      <c r="S21">
        <v>0.5</v>
      </c>
    </row>
    <row r="22" spans="1:19">
      <c r="A22" s="71"/>
      <c r="B22" s="71"/>
      <c r="C22" s="71"/>
      <c r="D22" s="71"/>
      <c r="E22" s="71"/>
      <c r="F22" s="71"/>
      <c r="G22" s="71"/>
      <c r="H22" s="71"/>
      <c r="I22" s="71"/>
      <c r="J22" s="71"/>
      <c r="K22" s="71"/>
      <c r="L22" s="71"/>
      <c r="M22" s="71"/>
    </row>
    <row r="23" spans="1:19">
      <c r="A23" s="71"/>
      <c r="B23" s="71"/>
      <c r="C23" s="71"/>
      <c r="D23" s="71"/>
      <c r="E23" s="71"/>
      <c r="F23" s="71"/>
      <c r="G23" s="71"/>
      <c r="H23" s="71"/>
      <c r="I23" s="71"/>
      <c r="J23" s="71"/>
      <c r="K23" s="71"/>
      <c r="L23" s="71"/>
      <c r="M23" s="71"/>
    </row>
    <row r="24" spans="1:19">
      <c r="A24" s="71"/>
      <c r="B24" s="71"/>
      <c r="C24" s="71"/>
      <c r="D24" s="71"/>
      <c r="E24" s="71"/>
      <c r="F24" s="71"/>
      <c r="G24" s="71"/>
      <c r="H24" s="71"/>
      <c r="I24" s="71"/>
      <c r="J24" s="71"/>
      <c r="K24" s="71"/>
      <c r="L24" s="71"/>
      <c r="M24" s="71"/>
    </row>
    <row r="25" spans="1:19">
      <c r="A25" s="71"/>
      <c r="B25" s="71"/>
      <c r="C25" s="71"/>
      <c r="D25" s="71"/>
      <c r="E25" s="71"/>
      <c r="F25" s="71"/>
      <c r="G25" s="71"/>
      <c r="H25" s="71"/>
      <c r="I25" s="71"/>
      <c r="J25" s="71"/>
      <c r="K25" s="71"/>
      <c r="L25" s="71"/>
      <c r="M25" s="71"/>
    </row>
    <row r="26" spans="1:19">
      <c r="A26" s="71"/>
      <c r="B26" s="71"/>
      <c r="C26" s="71"/>
      <c r="D26" s="71"/>
      <c r="E26" s="71"/>
      <c r="F26" s="71"/>
      <c r="G26" s="71"/>
      <c r="H26" s="71"/>
      <c r="I26" s="71"/>
      <c r="J26" s="71"/>
      <c r="K26" s="71"/>
      <c r="L26" s="71"/>
      <c r="M26" s="71"/>
    </row>
    <row r="27" spans="1:19">
      <c r="A27" s="73"/>
      <c r="B27" s="73"/>
      <c r="C27" s="71"/>
      <c r="D27" s="71"/>
      <c r="E27" s="71"/>
      <c r="F27" s="71"/>
      <c r="G27" s="71"/>
      <c r="H27" s="71"/>
      <c r="I27" s="71"/>
      <c r="J27" s="71"/>
      <c r="K27" s="71"/>
      <c r="L27" s="71"/>
      <c r="M27" s="73"/>
    </row>
    <row r="28" spans="1:19">
      <c r="A28" s="40" t="s">
        <v>111</v>
      </c>
      <c r="B28" s="40" t="s">
        <v>88</v>
      </c>
      <c r="C28" s="40">
        <f>AVERAGE(C13,C18)</f>
        <v>339.41449999999998</v>
      </c>
      <c r="D28" s="40">
        <f t="shared" ref="D28:M28" si="7">AVERAGE(D13,D18)</f>
        <v>339.41449999999998</v>
      </c>
      <c r="E28" s="40">
        <f t="shared" si="7"/>
        <v>169.70724999999999</v>
      </c>
      <c r="F28" s="40">
        <f t="shared" si="7"/>
        <v>169.70724999999999</v>
      </c>
      <c r="G28" s="40">
        <f t="shared" si="7"/>
        <v>93811.48796972433</v>
      </c>
      <c r="H28" s="40">
        <f t="shared" si="7"/>
        <v>4</v>
      </c>
      <c r="I28" s="40">
        <f t="shared" si="7"/>
        <v>404285.40134925663</v>
      </c>
      <c r="J28" s="40">
        <f t="shared" si="7"/>
        <v>12080395.922499999</v>
      </c>
      <c r="K28" s="40">
        <f t="shared" si="7"/>
        <v>3.0390099043091943E-2</v>
      </c>
      <c r="L28" s="40">
        <f t="shared" si="7"/>
        <v>3.0390099043091947</v>
      </c>
      <c r="M28" s="40">
        <f t="shared" si="7"/>
        <v>3.0390099043091947</v>
      </c>
    </row>
    <row r="29" spans="1:19">
      <c r="A29" s="40"/>
      <c r="B29" s="40" t="s">
        <v>25</v>
      </c>
      <c r="C29" s="40">
        <f>AVERAGE(C14,C16,C19)</f>
        <v>178.83952380952383</v>
      </c>
      <c r="D29" s="40">
        <f t="shared" ref="D29:M29" si="8">AVERAGE(D14,D16,D19)</f>
        <v>178.83952380952383</v>
      </c>
      <c r="E29" s="40">
        <f t="shared" si="8"/>
        <v>89.419761904761913</v>
      </c>
      <c r="F29" s="40">
        <f t="shared" si="8"/>
        <v>89.419761904761913</v>
      </c>
      <c r="G29" s="40">
        <f t="shared" si="8"/>
        <v>26106.632806610753</v>
      </c>
      <c r="H29" s="40">
        <f t="shared" si="8"/>
        <v>5.333333333333333</v>
      </c>
      <c r="I29" s="40">
        <f t="shared" si="8"/>
        <v>140899.30634352763</v>
      </c>
      <c r="J29" s="40">
        <f t="shared" si="8"/>
        <v>9096603.166666666</v>
      </c>
      <c r="K29" s="40">
        <f t="shared" si="8"/>
        <v>2.8734333938444625E-2</v>
      </c>
      <c r="L29" s="40">
        <f t="shared" si="8"/>
        <v>2.8734333938444627</v>
      </c>
      <c r="M29" s="40">
        <f t="shared" si="8"/>
        <v>2.8734333938444627</v>
      </c>
    </row>
    <row r="30" spans="1:19" ht="16" thickBot="1">
      <c r="A30" s="41"/>
      <c r="B30" s="41" t="s">
        <v>26</v>
      </c>
      <c r="C30" s="41">
        <f>AVERAGE(C15,C17,C20)</f>
        <v>52.886501262626268</v>
      </c>
      <c r="D30" s="41">
        <f t="shared" ref="D30:M30" si="9">AVERAGE(D15,D17,D20)</f>
        <v>52.886501262626268</v>
      </c>
      <c r="E30" s="41">
        <f t="shared" si="9"/>
        <v>26.443250631313134</v>
      </c>
      <c r="F30" s="41">
        <f t="shared" si="9"/>
        <v>26.443250631313134</v>
      </c>
      <c r="G30" s="41">
        <f t="shared" si="9"/>
        <v>2554.4257627400079</v>
      </c>
      <c r="H30" s="41">
        <f t="shared" si="9"/>
        <v>12.333333333333334</v>
      </c>
      <c r="I30" s="41">
        <f t="shared" si="9"/>
        <v>28611.202793666485</v>
      </c>
      <c r="J30" s="41">
        <f t="shared" si="9"/>
        <v>9096603.166666666</v>
      </c>
      <c r="K30" s="41">
        <f t="shared" si="9"/>
        <v>5.16807342470532E-3</v>
      </c>
      <c r="L30" s="41">
        <f t="shared" si="9"/>
        <v>0.51680734247053195</v>
      </c>
      <c r="M30" s="41">
        <f t="shared" si="9"/>
        <v>0.51680734247053195</v>
      </c>
    </row>
    <row r="37" spans="1:12" ht="45">
      <c r="A37" s="2" t="s">
        <v>144</v>
      </c>
      <c r="B37" s="2" t="s">
        <v>120</v>
      </c>
      <c r="C37" s="2" t="s">
        <v>19</v>
      </c>
      <c r="D37" s="2" t="s">
        <v>89</v>
      </c>
      <c r="E37" s="2" t="s">
        <v>20</v>
      </c>
      <c r="F37" s="2" t="s">
        <v>90</v>
      </c>
      <c r="G37" s="2" t="s">
        <v>6</v>
      </c>
      <c r="H37" s="2" t="s">
        <v>21</v>
      </c>
      <c r="I37" s="2" t="s">
        <v>22</v>
      </c>
      <c r="J37" s="2" t="s">
        <v>8</v>
      </c>
      <c r="K37" s="2" t="s">
        <v>23</v>
      </c>
      <c r="L37" s="2" t="s">
        <v>24</v>
      </c>
    </row>
    <row r="38" spans="1:12">
      <c r="A38" t="s">
        <v>175</v>
      </c>
      <c r="B38" s="2"/>
      <c r="C38">
        <v>223.42099999999999</v>
      </c>
      <c r="D38">
        <v>223.42099999999999</v>
      </c>
      <c r="E38">
        <f>C38/2</f>
        <v>111.7105</v>
      </c>
      <c r="F38">
        <f>D38/2</f>
        <v>111.7105</v>
      </c>
      <c r="G38">
        <f>PI()*E38*F38</f>
        <v>39204.675543896068</v>
      </c>
      <c r="H38" s="2"/>
      <c r="I38" s="2"/>
      <c r="J38" s="2"/>
      <c r="K38" s="2"/>
      <c r="L38" s="2"/>
    </row>
    <row r="39" spans="1:12">
      <c r="C39">
        <v>287.26</v>
      </c>
      <c r="D39">
        <v>287.26</v>
      </c>
      <c r="E39">
        <f t="shared" ref="E39:F55" si="10">C39/2</f>
        <v>143.63</v>
      </c>
      <c r="F39">
        <f t="shared" si="10"/>
        <v>143.63</v>
      </c>
      <c r="G39">
        <f t="shared" ref="G39:G55" si="11">PI()*E39*F39</f>
        <v>64809.727235705701</v>
      </c>
    </row>
    <row r="40" spans="1:12">
      <c r="C40">
        <v>204.14500000000001</v>
      </c>
      <c r="D40">
        <v>204.14500000000001</v>
      </c>
      <c r="E40">
        <f t="shared" si="10"/>
        <v>102.07250000000001</v>
      </c>
      <c r="F40">
        <f t="shared" si="10"/>
        <v>102.07250000000001</v>
      </c>
      <c r="G40">
        <f t="shared" si="11"/>
        <v>32731.610636291189</v>
      </c>
    </row>
    <row r="41" spans="1:12">
      <c r="C41">
        <v>43.037999999999997</v>
      </c>
      <c r="D41">
        <v>43.037999999999997</v>
      </c>
      <c r="E41">
        <f t="shared" si="10"/>
        <v>21.518999999999998</v>
      </c>
      <c r="F41">
        <f t="shared" si="10"/>
        <v>21.518999999999998</v>
      </c>
      <c r="G41">
        <f t="shared" si="11"/>
        <v>1454.7690194348127</v>
      </c>
    </row>
    <row r="42" spans="1:12">
      <c r="C42">
        <v>29.74</v>
      </c>
      <c r="D42">
        <v>29.74</v>
      </c>
      <c r="E42">
        <f t="shared" si="10"/>
        <v>14.87</v>
      </c>
      <c r="F42">
        <f t="shared" si="10"/>
        <v>14.87</v>
      </c>
      <c r="G42">
        <f t="shared" si="11"/>
        <v>694.65922862454886</v>
      </c>
    </row>
    <row r="43" spans="1:12">
      <c r="C43">
        <v>43.279000000000003</v>
      </c>
      <c r="D43">
        <v>43.279000000000003</v>
      </c>
      <c r="E43">
        <f t="shared" si="10"/>
        <v>21.639500000000002</v>
      </c>
      <c r="F43">
        <f t="shared" si="10"/>
        <v>21.639500000000002</v>
      </c>
      <c r="G43">
        <f t="shared" si="11"/>
        <v>1471.1071838328774</v>
      </c>
    </row>
    <row r="44" spans="1:12">
      <c r="C44">
        <v>79.671999999999997</v>
      </c>
      <c r="D44">
        <v>79.671999999999997</v>
      </c>
      <c r="E44">
        <f t="shared" si="10"/>
        <v>39.835999999999999</v>
      </c>
      <c r="F44">
        <f t="shared" si="10"/>
        <v>39.835999999999999</v>
      </c>
      <c r="G44">
        <f t="shared" si="11"/>
        <v>4985.4150464045815</v>
      </c>
    </row>
    <row r="45" spans="1:12">
      <c r="C45">
        <v>86.557000000000002</v>
      </c>
      <c r="D45">
        <v>86.557000000000002</v>
      </c>
      <c r="E45">
        <f t="shared" si="10"/>
        <v>43.278500000000001</v>
      </c>
      <c r="F45">
        <f t="shared" si="10"/>
        <v>43.278500000000001</v>
      </c>
      <c r="G45">
        <f t="shared" si="11"/>
        <v>5884.2927711284538</v>
      </c>
    </row>
    <row r="46" spans="1:12">
      <c r="C46">
        <v>38.71</v>
      </c>
      <c r="D46">
        <v>38.71</v>
      </c>
      <c r="E46">
        <f t="shared" si="10"/>
        <v>19.355</v>
      </c>
      <c r="F46">
        <f t="shared" si="10"/>
        <v>19.355</v>
      </c>
      <c r="G46">
        <f t="shared" si="11"/>
        <v>1176.8909520570103</v>
      </c>
    </row>
    <row r="47" spans="1:12">
      <c r="C47">
        <v>45.847000000000001</v>
      </c>
      <c r="D47">
        <v>45.847000000000001</v>
      </c>
      <c r="E47">
        <f t="shared" si="10"/>
        <v>22.923500000000001</v>
      </c>
      <c r="F47">
        <f t="shared" si="10"/>
        <v>22.923500000000001</v>
      </c>
      <c r="G47">
        <f t="shared" si="11"/>
        <v>1650.865634586625</v>
      </c>
    </row>
    <row r="48" spans="1:12">
      <c r="C48">
        <v>139.57</v>
      </c>
      <c r="D48">
        <v>139.57</v>
      </c>
      <c r="E48">
        <f t="shared" ref="E48:E50" si="12">C48/2</f>
        <v>69.784999999999997</v>
      </c>
      <c r="F48">
        <f t="shared" ref="F48:F50" si="13">D48/2</f>
        <v>69.784999999999997</v>
      </c>
      <c r="G48">
        <f t="shared" ref="G48:G50" si="14">PI()*E48*F48</f>
        <v>15299.387283837343</v>
      </c>
    </row>
    <row r="49" spans="1:12">
      <c r="C49">
        <v>41.935000000000002</v>
      </c>
      <c r="D49">
        <v>41.935000000000002</v>
      </c>
      <c r="E49">
        <f t="shared" si="12"/>
        <v>20.967500000000001</v>
      </c>
      <c r="F49">
        <f t="shared" si="13"/>
        <v>20.967500000000001</v>
      </c>
      <c r="G49">
        <f t="shared" si="14"/>
        <v>1381.1574045681891</v>
      </c>
    </row>
    <row r="50" spans="1:12">
      <c r="C50">
        <v>234.953</v>
      </c>
      <c r="D50">
        <v>234.953</v>
      </c>
      <c r="E50">
        <f t="shared" si="12"/>
        <v>117.4765</v>
      </c>
      <c r="F50">
        <f t="shared" si="13"/>
        <v>117.4765</v>
      </c>
      <c r="G50">
        <f t="shared" si="14"/>
        <v>43356.265863139175</v>
      </c>
    </row>
    <row r="51" spans="1:12">
      <c r="C51">
        <v>175.65100000000001</v>
      </c>
      <c r="D51">
        <v>175.65100000000001</v>
      </c>
      <c r="E51">
        <f t="shared" si="10"/>
        <v>87.825500000000005</v>
      </c>
      <c r="F51">
        <f t="shared" si="10"/>
        <v>87.825500000000005</v>
      </c>
      <c r="G51">
        <f t="shared" si="11"/>
        <v>24232.104578104008</v>
      </c>
    </row>
    <row r="52" spans="1:12">
      <c r="C52">
        <v>345.53800000000001</v>
      </c>
      <c r="D52">
        <v>345.53800000000001</v>
      </c>
      <c r="E52">
        <f t="shared" si="10"/>
        <v>172.76900000000001</v>
      </c>
      <c r="F52">
        <f t="shared" si="10"/>
        <v>172.76900000000001</v>
      </c>
      <c r="G52">
        <f t="shared" si="11"/>
        <v>93773.799233383688</v>
      </c>
    </row>
    <row r="53" spans="1:12">
      <c r="C53">
        <v>57.704999999999998</v>
      </c>
      <c r="D53">
        <v>57.704999999999998</v>
      </c>
      <c r="E53">
        <f t="shared" si="10"/>
        <v>28.852499999999999</v>
      </c>
      <c r="F53">
        <f t="shared" si="10"/>
        <v>28.852499999999999</v>
      </c>
      <c r="G53">
        <f t="shared" si="11"/>
        <v>2615.2714457927245</v>
      </c>
    </row>
    <row r="54" spans="1:12">
      <c r="C54">
        <v>47.954999999999998</v>
      </c>
      <c r="D54">
        <v>47.954999999999998</v>
      </c>
      <c r="E54">
        <f t="shared" si="10"/>
        <v>23.977499999999999</v>
      </c>
      <c r="F54">
        <f t="shared" si="10"/>
        <v>23.977499999999999</v>
      </c>
      <c r="G54">
        <f t="shared" si="11"/>
        <v>1806.1660388331247</v>
      </c>
    </row>
    <row r="55" spans="1:12">
      <c r="C55">
        <v>59.305999999999997</v>
      </c>
      <c r="D55">
        <v>59.305999999999997</v>
      </c>
      <c r="E55">
        <f t="shared" si="10"/>
        <v>29.652999999999999</v>
      </c>
      <c r="F55">
        <f t="shared" si="10"/>
        <v>29.652999999999999</v>
      </c>
      <c r="G55">
        <f t="shared" si="11"/>
        <v>2762.4037052129001</v>
      </c>
    </row>
    <row r="56" spans="1:12">
      <c r="A56" s="31" t="s">
        <v>81</v>
      </c>
      <c r="B56" s="31">
        <f>COUNT(C38:C55)</f>
        <v>18</v>
      </c>
      <c r="C56" s="31">
        <f>AVERAGE(C38:C55)</f>
        <v>121.349</v>
      </c>
      <c r="D56" s="31">
        <f>AVERAGE(D38:D55)</f>
        <v>121.349</v>
      </c>
      <c r="E56" s="31">
        <f>AVERAGE(E38:E55)</f>
        <v>60.674500000000002</v>
      </c>
      <c r="F56" s="31">
        <f>AVERAGE(F38:F55)</f>
        <v>60.674500000000002</v>
      </c>
      <c r="G56" s="31">
        <f>AVERAGE(G38:G55)</f>
        <v>18849.476044712952</v>
      </c>
      <c r="H56" s="34">
        <f>B56</f>
        <v>18</v>
      </c>
      <c r="I56" s="65">
        <f>H56*G56</f>
        <v>339290.56880483311</v>
      </c>
      <c r="J56" s="34">
        <v>6785078.125</v>
      </c>
      <c r="K56" s="67">
        <f>I56/J56</f>
        <v>5.0005403409387139E-2</v>
      </c>
      <c r="L56" s="67">
        <f>K56*100</f>
        <v>5.0005403409387137</v>
      </c>
    </row>
    <row r="57" spans="1:12">
      <c r="A57" s="32" t="s">
        <v>88</v>
      </c>
      <c r="B57" s="30">
        <f>COUNTIF(C38:C55,"&gt;"&amp;$B$6)</f>
        <v>2</v>
      </c>
      <c r="C57" s="32">
        <f>AVERAGEIF(C38:C55,"&gt;"&amp;$B$6)</f>
        <v>316.399</v>
      </c>
      <c r="D57" s="32">
        <f>AVERAGEIF(D38:D55,"&gt;"&amp;$B$6)</f>
        <v>316.399</v>
      </c>
      <c r="E57" s="32">
        <f>AVERAGEIF(C38:C55,"&gt;"&amp;$B$6,E38:E55)</f>
        <v>158.1995</v>
      </c>
      <c r="F57" s="32">
        <f>AVERAGEIF(D38:D55,"&gt;"&amp;$B$6,F38:F55)</f>
        <v>158.1995</v>
      </c>
      <c r="G57" s="32">
        <f>AVERAGEIF(C38:C55,"&gt;"&amp;$B$6,G38:G55)</f>
        <v>79291.763234544691</v>
      </c>
      <c r="H57" s="32">
        <f>B57</f>
        <v>2</v>
      </c>
      <c r="I57" s="65">
        <f>H57*G57</f>
        <v>158583.52646908938</v>
      </c>
      <c r="J57" s="30">
        <f>J56</f>
        <v>6785078.125</v>
      </c>
      <c r="K57" s="67">
        <f>I57/J57</f>
        <v>2.3372395062745042E-2</v>
      </c>
      <c r="L57" s="67">
        <f>K57*100</f>
        <v>2.3372395062745044</v>
      </c>
    </row>
    <row r="58" spans="1:12">
      <c r="A58" s="30" t="s">
        <v>25</v>
      </c>
      <c r="B58" s="30">
        <f>COUNTIF(C38:C55,"&gt;"&amp;$B$7)-COUNTIF(C38:C55,"&gt;"&amp;$B$6)</f>
        <v>5</v>
      </c>
      <c r="C58" s="30">
        <f>AVERAGEIFS(C38:C55,C38:C55,"&gt;"&amp;$B$7,C38:C55,"&lt;"&amp;$B$6)</f>
        <v>195.548</v>
      </c>
      <c r="D58" s="30">
        <f>AVERAGEIFS(D38:D55,D38:D55,"&gt;"&amp;$B$7,D38:D55,"&lt;"&amp;$B$6)</f>
        <v>195.548</v>
      </c>
      <c r="E58" s="30">
        <f>AVERAGEIFS(E38:E55,C38:C55,"&gt;"&amp;$B$7,C38:C55,"&lt;"&amp;$B$6)</f>
        <v>97.774000000000001</v>
      </c>
      <c r="F58" s="30">
        <f>AVERAGEIFS(F38:F55,D38:D55,"&gt;"&amp;$B$7,D38:D55,"&lt;"&amp;$B$6)</f>
        <v>97.774000000000001</v>
      </c>
      <c r="G58" s="30">
        <f>AVERAGEIFS(G38:G55,C38:C55,"&gt;"&amp;$B$7,C38:C55,"&lt;"&amp;$B$6)</f>
        <v>30964.808781053558</v>
      </c>
      <c r="H58" s="32">
        <f t="shared" ref="H58" si="15">B58</f>
        <v>5</v>
      </c>
      <c r="I58" s="33">
        <f>H58*G58</f>
        <v>154824.04390526778</v>
      </c>
      <c r="J58" s="30">
        <f>J56</f>
        <v>6785078.125</v>
      </c>
      <c r="K58" s="32">
        <f>I58/J58</f>
        <v>2.2818314108250269E-2</v>
      </c>
      <c r="L58" s="32">
        <f>K58*100</f>
        <v>2.2818314108250268</v>
      </c>
    </row>
    <row r="59" spans="1:12">
      <c r="A59" s="33" t="s">
        <v>26</v>
      </c>
      <c r="B59" s="30">
        <f>COUNTIF(C38:C55,"&gt;"&amp;$B$8)-COUNTIF(C38:C55,"&gt;"&amp;$B$7)</f>
        <v>11</v>
      </c>
      <c r="C59" s="30">
        <f>AVERAGEIFS(C38:C55,C38:C55,"&gt;"&amp;$B$8,C38:C55,"&lt;"&amp;$B$7)</f>
        <v>52.158545454545454</v>
      </c>
      <c r="D59" s="30">
        <f>AVERAGEIFS(D38:D55,D38:D55,"&gt;"&amp;$B$8,D38:D55,"&lt;"&amp;$B$7)</f>
        <v>52.158545454545454</v>
      </c>
      <c r="E59" s="30">
        <f>AVERAGEIFS(E38:E55,C38:C55,"&gt;"&amp;$B$8,C38:C55,"&lt;"&amp;$B$7)</f>
        <v>26.079272727272727</v>
      </c>
      <c r="F59" s="30">
        <f>AVERAGEIFS(F38:F55,D38:D55,"&gt;"&amp;$B$8,D38:D55,"&lt;"&amp;$B$7)</f>
        <v>26.079272727272727</v>
      </c>
      <c r="G59" s="30">
        <f>AVERAGEIFS(G38:G55,C38:C55,"&gt;"&amp;$B$8,C38:C55,"&lt;"&amp;$B$7)</f>
        <v>2352.999857315986</v>
      </c>
      <c r="H59" s="32">
        <f>B59</f>
        <v>11</v>
      </c>
      <c r="I59" s="33">
        <f>H59*G59</f>
        <v>25882.998430475847</v>
      </c>
      <c r="J59" s="30">
        <f>J56</f>
        <v>6785078.125</v>
      </c>
      <c r="K59" s="32">
        <f>I59/J59</f>
        <v>3.8146942383918163E-3</v>
      </c>
      <c r="L59" s="32">
        <f>K59*100</f>
        <v>0.38146942383918164</v>
      </c>
    </row>
    <row r="62" spans="1:12" ht="45">
      <c r="A62" s="2" t="s">
        <v>144</v>
      </c>
      <c r="B62" s="2" t="s">
        <v>120</v>
      </c>
      <c r="C62" s="2" t="s">
        <v>19</v>
      </c>
      <c r="D62" s="2" t="s">
        <v>89</v>
      </c>
      <c r="E62" s="2" t="s">
        <v>20</v>
      </c>
      <c r="F62" s="2" t="s">
        <v>90</v>
      </c>
      <c r="G62" s="2" t="s">
        <v>6</v>
      </c>
      <c r="H62" s="2" t="s">
        <v>21</v>
      </c>
      <c r="I62" s="2" t="s">
        <v>22</v>
      </c>
      <c r="J62" s="2" t="s">
        <v>8</v>
      </c>
      <c r="K62" s="2" t="s">
        <v>23</v>
      </c>
      <c r="L62" s="2" t="s">
        <v>24</v>
      </c>
    </row>
    <row r="63" spans="1:12">
      <c r="A63" t="s">
        <v>178</v>
      </c>
      <c r="B63" s="2"/>
      <c r="C63">
        <v>221.369</v>
      </c>
      <c r="D63">
        <v>221.369</v>
      </c>
      <c r="E63">
        <f>C63/2</f>
        <v>110.6845</v>
      </c>
      <c r="F63">
        <f>D63/2</f>
        <v>110.6845</v>
      </c>
      <c r="G63">
        <f>PI()*E63*F63</f>
        <v>38487.835508747892</v>
      </c>
      <c r="H63" s="2"/>
      <c r="I63" s="2"/>
      <c r="J63" s="2"/>
      <c r="K63" s="2"/>
      <c r="L63" s="2"/>
    </row>
    <row r="64" spans="1:12">
      <c r="C64">
        <v>178.24100000000001</v>
      </c>
      <c r="D64">
        <v>178.24100000000001</v>
      </c>
      <c r="E64">
        <f t="shared" ref="E64:E87" si="16">C64/2</f>
        <v>89.120500000000007</v>
      </c>
      <c r="F64">
        <f t="shared" ref="F64:F87" si="17">D64/2</f>
        <v>89.120500000000007</v>
      </c>
      <c r="G64">
        <f t="shared" ref="G64:G87" si="18">PI()*E64*F64</f>
        <v>24951.985046622332</v>
      </c>
    </row>
    <row r="65" spans="3:7">
      <c r="C65">
        <v>196.898</v>
      </c>
      <c r="D65">
        <v>196.898</v>
      </c>
      <c r="E65">
        <f t="shared" si="16"/>
        <v>98.448999999999998</v>
      </c>
      <c r="F65">
        <f t="shared" si="17"/>
        <v>98.448999999999998</v>
      </c>
      <c r="G65">
        <f t="shared" si="18"/>
        <v>30448.961913183448</v>
      </c>
    </row>
    <row r="66" spans="3:7">
      <c r="C66">
        <v>166.298</v>
      </c>
      <c r="D66">
        <v>166.298</v>
      </c>
      <c r="E66">
        <f t="shared" si="16"/>
        <v>83.149000000000001</v>
      </c>
      <c r="F66">
        <f t="shared" si="17"/>
        <v>83.149000000000001</v>
      </c>
      <c r="G66">
        <f t="shared" si="18"/>
        <v>21720.205689772476</v>
      </c>
    </row>
    <row r="67" spans="3:7">
      <c r="C67">
        <v>227.67</v>
      </c>
      <c r="D67">
        <v>227.67</v>
      </c>
      <c r="E67">
        <f t="shared" si="16"/>
        <v>113.83499999999999</v>
      </c>
      <c r="F67">
        <f t="shared" si="17"/>
        <v>113.83499999999999</v>
      </c>
      <c r="G67">
        <f t="shared" si="18"/>
        <v>40710.036940284896</v>
      </c>
    </row>
    <row r="68" spans="3:7">
      <c r="C68">
        <v>52.634999999999998</v>
      </c>
      <c r="D68">
        <v>52.634999999999998</v>
      </c>
      <c r="E68">
        <f t="shared" si="16"/>
        <v>26.317499999999999</v>
      </c>
      <c r="F68">
        <f t="shared" si="17"/>
        <v>26.317499999999999</v>
      </c>
      <c r="G68">
        <f t="shared" si="18"/>
        <v>2175.9010207119031</v>
      </c>
    </row>
    <row r="69" spans="3:7">
      <c r="C69">
        <v>62.140999999999998</v>
      </c>
      <c r="D69">
        <v>62.140999999999998</v>
      </c>
      <c r="E69">
        <f t="shared" si="16"/>
        <v>31.070499999999999</v>
      </c>
      <c r="F69">
        <f t="shared" si="17"/>
        <v>31.070499999999999</v>
      </c>
      <c r="G69">
        <f t="shared" si="18"/>
        <v>3032.8180560895184</v>
      </c>
    </row>
    <row r="70" spans="3:7">
      <c r="C70">
        <v>28.939</v>
      </c>
      <c r="D70">
        <v>28.939</v>
      </c>
      <c r="E70">
        <f t="shared" si="16"/>
        <v>14.4695</v>
      </c>
      <c r="F70">
        <f t="shared" si="17"/>
        <v>14.4695</v>
      </c>
      <c r="G70">
        <f t="shared" si="18"/>
        <v>657.74403918171993</v>
      </c>
    </row>
    <row r="71" spans="3:7">
      <c r="C71">
        <v>21.277000000000001</v>
      </c>
      <c r="D71">
        <v>21.277000000000001</v>
      </c>
      <c r="E71">
        <f t="shared" si="16"/>
        <v>10.638500000000001</v>
      </c>
      <c r="F71">
        <f t="shared" si="17"/>
        <v>10.638500000000001</v>
      </c>
      <c r="G71">
        <f t="shared" si="18"/>
        <v>355.55817510691998</v>
      </c>
    </row>
    <row r="72" spans="3:7">
      <c r="C72">
        <v>17.545000000000002</v>
      </c>
      <c r="D72">
        <v>17.545000000000002</v>
      </c>
      <c r="E72">
        <f t="shared" si="16"/>
        <v>8.7725000000000009</v>
      </c>
      <c r="F72">
        <f t="shared" si="17"/>
        <v>8.7725000000000009</v>
      </c>
      <c r="G72">
        <f t="shared" si="18"/>
        <v>241.76678007910044</v>
      </c>
    </row>
    <row r="73" spans="3:7">
      <c r="C73">
        <v>18.678000000000001</v>
      </c>
      <c r="D73">
        <v>18.678000000000001</v>
      </c>
      <c r="E73">
        <f t="shared" si="16"/>
        <v>9.3390000000000004</v>
      </c>
      <c r="F73">
        <f t="shared" si="17"/>
        <v>9.3390000000000004</v>
      </c>
      <c r="G73">
        <f t="shared" si="18"/>
        <v>274.00003828232138</v>
      </c>
    </row>
    <row r="74" spans="3:7">
      <c r="C74">
        <v>22.34</v>
      </c>
      <c r="D74">
        <v>22.34</v>
      </c>
      <c r="E74">
        <f t="shared" ref="E74:E80" si="19">C74/2</f>
        <v>11.17</v>
      </c>
      <c r="F74">
        <f t="shared" ref="F74:F80" si="20">D74/2</f>
        <v>11.17</v>
      </c>
      <c r="G74">
        <f t="shared" ref="G74:G80" si="21">PI()*E74*F74</f>
        <v>391.97305963647955</v>
      </c>
    </row>
    <row r="75" spans="3:7">
      <c r="C75">
        <v>38.957000000000001</v>
      </c>
      <c r="D75">
        <v>38.957000000000001</v>
      </c>
      <c r="E75">
        <f t="shared" si="19"/>
        <v>19.4785</v>
      </c>
      <c r="F75">
        <f t="shared" si="20"/>
        <v>19.4785</v>
      </c>
      <c r="G75">
        <f t="shared" si="21"/>
        <v>1191.9578332886879</v>
      </c>
    </row>
    <row r="76" spans="3:7">
      <c r="C76">
        <v>27.081</v>
      </c>
      <c r="D76">
        <v>27.081</v>
      </c>
      <c r="E76">
        <f t="shared" si="19"/>
        <v>13.5405</v>
      </c>
      <c r="F76">
        <f t="shared" si="20"/>
        <v>13.5405</v>
      </c>
      <c r="G76">
        <f t="shared" si="21"/>
        <v>575.99574568079026</v>
      </c>
    </row>
    <row r="77" spans="3:7">
      <c r="C77">
        <v>47.256999999999998</v>
      </c>
      <c r="D77">
        <v>47.256999999999998</v>
      </c>
      <c r="E77">
        <f t="shared" si="19"/>
        <v>23.628499999999999</v>
      </c>
      <c r="F77">
        <f t="shared" si="20"/>
        <v>23.628499999999999</v>
      </c>
      <c r="G77">
        <f t="shared" si="21"/>
        <v>1753.9700665396131</v>
      </c>
    </row>
    <row r="78" spans="3:7">
      <c r="C78">
        <v>65.599999999999994</v>
      </c>
      <c r="D78">
        <v>65.599999999999994</v>
      </c>
      <c r="E78">
        <f t="shared" si="19"/>
        <v>32.799999999999997</v>
      </c>
      <c r="F78">
        <f t="shared" si="20"/>
        <v>32.799999999999997</v>
      </c>
      <c r="G78">
        <f t="shared" si="21"/>
        <v>3379.8510404380422</v>
      </c>
    </row>
    <row r="79" spans="3:7">
      <c r="C79">
        <v>31.472999999999999</v>
      </c>
      <c r="D79">
        <v>31.472999999999999</v>
      </c>
      <c r="E79">
        <f t="shared" si="19"/>
        <v>15.736499999999999</v>
      </c>
      <c r="F79">
        <f t="shared" si="20"/>
        <v>15.736499999999999</v>
      </c>
      <c r="G79">
        <f t="shared" si="21"/>
        <v>777.97593791044005</v>
      </c>
    </row>
    <row r="80" spans="3:7">
      <c r="C80">
        <v>138.756</v>
      </c>
      <c r="D80">
        <v>138.756</v>
      </c>
      <c r="E80">
        <f t="shared" si="19"/>
        <v>69.378</v>
      </c>
      <c r="F80">
        <f t="shared" si="20"/>
        <v>69.378</v>
      </c>
      <c r="G80">
        <f t="shared" si="21"/>
        <v>15121.449546247579</v>
      </c>
    </row>
    <row r="81" spans="1:12">
      <c r="C81">
        <v>76.412999999999997</v>
      </c>
      <c r="D81">
        <v>76.412999999999997</v>
      </c>
      <c r="E81">
        <f t="shared" si="16"/>
        <v>38.206499999999998</v>
      </c>
      <c r="F81">
        <f t="shared" si="17"/>
        <v>38.206499999999998</v>
      </c>
      <c r="G81">
        <f t="shared" si="18"/>
        <v>4585.8979114684316</v>
      </c>
    </row>
    <row r="82" spans="1:12">
      <c r="C82">
        <v>82.81</v>
      </c>
      <c r="D82">
        <v>82.81</v>
      </c>
      <c r="E82">
        <f t="shared" si="16"/>
        <v>41.405000000000001</v>
      </c>
      <c r="F82">
        <f t="shared" si="17"/>
        <v>41.405000000000001</v>
      </c>
      <c r="G82">
        <f t="shared" si="18"/>
        <v>5385.864842445164</v>
      </c>
    </row>
    <row r="83" spans="1:12">
      <c r="C83">
        <v>47.899000000000001</v>
      </c>
      <c r="D83">
        <v>47.899000000000001</v>
      </c>
      <c r="E83">
        <f t="shared" si="16"/>
        <v>23.9495</v>
      </c>
      <c r="F83">
        <f t="shared" si="17"/>
        <v>23.9495</v>
      </c>
      <c r="G83">
        <f t="shared" si="18"/>
        <v>1801.950159722084</v>
      </c>
    </row>
    <row r="84" spans="1:12">
      <c r="C84">
        <v>121.623</v>
      </c>
      <c r="D84">
        <v>121.623</v>
      </c>
      <c r="E84">
        <f t="shared" si="16"/>
        <v>60.811500000000002</v>
      </c>
      <c r="F84">
        <f t="shared" si="17"/>
        <v>60.811500000000002</v>
      </c>
      <c r="G84">
        <f t="shared" si="18"/>
        <v>11617.730685608582</v>
      </c>
    </row>
    <row r="85" spans="1:12">
      <c r="C85">
        <v>45.191000000000003</v>
      </c>
      <c r="D85">
        <v>45.191000000000003</v>
      </c>
      <c r="E85">
        <f t="shared" si="16"/>
        <v>22.595500000000001</v>
      </c>
      <c r="F85">
        <f t="shared" si="17"/>
        <v>22.595500000000001</v>
      </c>
      <c r="G85">
        <f t="shared" si="18"/>
        <v>1603.9609274190341</v>
      </c>
    </row>
    <row r="86" spans="1:12">
      <c r="C86">
        <v>45.36</v>
      </c>
      <c r="D86">
        <v>45.36</v>
      </c>
      <c r="E86">
        <f t="shared" si="16"/>
        <v>22.68</v>
      </c>
      <c r="F86">
        <f t="shared" si="17"/>
        <v>22.68</v>
      </c>
      <c r="G86">
        <f t="shared" si="18"/>
        <v>1615.9799689758863</v>
      </c>
    </row>
    <row r="87" spans="1:12">
      <c r="C87">
        <v>45.695</v>
      </c>
      <c r="D87">
        <v>45.695</v>
      </c>
      <c r="E87">
        <f t="shared" si="16"/>
        <v>22.8475</v>
      </c>
      <c r="F87">
        <f t="shared" si="17"/>
        <v>22.8475</v>
      </c>
      <c r="G87">
        <f t="shared" si="18"/>
        <v>1639.9373029482183</v>
      </c>
    </row>
    <row r="88" spans="1:12">
      <c r="A88" s="31" t="s">
        <v>81</v>
      </c>
      <c r="B88" s="31">
        <f>COUNT(C63:C87)</f>
        <v>25</v>
      </c>
      <c r="C88" s="31">
        <f>AVERAGE(C63:C87)</f>
        <v>81.125840000000011</v>
      </c>
      <c r="D88" s="31">
        <f>AVERAGE(D63:D87)</f>
        <v>81.125840000000011</v>
      </c>
      <c r="E88" s="31">
        <f>AVERAGE(E63:E87)</f>
        <v>40.562920000000005</v>
      </c>
      <c r="F88" s="31">
        <f>AVERAGE(F63:F87)</f>
        <v>40.562920000000005</v>
      </c>
      <c r="G88" s="31">
        <f>AVERAGE(G63:G87)</f>
        <v>8580.0523294556624</v>
      </c>
      <c r="H88" s="34">
        <f>B88</f>
        <v>25</v>
      </c>
      <c r="I88" s="65">
        <f>H88*G88</f>
        <v>214501.30823639157</v>
      </c>
      <c r="J88">
        <v>3129017.6549999998</v>
      </c>
      <c r="K88" s="67">
        <f>I88/J88</f>
        <v>6.8552284418603449E-2</v>
      </c>
      <c r="L88" s="67">
        <f>K88*100</f>
        <v>6.8552284418603451</v>
      </c>
    </row>
    <row r="89" spans="1:12">
      <c r="A89" s="32" t="s">
        <v>88</v>
      </c>
      <c r="B89" s="30">
        <f>COUNTIF(C63:C87,"&gt;"&amp;$B$6)</f>
        <v>0</v>
      </c>
      <c r="C89" s="32" t="e">
        <f>AVERAGEIF(C63:C87,"&gt;"&amp;$B$6)</f>
        <v>#DIV/0!</v>
      </c>
      <c r="D89" s="32" t="e">
        <f>AVERAGEIF(D63:D87,"&gt;"&amp;$B$6)</f>
        <v>#DIV/0!</v>
      </c>
      <c r="E89" s="32" t="e">
        <f>AVERAGEIF(C63:C87,"&gt;"&amp;$B$6,E63:E87)</f>
        <v>#DIV/0!</v>
      </c>
      <c r="F89" s="32" t="e">
        <f>AVERAGEIF(D63:D87,"&gt;"&amp;$B$6,F63:F87)</f>
        <v>#DIV/0!</v>
      </c>
      <c r="G89" s="32" t="e">
        <f>AVERAGEIF(C63:C87,"&gt;"&amp;$B$6,G63:G87)</f>
        <v>#DIV/0!</v>
      </c>
      <c r="H89" s="32">
        <f>B89</f>
        <v>0</v>
      </c>
      <c r="I89" s="65" t="e">
        <f>H89*G89</f>
        <v>#DIV/0!</v>
      </c>
      <c r="J89" s="30">
        <f>J88</f>
        <v>3129017.6549999998</v>
      </c>
      <c r="K89" s="67" t="e">
        <f>I89/J89</f>
        <v>#DIV/0!</v>
      </c>
      <c r="L89" s="67" t="e">
        <f>K89*100</f>
        <v>#DIV/0!</v>
      </c>
    </row>
    <row r="90" spans="1:12">
      <c r="A90" s="30" t="s">
        <v>25</v>
      </c>
      <c r="B90" s="30">
        <f>COUNTIF(C63:C87,"&gt;"&amp;$B$7)-COUNTIF(C63:C87,"&gt;"&amp;$B$6)</f>
        <v>7</v>
      </c>
      <c r="C90" s="30">
        <f>AVERAGEIFS(C63:C87,C63:C87,"&gt;"&amp;$B$7,C63:C87,"&lt;"&amp;$B$6)</f>
        <v>178.69357142857143</v>
      </c>
      <c r="D90" s="30">
        <f>AVERAGEIFS(D63:D87,D63:D87,"&gt;"&amp;$B$7,D63:D87,"&lt;"&amp;$B$6)</f>
        <v>178.69357142857143</v>
      </c>
      <c r="E90" s="30">
        <f>AVERAGEIFS(E63:E87,C63:C87,"&gt;"&amp;$B$7,C63:C87,"&lt;"&amp;$B$6)</f>
        <v>89.346785714285716</v>
      </c>
      <c r="F90" s="30">
        <f>AVERAGEIFS(F63:F87,D63:D87,"&gt;"&amp;$B$7,D63:D87,"&lt;"&amp;$B$6)</f>
        <v>89.346785714285716</v>
      </c>
      <c r="G90" s="30">
        <f>AVERAGEIFS(G63:G87,C63:C87,"&gt;"&amp;$B$7,C63:C87,"&lt;"&amp;$B$6)</f>
        <v>26151.172190066743</v>
      </c>
      <c r="H90" s="32">
        <f t="shared" ref="H90" si="22">B90</f>
        <v>7</v>
      </c>
      <c r="I90" s="33">
        <f>H90*G90</f>
        <v>183058.2053304672</v>
      </c>
      <c r="J90" s="30">
        <f>J88</f>
        <v>3129017.6549999998</v>
      </c>
      <c r="K90" s="32">
        <f>I90/J90</f>
        <v>5.8503410819031383E-2</v>
      </c>
      <c r="L90" s="32">
        <f>K90*100</f>
        <v>5.8503410819031387</v>
      </c>
    </row>
    <row r="91" spans="1:12">
      <c r="A91" s="33" t="s">
        <v>26</v>
      </c>
      <c r="B91" s="30">
        <f>COUNTIF(C63:C87,"&gt;"&amp;$B$8)-COUNTIF(C63:C87,"&gt;"&amp;$B$7)</f>
        <v>18</v>
      </c>
      <c r="C91" s="30">
        <f>AVERAGEIFS(C63:C87,C63:C87,"&gt;"&amp;$B$8,C63:C87,"&lt;"&amp;$B$7)</f>
        <v>43.182833333333342</v>
      </c>
      <c r="D91" s="30">
        <f>AVERAGEIFS(D63:D87,D63:D87,"&gt;"&amp;$B$8,D63:D87,"&lt;"&amp;$B$7)</f>
        <v>43.182833333333342</v>
      </c>
      <c r="E91" s="30">
        <f>AVERAGEIFS(E63:E87,C63:C87,"&gt;"&amp;$B$8,C63:C87,"&lt;"&amp;$B$7)</f>
        <v>21.591416666666671</v>
      </c>
      <c r="F91" s="30">
        <f>AVERAGEIFS(F63:F87,D63:D87,"&gt;"&amp;$B$8,D63:D87,"&lt;"&amp;$B$7)</f>
        <v>21.591416666666671</v>
      </c>
      <c r="G91" s="30">
        <f>AVERAGEIFS(G63:G87,C63:C87,"&gt;"&amp;$B$8,C63:C87,"&lt;"&amp;$B$7)</f>
        <v>1746.8390503291312</v>
      </c>
      <c r="H91" s="32">
        <f>B91</f>
        <v>18</v>
      </c>
      <c r="I91" s="33">
        <f>H91*G91</f>
        <v>31443.102905924359</v>
      </c>
      <c r="J91" s="30">
        <f>J88</f>
        <v>3129017.6549999998</v>
      </c>
      <c r="K91" s="32">
        <f>I91/J91</f>
        <v>1.0048873599572055E-2</v>
      </c>
      <c r="L91" s="32">
        <f>K91*100</f>
        <v>1.0048873599572055</v>
      </c>
    </row>
    <row r="95" spans="1:12" ht="45">
      <c r="A95" s="2" t="s">
        <v>144</v>
      </c>
      <c r="B95" s="2" t="s">
        <v>120</v>
      </c>
      <c r="C95" s="2" t="s">
        <v>19</v>
      </c>
      <c r="D95" s="2" t="s">
        <v>89</v>
      </c>
      <c r="E95" s="2" t="s">
        <v>20</v>
      </c>
      <c r="F95" s="2" t="s">
        <v>90</v>
      </c>
      <c r="G95" s="2" t="s">
        <v>6</v>
      </c>
      <c r="H95" s="2" t="s">
        <v>21</v>
      </c>
      <c r="I95" s="2" t="s">
        <v>22</v>
      </c>
      <c r="J95" s="2" t="s">
        <v>8</v>
      </c>
      <c r="K95" s="2" t="s">
        <v>23</v>
      </c>
      <c r="L95" s="2" t="s">
        <v>24</v>
      </c>
    </row>
    <row r="96" spans="1:12">
      <c r="A96" t="s">
        <v>213</v>
      </c>
      <c r="B96" s="2"/>
      <c r="C96">
        <v>455.02699999999999</v>
      </c>
      <c r="D96">
        <v>455.02699999999999</v>
      </c>
      <c r="E96">
        <f>C96/2</f>
        <v>227.51349999999999</v>
      </c>
      <c r="F96">
        <f>D96/2</f>
        <v>227.51349999999999</v>
      </c>
      <c r="G96">
        <f>PI()*E96*F96</f>
        <v>162616.35258278664</v>
      </c>
      <c r="H96" s="2"/>
      <c r="I96" s="2"/>
      <c r="J96" s="2"/>
      <c r="K96" s="2"/>
      <c r="L96" s="2"/>
    </row>
    <row r="97" spans="3:7">
      <c r="C97">
        <v>267.57799999999997</v>
      </c>
      <c r="D97">
        <v>267.57799999999997</v>
      </c>
      <c r="E97">
        <f t="shared" ref="E97:E113" si="23">C97/2</f>
        <v>133.78899999999999</v>
      </c>
      <c r="F97">
        <f t="shared" ref="F97:F113" si="24">D97/2</f>
        <v>133.78899999999999</v>
      </c>
      <c r="G97">
        <f t="shared" ref="G97:G113" si="25">PI()*E97*F97</f>
        <v>56232.926773329651</v>
      </c>
    </row>
    <row r="98" spans="3:7">
      <c r="C98">
        <v>397.30599999999998</v>
      </c>
      <c r="D98">
        <v>397.30599999999998</v>
      </c>
      <c r="E98">
        <f t="shared" si="23"/>
        <v>198.65299999999999</v>
      </c>
      <c r="F98">
        <f t="shared" si="24"/>
        <v>198.65299999999999</v>
      </c>
      <c r="G98">
        <f t="shared" si="25"/>
        <v>123976.71615582255</v>
      </c>
    </row>
    <row r="99" spans="3:7">
      <c r="C99">
        <v>95.105999999999995</v>
      </c>
      <c r="D99">
        <v>95.105999999999995</v>
      </c>
      <c r="E99">
        <f t="shared" si="23"/>
        <v>47.552999999999997</v>
      </c>
      <c r="F99">
        <f t="shared" si="24"/>
        <v>47.552999999999997</v>
      </c>
      <c r="G99">
        <f t="shared" si="25"/>
        <v>7104.0451684065583</v>
      </c>
    </row>
    <row r="100" spans="3:7">
      <c r="C100">
        <v>51.133000000000003</v>
      </c>
      <c r="D100">
        <v>51.133000000000003</v>
      </c>
      <c r="E100">
        <f t="shared" si="23"/>
        <v>25.566500000000001</v>
      </c>
      <c r="F100">
        <f t="shared" si="24"/>
        <v>25.566500000000001</v>
      </c>
      <c r="G100">
        <f t="shared" si="25"/>
        <v>2053.4892273895257</v>
      </c>
    </row>
    <row r="101" spans="3:7">
      <c r="C101">
        <v>185.12899999999999</v>
      </c>
      <c r="D101">
        <v>185.12899999999999</v>
      </c>
      <c r="E101">
        <f t="shared" si="23"/>
        <v>92.564499999999995</v>
      </c>
      <c r="F101">
        <f t="shared" si="24"/>
        <v>92.564499999999995</v>
      </c>
      <c r="G101">
        <f t="shared" si="25"/>
        <v>26917.752266427462</v>
      </c>
    </row>
    <row r="102" spans="3:7">
      <c r="C102">
        <v>118.883</v>
      </c>
      <c r="D102">
        <v>118.883</v>
      </c>
      <c r="E102">
        <f t="shared" si="23"/>
        <v>59.441499999999998</v>
      </c>
      <c r="F102">
        <f t="shared" si="24"/>
        <v>59.441499999999998</v>
      </c>
      <c r="G102">
        <f t="shared" si="25"/>
        <v>11100.163945928758</v>
      </c>
    </row>
    <row r="103" spans="3:7">
      <c r="C103">
        <v>176.971</v>
      </c>
      <c r="D103">
        <v>176.971</v>
      </c>
      <c r="E103">
        <f t="shared" si="23"/>
        <v>88.485500000000002</v>
      </c>
      <c r="F103">
        <f t="shared" si="24"/>
        <v>88.485500000000002</v>
      </c>
      <c r="G103">
        <f t="shared" si="25"/>
        <v>24597.676824053076</v>
      </c>
    </row>
    <row r="104" spans="3:7">
      <c r="C104">
        <v>90.85</v>
      </c>
      <c r="D104">
        <v>90.85</v>
      </c>
      <c r="E104">
        <f t="shared" si="23"/>
        <v>45.424999999999997</v>
      </c>
      <c r="F104">
        <f t="shared" si="24"/>
        <v>45.424999999999997</v>
      </c>
      <c r="G104">
        <f t="shared" si="25"/>
        <v>6482.4584926921943</v>
      </c>
    </row>
    <row r="105" spans="3:7">
      <c r="C105">
        <v>86.548000000000002</v>
      </c>
      <c r="D105">
        <v>86.548000000000002</v>
      </c>
      <c r="E105">
        <f t="shared" si="23"/>
        <v>43.274000000000001</v>
      </c>
      <c r="F105">
        <f t="shared" si="24"/>
        <v>43.274000000000001</v>
      </c>
      <c r="G105">
        <f t="shared" si="25"/>
        <v>5883.0691639867782</v>
      </c>
    </row>
    <row r="106" spans="3:7">
      <c r="C106">
        <v>168.125</v>
      </c>
      <c r="D106">
        <v>168.125</v>
      </c>
      <c r="E106">
        <f t="shared" si="23"/>
        <v>84.0625</v>
      </c>
      <c r="F106">
        <f t="shared" si="24"/>
        <v>84.0625</v>
      </c>
      <c r="G106">
        <f t="shared" si="25"/>
        <v>22200.076758438576</v>
      </c>
    </row>
    <row r="107" spans="3:7">
      <c r="C107">
        <v>296.03899999999999</v>
      </c>
      <c r="D107">
        <v>296.03899999999999</v>
      </c>
      <c r="E107">
        <f t="shared" si="23"/>
        <v>148.01949999999999</v>
      </c>
      <c r="F107">
        <f t="shared" si="24"/>
        <v>148.01949999999999</v>
      </c>
      <c r="G107">
        <f t="shared" si="25"/>
        <v>68831.579951617954</v>
      </c>
    </row>
    <row r="108" spans="3:7">
      <c r="C108">
        <v>467.89</v>
      </c>
      <c r="D108">
        <v>467.89</v>
      </c>
      <c r="E108">
        <f t="shared" si="23"/>
        <v>233.94499999999999</v>
      </c>
      <c r="F108">
        <f t="shared" si="24"/>
        <v>233.94499999999999</v>
      </c>
      <c r="G108">
        <f t="shared" si="25"/>
        <v>171940.19224837708</v>
      </c>
    </row>
    <row r="109" spans="3:7">
      <c r="C109">
        <v>290.74</v>
      </c>
      <c r="D109">
        <v>290.74</v>
      </c>
      <c r="E109">
        <f t="shared" si="23"/>
        <v>145.37</v>
      </c>
      <c r="F109">
        <f t="shared" si="24"/>
        <v>145.37</v>
      </c>
      <c r="G109">
        <f t="shared" si="25"/>
        <v>66389.50851748987</v>
      </c>
    </row>
    <row r="110" spans="3:7">
      <c r="C110">
        <v>42.863999999999997</v>
      </c>
      <c r="D110">
        <v>42.863999999999997</v>
      </c>
      <c r="E110">
        <f t="shared" si="23"/>
        <v>21.431999999999999</v>
      </c>
      <c r="F110">
        <f t="shared" si="24"/>
        <v>21.431999999999999</v>
      </c>
      <c r="G110">
        <f t="shared" si="25"/>
        <v>1443.0297139272152</v>
      </c>
    </row>
    <row r="111" spans="3:7">
      <c r="C111">
        <v>39.029000000000003</v>
      </c>
      <c r="D111">
        <v>39.029000000000003</v>
      </c>
      <c r="E111">
        <f t="shared" si="23"/>
        <v>19.514500000000002</v>
      </c>
      <c r="F111">
        <f t="shared" si="24"/>
        <v>19.514500000000002</v>
      </c>
      <c r="G111">
        <f t="shared" si="25"/>
        <v>1196.3678376929795</v>
      </c>
    </row>
    <row r="112" spans="3:7">
      <c r="C112">
        <v>65.174999999999997</v>
      </c>
      <c r="D112">
        <v>65.174999999999997</v>
      </c>
      <c r="E112">
        <f t="shared" si="23"/>
        <v>32.587499999999999</v>
      </c>
      <c r="F112">
        <f t="shared" si="24"/>
        <v>32.587499999999999</v>
      </c>
      <c r="G112">
        <f t="shared" si="25"/>
        <v>3336.1991013902648</v>
      </c>
    </row>
    <row r="113" spans="1:12">
      <c r="C113">
        <v>35.840000000000003</v>
      </c>
      <c r="D113">
        <v>35.840000000000003</v>
      </c>
      <c r="E113">
        <f t="shared" si="23"/>
        <v>17.920000000000002</v>
      </c>
      <c r="F113">
        <f t="shared" si="24"/>
        <v>17.920000000000002</v>
      </c>
      <c r="G113">
        <f t="shared" si="25"/>
        <v>1008.8483391137376</v>
      </c>
    </row>
    <row r="114" spans="1:12">
      <c r="A114" s="31" t="s">
        <v>81</v>
      </c>
      <c r="B114" s="31">
        <f>COUNT(C96:C113)</f>
        <v>18</v>
      </c>
      <c r="C114" s="31">
        <f>AVERAGE(C96:C113)</f>
        <v>185.01294444444446</v>
      </c>
      <c r="D114" s="31">
        <f>AVERAGE(D96:D113)</f>
        <v>185.01294444444446</v>
      </c>
      <c r="E114" s="31">
        <f>AVERAGE(E96:E113)</f>
        <v>92.506472222222229</v>
      </c>
      <c r="F114" s="31">
        <f>AVERAGE(F96:F113)</f>
        <v>92.506472222222229</v>
      </c>
      <c r="G114" s="31">
        <f>AVERAGE(G96:G113)</f>
        <v>42406.136281603933</v>
      </c>
      <c r="H114" s="34">
        <f>B114</f>
        <v>18</v>
      </c>
      <c r="I114" s="65">
        <f>H114*G114</f>
        <v>763310.45306887082</v>
      </c>
      <c r="J114">
        <v>17375713.719999999</v>
      </c>
      <c r="K114" s="67">
        <f>I114/J114</f>
        <v>4.3929732347643149E-2</v>
      </c>
      <c r="L114" s="67">
        <f>K114*100</f>
        <v>4.3929732347643151</v>
      </c>
    </row>
    <row r="115" spans="1:12">
      <c r="A115" s="32" t="s">
        <v>88</v>
      </c>
      <c r="B115" s="30">
        <f>COUNTIF(C96:C113,"&gt;"&amp;$B$6)</f>
        <v>6</v>
      </c>
      <c r="C115" s="32">
        <f>AVERAGEIF(C96:C113,"&gt;"&amp;$B$6)</f>
        <v>362.43</v>
      </c>
      <c r="D115" s="32">
        <f>AVERAGEIF(D96:D113,"&gt;"&amp;$B$6)</f>
        <v>362.43</v>
      </c>
      <c r="E115" s="32">
        <f>AVERAGEIF(C96:C113,"&gt;"&amp;$B$6,E96:E113)</f>
        <v>181.215</v>
      </c>
      <c r="F115" s="32">
        <f>AVERAGEIF(D96:D113,"&gt;"&amp;$B$6,F96:F113)</f>
        <v>181.215</v>
      </c>
      <c r="G115" s="32">
        <f>AVERAGEIF(C96:C113,"&gt;"&amp;$B$6,G96:G113)</f>
        <v>108331.21270490397</v>
      </c>
      <c r="H115" s="32">
        <f>B115</f>
        <v>6</v>
      </c>
      <c r="I115" s="65">
        <f>H115*G115</f>
        <v>649987.27622942382</v>
      </c>
      <c r="J115" s="30">
        <f>J114</f>
        <v>17375713.719999999</v>
      </c>
      <c r="K115" s="67">
        <f>I115/J115</f>
        <v>3.7407803023438845E-2</v>
      </c>
      <c r="L115" s="67">
        <f>K115*100</f>
        <v>3.7407803023438846</v>
      </c>
    </row>
    <row r="116" spans="1:12">
      <c r="A116" s="30" t="s">
        <v>25</v>
      </c>
      <c r="B116" s="30">
        <f>COUNTIF(C96:C113,"&gt;"&amp;$B$7)-COUNTIF(C96:C113,"&gt;"&amp;$B$6)</f>
        <v>4</v>
      </c>
      <c r="C116" s="30">
        <f>AVERAGEIFS(C96:C113,C96:C113,"&gt;"&amp;$B$7,C96:C113,"&lt;"&amp;$B$6)</f>
        <v>162.27699999999999</v>
      </c>
      <c r="D116" s="30">
        <f>AVERAGEIFS(D96:D113,D96:D113,"&gt;"&amp;$B$7,D96:D113,"&lt;"&amp;$B$6)</f>
        <v>162.27699999999999</v>
      </c>
      <c r="E116" s="30">
        <f>AVERAGEIFS(E96:E113,C96:C113,"&gt;"&amp;$B$7,C96:C113,"&lt;"&amp;$B$6)</f>
        <v>81.138499999999993</v>
      </c>
      <c r="F116" s="30">
        <f>AVERAGEIFS(F96:F113,D96:D113,"&gt;"&amp;$B$7,D96:D113,"&lt;"&amp;$B$6)</f>
        <v>81.138499999999993</v>
      </c>
      <c r="G116" s="30">
        <f>AVERAGEIFS(G96:G113,C96:C113,"&gt;"&amp;$B$7,C96:C113,"&lt;"&amp;$B$6)</f>
        <v>21203.917448711967</v>
      </c>
      <c r="H116" s="32">
        <f t="shared" ref="H116" si="26">B116</f>
        <v>4</v>
      </c>
      <c r="I116" s="33">
        <f>H116*G116</f>
        <v>84815.669794847869</v>
      </c>
      <c r="J116" s="30">
        <f>J114</f>
        <v>17375713.719999999</v>
      </c>
      <c r="K116" s="32">
        <f>I116/J116</f>
        <v>4.8812768880522207E-3</v>
      </c>
      <c r="L116" s="32">
        <f>K116*100</f>
        <v>0.48812768880522206</v>
      </c>
    </row>
    <row r="117" spans="1:12">
      <c r="A117" s="33" t="s">
        <v>26</v>
      </c>
      <c r="B117" s="30">
        <f>COUNTIF(C96:C113,"&gt;"&amp;$B$8)-COUNTIF(C96:C113,"&gt;"&amp;$B$7)</f>
        <v>8</v>
      </c>
      <c r="C117" s="30">
        <f>AVERAGEIFS(C96:C113,C96:C113,"&gt;"&amp;$B$8,C96:C113,"&lt;"&amp;$B$7)</f>
        <v>63.318124999999995</v>
      </c>
      <c r="D117" s="30">
        <f>AVERAGEIFS(D96:D113,D96:D113,"&gt;"&amp;$B$8,D96:D113,"&lt;"&amp;$B$7)</f>
        <v>63.318124999999995</v>
      </c>
      <c r="E117" s="30">
        <f>AVERAGEIFS(E96:E113,C96:C113,"&gt;"&amp;$B$8,C96:C113,"&lt;"&amp;$B$7)</f>
        <v>31.659062499999997</v>
      </c>
      <c r="F117" s="30">
        <f>AVERAGEIFS(F96:F113,D96:D113,"&gt;"&amp;$B$8,D96:D113,"&lt;"&amp;$B$7)</f>
        <v>31.659062499999997</v>
      </c>
      <c r="G117" s="30">
        <f>AVERAGEIFS(G96:G113,C96:C113,"&gt;"&amp;$B$8,C96:C113,"&lt;"&amp;$B$7)</f>
        <v>3563.4383805749067</v>
      </c>
      <c r="H117" s="32">
        <f>B117</f>
        <v>8</v>
      </c>
      <c r="I117" s="33">
        <f>H117*G117</f>
        <v>28507.507044599253</v>
      </c>
      <c r="J117" s="30">
        <f>J114</f>
        <v>17375713.719999999</v>
      </c>
      <c r="K117" s="32">
        <f>I117/J117</f>
        <v>1.6406524361520878E-3</v>
      </c>
      <c r="L117" s="32">
        <f>K117*100</f>
        <v>0.16406524361520877</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G19"/>
  <sheetViews>
    <sheetView topLeftCell="A4" workbookViewId="0">
      <selection activeCell="D15" sqref="D15"/>
    </sheetView>
  </sheetViews>
  <sheetFormatPr baseColWidth="10" defaultRowHeight="15" x14ac:dyDescent="0"/>
  <cols>
    <col min="1" max="1" width="26.33203125" customWidth="1"/>
  </cols>
  <sheetData>
    <row r="5" spans="1:7">
      <c r="A5" s="35" t="s">
        <v>130</v>
      </c>
    </row>
    <row r="6" spans="1:7">
      <c r="A6" s="63" t="s">
        <v>131</v>
      </c>
      <c r="B6" s="92"/>
      <c r="C6" s="63"/>
      <c r="D6" s="63"/>
      <c r="E6" s="63"/>
      <c r="F6" s="63"/>
      <c r="G6" s="63"/>
    </row>
    <row r="7" spans="1:7" ht="60">
      <c r="B7" s="97" t="s">
        <v>137</v>
      </c>
      <c r="C7" s="97" t="s">
        <v>138</v>
      </c>
      <c r="D7" s="97" t="s">
        <v>132</v>
      </c>
      <c r="E7" s="98" t="s">
        <v>133</v>
      </c>
      <c r="F7" s="98" t="s">
        <v>134</v>
      </c>
      <c r="G7" s="98" t="s">
        <v>135</v>
      </c>
    </row>
    <row r="8" spans="1:7">
      <c r="A8" t="str">
        <f>A19</f>
        <v>Cv-bw-11</v>
      </c>
      <c r="B8">
        <f t="shared" ref="B8:F8" si="0">B19</f>
        <v>6.2910000000000004</v>
      </c>
      <c r="C8">
        <f t="shared" si="0"/>
        <v>5.6580000000000004</v>
      </c>
      <c r="D8">
        <f t="shared" si="0"/>
        <v>5.9745000000000008</v>
      </c>
      <c r="E8">
        <f t="shared" si="0"/>
        <v>2.9872500000000004</v>
      </c>
      <c r="F8">
        <f t="shared" si="0"/>
        <v>28.034512749464277</v>
      </c>
    </row>
    <row r="11" spans="1:7">
      <c r="A11" s="63"/>
      <c r="B11" s="63"/>
      <c r="C11" s="63"/>
      <c r="D11" s="63"/>
      <c r="E11" s="63"/>
      <c r="F11" s="63"/>
      <c r="G11" s="63"/>
    </row>
    <row r="12" spans="1:7">
      <c r="A12" s="93" t="s">
        <v>136</v>
      </c>
      <c r="B12" s="94"/>
      <c r="C12" s="95"/>
      <c r="D12" s="94">
        <f>AVERAGE(D8:D11)</f>
        <v>5.9745000000000008</v>
      </c>
      <c r="E12" s="94">
        <f>AVERAGE(E8:E11)</f>
        <v>2.9872500000000004</v>
      </c>
      <c r="F12" s="94">
        <f>AVERAGE(F8:F11)</f>
        <v>28.034512749464277</v>
      </c>
      <c r="G12" s="96">
        <f>(F12*'Choanocyte Chambers'!G12)/1000000</f>
        <v>0.40252842858589472</v>
      </c>
    </row>
    <row r="18" spans="1:7" ht="49">
      <c r="B18" s="97" t="s">
        <v>137</v>
      </c>
      <c r="C18" s="97" t="s">
        <v>138</v>
      </c>
      <c r="D18" s="97" t="s">
        <v>132</v>
      </c>
      <c r="E18" s="98" t="s">
        <v>133</v>
      </c>
      <c r="F18" s="98" t="s">
        <v>134</v>
      </c>
      <c r="G18" s="98"/>
    </row>
    <row r="19" spans="1:7">
      <c r="A19" t="s">
        <v>214</v>
      </c>
      <c r="B19">
        <v>6.2910000000000004</v>
      </c>
      <c r="C19">
        <v>5.6580000000000004</v>
      </c>
      <c r="D19">
        <f>(B19+C19)/2</f>
        <v>5.9745000000000008</v>
      </c>
      <c r="E19">
        <f>D19/2</f>
        <v>2.9872500000000004</v>
      </c>
      <c r="F19">
        <f>PI()*E19^2</f>
        <v>28.034512749464277</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T35"/>
  <sheetViews>
    <sheetView workbookViewId="0">
      <selection activeCell="B6" sqref="B6"/>
    </sheetView>
  </sheetViews>
  <sheetFormatPr baseColWidth="10" defaultRowHeight="15" x14ac:dyDescent="0"/>
  <cols>
    <col min="13" max="13" width="16.33203125" customWidth="1"/>
    <col min="14" max="14" width="19.6640625" customWidth="1"/>
    <col min="15" max="15" width="18.6640625" customWidth="1"/>
  </cols>
  <sheetData>
    <row r="2" spans="1:20">
      <c r="A2" t="s">
        <v>341</v>
      </c>
    </row>
    <row r="6" spans="1:20">
      <c r="L6" s="208" t="s">
        <v>302</v>
      </c>
      <c r="M6" s="208"/>
      <c r="N6" s="208"/>
      <c r="O6" s="208"/>
      <c r="P6" s="208"/>
    </row>
    <row r="7" spans="1:20">
      <c r="D7" t="s">
        <v>148</v>
      </c>
      <c r="E7" t="s">
        <v>149</v>
      </c>
      <c r="F7" t="s">
        <v>155</v>
      </c>
      <c r="G7" t="s">
        <v>42</v>
      </c>
      <c r="H7" t="s">
        <v>154</v>
      </c>
      <c r="I7" t="s">
        <v>156</v>
      </c>
      <c r="J7" t="s">
        <v>153</v>
      </c>
      <c r="K7" t="s">
        <v>150</v>
      </c>
      <c r="L7" s="176" t="s">
        <v>301</v>
      </c>
      <c r="M7" s="176" t="s">
        <v>159</v>
      </c>
      <c r="N7" s="176" t="s">
        <v>160</v>
      </c>
      <c r="O7" s="176" t="s">
        <v>152</v>
      </c>
      <c r="P7" s="176" t="s">
        <v>157</v>
      </c>
      <c r="Q7" s="176" t="s">
        <v>326</v>
      </c>
      <c r="R7" t="s">
        <v>305</v>
      </c>
      <c r="S7" t="s">
        <v>304</v>
      </c>
      <c r="T7" t="s">
        <v>306</v>
      </c>
    </row>
    <row r="8" spans="1:20">
      <c r="A8" t="s">
        <v>325</v>
      </c>
      <c r="B8" t="s">
        <v>210</v>
      </c>
      <c r="C8">
        <v>1</v>
      </c>
      <c r="D8">
        <v>2.0750000000000002</v>
      </c>
      <c r="E8">
        <v>1.585</v>
      </c>
      <c r="F8">
        <f>(D8+E8)/2*10</f>
        <v>18.3</v>
      </c>
      <c r="G8">
        <f t="shared" ref="G8:G17" si="0">F8*1000</f>
        <v>18300</v>
      </c>
      <c r="H8">
        <f>F8/2</f>
        <v>9.15</v>
      </c>
      <c r="I8">
        <f>G8/2</f>
        <v>9150</v>
      </c>
      <c r="J8" s="86">
        <v>2.5830763846437828</v>
      </c>
      <c r="K8">
        <f>J8*100000000</f>
        <v>258307638.46437827</v>
      </c>
      <c r="L8" s="11">
        <v>9.4329891000000003</v>
      </c>
      <c r="M8" s="176">
        <f>L8/100</f>
        <v>9.4329890999999999E-2</v>
      </c>
      <c r="N8" s="176">
        <f t="shared" ref="N8:N17" si="1">(J8*L8)</f>
        <v>24.36613138081221</v>
      </c>
      <c r="O8" s="176">
        <f t="shared" ref="O8:O17" si="2">(J8*L8)/1000*60*60</f>
        <v>87.718072970923956</v>
      </c>
      <c r="P8" s="176">
        <f>'Sponge Volume'!M14</f>
        <v>40.063783958035465</v>
      </c>
      <c r="Q8">
        <v>1.3479241071428631</v>
      </c>
      <c r="R8">
        <v>2.5127259672872966</v>
      </c>
      <c r="S8">
        <f>M8/R8</f>
        <v>3.7540858903065029E-2</v>
      </c>
      <c r="T8">
        <f>N8/R8</f>
        <v>9.6970906091751576</v>
      </c>
    </row>
    <row r="9" spans="1:20">
      <c r="A9" t="s">
        <v>325</v>
      </c>
      <c r="B9" t="s">
        <v>210</v>
      </c>
      <c r="C9">
        <v>2</v>
      </c>
      <c r="D9">
        <v>1.837</v>
      </c>
      <c r="E9">
        <v>1.3220000000000001</v>
      </c>
      <c r="F9">
        <f t="shared" ref="F9:F17" si="3">(D9+E9)/2*10</f>
        <v>15.794999999999998</v>
      </c>
      <c r="G9">
        <f t="shared" si="0"/>
        <v>15794.999999999998</v>
      </c>
      <c r="H9">
        <f t="shared" ref="H9:H17" si="4">F9/2</f>
        <v>7.8974999999999991</v>
      </c>
      <c r="I9">
        <f t="shared" ref="I9:I18" si="5">G9/2</f>
        <v>7897.4999999999991</v>
      </c>
      <c r="J9" s="86">
        <v>1.9073504353849908</v>
      </c>
      <c r="K9">
        <f t="shared" ref="K9:K17" si="6">J9*100000000</f>
        <v>190735043.53849909</v>
      </c>
      <c r="L9" s="11">
        <v>5.2080425999999997</v>
      </c>
      <c r="M9" s="176">
        <f t="shared" ref="M9:M17" si="7">L9/100</f>
        <v>5.2080425999999999E-2</v>
      </c>
      <c r="N9" s="176">
        <f t="shared" si="1"/>
        <v>9.9335623206135786</v>
      </c>
      <c r="O9" s="176">
        <f t="shared" si="2"/>
        <v>35.760824354208886</v>
      </c>
      <c r="P9" s="176">
        <f>'Sponge Volume'!M15</f>
        <v>51.372994450120544</v>
      </c>
      <c r="Q9">
        <v>5.5359595338679286</v>
      </c>
      <c r="R9">
        <v>3.2220186018209009</v>
      </c>
      <c r="S9">
        <f t="shared" ref="S9:S17" si="8">M9/R9</f>
        <v>1.6163912266231831E-2</v>
      </c>
      <c r="T9">
        <f t="shared" ref="T9:T17" si="9">N9/R9</f>
        <v>3.0830245098522076</v>
      </c>
    </row>
    <row r="10" spans="1:20">
      <c r="A10" t="s">
        <v>325</v>
      </c>
      <c r="B10" t="s">
        <v>210</v>
      </c>
      <c r="C10">
        <v>3</v>
      </c>
      <c r="D10">
        <v>1.5369999999999999</v>
      </c>
      <c r="E10">
        <v>1.502</v>
      </c>
      <c r="F10">
        <f t="shared" si="3"/>
        <v>15.194999999999999</v>
      </c>
      <c r="G10">
        <f t="shared" si="0"/>
        <v>15194.999999999998</v>
      </c>
      <c r="H10">
        <f t="shared" si="4"/>
        <v>7.5974999999999993</v>
      </c>
      <c r="I10">
        <f t="shared" si="5"/>
        <v>7597.4999999999991</v>
      </c>
      <c r="J10" s="86">
        <v>1.8131497796671008</v>
      </c>
      <c r="K10">
        <f t="shared" si="6"/>
        <v>181314977.96671009</v>
      </c>
      <c r="L10" s="11">
        <v>7.046773</v>
      </c>
      <c r="M10" s="176">
        <f t="shared" si="7"/>
        <v>7.0467730000000006E-2</v>
      </c>
      <c r="N10" s="176">
        <f t="shared" si="1"/>
        <v>12.776854912314075</v>
      </c>
      <c r="O10" s="176">
        <f t="shared" si="2"/>
        <v>45.996677684330677</v>
      </c>
      <c r="P10" s="176">
        <f>'Sponge Volume'!M17</f>
        <v>20.877532648899848</v>
      </c>
      <c r="Q10">
        <v>0.80019791666667084</v>
      </c>
      <c r="R10">
        <v>1.30939999263992</v>
      </c>
      <c r="S10">
        <f t="shared" si="8"/>
        <v>5.3816809528101445E-2</v>
      </c>
      <c r="T10">
        <f t="shared" si="9"/>
        <v>9.7577936338263456</v>
      </c>
    </row>
    <row r="11" spans="1:20">
      <c r="A11" t="s">
        <v>325</v>
      </c>
      <c r="B11" t="s">
        <v>210</v>
      </c>
      <c r="C11">
        <v>4</v>
      </c>
      <c r="D11">
        <v>1.1303000000000001</v>
      </c>
      <c r="E11">
        <v>1.2445999999999999</v>
      </c>
      <c r="F11">
        <f t="shared" si="3"/>
        <v>11.874500000000001</v>
      </c>
      <c r="G11">
        <f t="shared" si="0"/>
        <v>11874.500000000002</v>
      </c>
      <c r="H11">
        <f t="shared" si="4"/>
        <v>5.9372500000000006</v>
      </c>
      <c r="I11">
        <f t="shared" si="5"/>
        <v>5937.2500000000009</v>
      </c>
      <c r="J11" s="86">
        <v>1.1048756581720938</v>
      </c>
      <c r="K11">
        <f t="shared" si="6"/>
        <v>110487565.81720938</v>
      </c>
      <c r="L11" s="11">
        <v>6.2644242999999999</v>
      </c>
      <c r="M11" s="176">
        <f t="shared" si="7"/>
        <v>6.2644243000000002E-2</v>
      </c>
      <c r="N11" s="176">
        <f t="shared" si="1"/>
        <v>6.9214099215317573</v>
      </c>
      <c r="O11" s="176">
        <f t="shared" si="2"/>
        <v>24.917075717514326</v>
      </c>
      <c r="P11" s="176">
        <f>'Sponge Volume'!M18</f>
        <v>20.122526312657996</v>
      </c>
      <c r="Q11">
        <v>2.2155800624594066</v>
      </c>
      <c r="R11">
        <v>1.2620474003703412</v>
      </c>
      <c r="S11">
        <f t="shared" si="8"/>
        <v>4.9636996979366521E-2</v>
      </c>
      <c r="T11">
        <f t="shared" si="9"/>
        <v>5.4842709707263815</v>
      </c>
    </row>
    <row r="12" spans="1:20">
      <c r="A12" t="s">
        <v>325</v>
      </c>
      <c r="B12" t="s">
        <v>210</v>
      </c>
      <c r="C12">
        <v>7</v>
      </c>
      <c r="D12">
        <v>1.496</v>
      </c>
      <c r="E12">
        <v>1.121</v>
      </c>
      <c r="F12">
        <f t="shared" si="3"/>
        <v>13.085000000000001</v>
      </c>
      <c r="G12">
        <f t="shared" si="0"/>
        <v>13085</v>
      </c>
      <c r="H12">
        <f t="shared" si="4"/>
        <v>6.5425000000000004</v>
      </c>
      <c r="I12">
        <f t="shared" si="5"/>
        <v>6542.5</v>
      </c>
      <c r="J12" s="86">
        <v>1.3171252863881351</v>
      </c>
      <c r="K12">
        <f t="shared" si="6"/>
        <v>131712528.63881351</v>
      </c>
      <c r="L12" s="11">
        <v>9.0475873999999994</v>
      </c>
      <c r="M12" s="176">
        <f t="shared" si="7"/>
        <v>9.0475873999999998E-2</v>
      </c>
      <c r="N12" s="176">
        <f t="shared" si="1"/>
        <v>11.916806145346682</v>
      </c>
      <c r="O12" s="176">
        <f t="shared" si="2"/>
        <v>42.900502123248053</v>
      </c>
      <c r="P12" s="176">
        <f>'Sponge Volume'!M19</f>
        <v>22.317042995173701</v>
      </c>
      <c r="Q12">
        <v>1.2615312500000002</v>
      </c>
      <c r="R12">
        <v>1.3996834024908154</v>
      </c>
      <c r="S12">
        <f t="shared" si="8"/>
        <v>6.4640242099744186E-2</v>
      </c>
      <c r="T12">
        <f t="shared" si="9"/>
        <v>8.5139297387823945</v>
      </c>
    </row>
    <row r="13" spans="1:20">
      <c r="A13" t="s">
        <v>325</v>
      </c>
      <c r="B13" t="s">
        <v>210</v>
      </c>
      <c r="C13">
        <v>8</v>
      </c>
      <c r="D13">
        <v>2.2797000000000001</v>
      </c>
      <c r="E13">
        <v>1.9135000000000002</v>
      </c>
      <c r="F13">
        <f t="shared" si="3"/>
        <v>20.966000000000001</v>
      </c>
      <c r="G13">
        <f t="shared" si="0"/>
        <v>20966</v>
      </c>
      <c r="H13">
        <f t="shared" si="4"/>
        <v>10.483000000000001</v>
      </c>
      <c r="I13">
        <f t="shared" si="5"/>
        <v>10483</v>
      </c>
      <c r="J13" s="86">
        <v>3.4260685414914218</v>
      </c>
      <c r="K13">
        <f t="shared" si="6"/>
        <v>342606854.14914221</v>
      </c>
      <c r="L13" s="11">
        <v>6.2147527</v>
      </c>
      <c r="M13" s="176">
        <f t="shared" si="7"/>
        <v>6.2147527000000001E-2</v>
      </c>
      <c r="N13" s="176">
        <f t="shared" si="1"/>
        <v>21.292168718618875</v>
      </c>
      <c r="O13" s="176">
        <f t="shared" si="2"/>
        <v>76.651807387027958</v>
      </c>
      <c r="P13" s="176">
        <f>'Sponge Volume'!M20</f>
        <v>35.988997809058176</v>
      </c>
      <c r="Q13">
        <v>2.6677916666666608</v>
      </c>
      <c r="R13">
        <v>2.2571629635929273</v>
      </c>
      <c r="S13">
        <f t="shared" si="8"/>
        <v>2.753346922770443E-2</v>
      </c>
      <c r="T13">
        <f t="shared" si="9"/>
        <v>9.4331552759160253</v>
      </c>
    </row>
    <row r="14" spans="1:20">
      <c r="A14" t="s">
        <v>325</v>
      </c>
      <c r="B14" t="s">
        <v>211</v>
      </c>
      <c r="C14">
        <v>1</v>
      </c>
      <c r="D14">
        <v>1.988</v>
      </c>
      <c r="E14">
        <v>1.508</v>
      </c>
      <c r="F14">
        <f t="shared" si="3"/>
        <v>17.48</v>
      </c>
      <c r="G14">
        <f t="shared" si="0"/>
        <v>17480</v>
      </c>
      <c r="H14">
        <f t="shared" si="4"/>
        <v>8.74</v>
      </c>
      <c r="I14">
        <f t="shared" si="5"/>
        <v>8740</v>
      </c>
      <c r="J14" s="86">
        <v>2.3545482956418637</v>
      </c>
      <c r="K14">
        <f t="shared" si="6"/>
        <v>235454829.56418636</v>
      </c>
      <c r="L14" s="11">
        <v>5.4066653000000002</v>
      </c>
      <c r="M14" s="176">
        <f t="shared" si="7"/>
        <v>5.4066652999999999E-2</v>
      </c>
      <c r="N14" s="176">
        <f t="shared" si="1"/>
        <v>12.730254567221007</v>
      </c>
      <c r="O14" s="176">
        <f t="shared" si="2"/>
        <v>45.828916441995617</v>
      </c>
      <c r="P14" s="176">
        <f>'Sponge Volume'!M21</f>
        <v>121.90783104983262</v>
      </c>
      <c r="Q14">
        <v>5.4309815576628058</v>
      </c>
      <c r="R14">
        <v>7.645832281230394</v>
      </c>
      <c r="S14">
        <f t="shared" si="8"/>
        <v>7.0713888313672776E-3</v>
      </c>
      <c r="T14">
        <f t="shared" si="9"/>
        <v>1.6649926520716734</v>
      </c>
    </row>
    <row r="15" spans="1:20">
      <c r="A15" t="s">
        <v>325</v>
      </c>
      <c r="B15" t="s">
        <v>211</v>
      </c>
      <c r="C15">
        <v>2</v>
      </c>
      <c r="D15">
        <v>1.4119999999999999</v>
      </c>
      <c r="E15">
        <v>1.3240000000000001</v>
      </c>
      <c r="F15">
        <f t="shared" si="3"/>
        <v>13.68</v>
      </c>
      <c r="G15">
        <f t="shared" si="0"/>
        <v>13680</v>
      </c>
      <c r="H15">
        <f t="shared" si="4"/>
        <v>6.84</v>
      </c>
      <c r="I15">
        <f t="shared" si="5"/>
        <v>6840</v>
      </c>
      <c r="J15" s="86">
        <v>1.4682924416935688</v>
      </c>
      <c r="K15">
        <f t="shared" si="6"/>
        <v>146829244.16935688</v>
      </c>
      <c r="L15" s="11">
        <v>3.6403196000000002</v>
      </c>
      <c r="M15" s="176">
        <f t="shared" si="7"/>
        <v>3.6403195999999999E-2</v>
      </c>
      <c r="N15" s="176">
        <f t="shared" si="1"/>
        <v>5.3450537540289558</v>
      </c>
      <c r="O15" s="176">
        <f t="shared" si="2"/>
        <v>19.24219351450424</v>
      </c>
      <c r="P15" s="176">
        <f>'Sponge Volume'!M22</f>
        <v>21.367619765657629</v>
      </c>
      <c r="Q15">
        <v>2.6282086120401353</v>
      </c>
      <c r="R15">
        <v>1.3401373445036411</v>
      </c>
      <c r="S15">
        <f t="shared" si="8"/>
        <v>2.7163780003073477E-2</v>
      </c>
      <c r="T15">
        <f t="shared" si="9"/>
        <v>3.9884372866339697</v>
      </c>
    </row>
    <row r="16" spans="1:20">
      <c r="A16" t="s">
        <v>325</v>
      </c>
      <c r="B16" t="s">
        <v>211</v>
      </c>
      <c r="C16">
        <v>3</v>
      </c>
      <c r="D16">
        <v>1.341</v>
      </c>
      <c r="E16">
        <v>1.258</v>
      </c>
      <c r="F16">
        <f t="shared" si="3"/>
        <v>12.995000000000001</v>
      </c>
      <c r="G16">
        <f t="shared" si="0"/>
        <v>12995.000000000002</v>
      </c>
      <c r="H16">
        <f t="shared" si="4"/>
        <v>6.4975000000000005</v>
      </c>
      <c r="I16">
        <f t="shared" si="5"/>
        <v>6497.5000000000009</v>
      </c>
      <c r="J16" s="86">
        <v>1.3249494228919005</v>
      </c>
      <c r="K16">
        <f t="shared" si="6"/>
        <v>132494942.28919005</v>
      </c>
      <c r="L16" s="11">
        <v>3.5787939999999998</v>
      </c>
      <c r="M16" s="176">
        <f t="shared" si="7"/>
        <v>3.5787939999999997E-2</v>
      </c>
      <c r="N16" s="176">
        <f t="shared" si="1"/>
        <v>4.7417210449489957</v>
      </c>
      <c r="O16" s="176">
        <f t="shared" si="2"/>
        <v>17.070195761816386</v>
      </c>
      <c r="P16" s="176">
        <f>'Sponge Volume'!M23</f>
        <v>19.192605325954528</v>
      </c>
      <c r="Q16">
        <v>3.4944990781710952</v>
      </c>
      <c r="R16">
        <v>1.2037244867568213</v>
      </c>
      <c r="S16">
        <f t="shared" si="8"/>
        <v>2.9731006051412115E-2</v>
      </c>
      <c r="T16">
        <f t="shared" si="9"/>
        <v>3.9392079309814085</v>
      </c>
    </row>
    <row r="17" spans="1:20">
      <c r="A17" t="s">
        <v>325</v>
      </c>
      <c r="B17" t="s">
        <v>211</v>
      </c>
      <c r="C17">
        <v>4</v>
      </c>
      <c r="D17">
        <v>2.7360000000000002</v>
      </c>
      <c r="E17">
        <v>1.8080000000000001</v>
      </c>
      <c r="F17">
        <f t="shared" si="3"/>
        <v>22.720000000000002</v>
      </c>
      <c r="G17">
        <f t="shared" si="0"/>
        <v>22720.000000000004</v>
      </c>
      <c r="H17">
        <f t="shared" si="4"/>
        <v>11.360000000000001</v>
      </c>
      <c r="I17">
        <f t="shared" si="5"/>
        <v>11360.000000000002</v>
      </c>
      <c r="J17" s="86">
        <v>3.8851196701001967</v>
      </c>
      <c r="K17">
        <f t="shared" si="6"/>
        <v>388511967.01001966</v>
      </c>
      <c r="L17" s="11">
        <v>3.4919934000000001</v>
      </c>
      <c r="M17" s="176">
        <f t="shared" si="7"/>
        <v>3.4919934E-2</v>
      </c>
      <c r="N17" s="176">
        <f t="shared" si="1"/>
        <v>13.566812246200065</v>
      </c>
      <c r="O17" s="176">
        <f t="shared" si="2"/>
        <v>48.840524086320229</v>
      </c>
      <c r="P17" s="176">
        <f>'Sponge Volume'!M24</f>
        <v>23.575854224857398</v>
      </c>
      <c r="Q17">
        <v>1.3786770833333331</v>
      </c>
      <c r="R17">
        <v>1.4786337000476359</v>
      </c>
      <c r="S17">
        <f t="shared" si="8"/>
        <v>2.361635204099231E-2</v>
      </c>
      <c r="T17">
        <f t="shared" si="9"/>
        <v>9.1752353850470154</v>
      </c>
    </row>
    <row r="18" spans="1:20">
      <c r="G18" s="10">
        <f>AVERAGE(G8:G17)</f>
        <v>16209.05</v>
      </c>
      <c r="H18" s="6"/>
      <c r="I18" s="10">
        <f t="shared" si="5"/>
        <v>8104.5249999999996</v>
      </c>
      <c r="J18" s="10">
        <f t="shared" ref="J18:Q18" si="10">AVERAGE(J8:J17)</f>
        <v>2.1184555916075052</v>
      </c>
      <c r="K18" s="10">
        <f t="shared" si="10"/>
        <v>211845559.16075054</v>
      </c>
      <c r="L18" s="177">
        <f t="shared" si="10"/>
        <v>5.9332341399999997</v>
      </c>
      <c r="M18" s="177">
        <f t="shared" si="10"/>
        <v>5.9332341400000002E-2</v>
      </c>
      <c r="N18" s="177">
        <f t="shared" si="10"/>
        <v>12.35907750116362</v>
      </c>
      <c r="O18" s="177">
        <f t="shared" si="10"/>
        <v>44.492679004189036</v>
      </c>
      <c r="P18" s="177">
        <f t="shared" si="10"/>
        <v>37.678678854024788</v>
      </c>
      <c r="Q18" s="184">
        <f t="shared" si="10"/>
        <v>2.6761350868010902</v>
      </c>
      <c r="S18">
        <f>AVERAGE(S8:S17)</f>
        <v>3.3691481593105858E-2</v>
      </c>
      <c r="T18">
        <f>AVERAGE(T8:T17)</f>
        <v>6.4737137993012581</v>
      </c>
    </row>
    <row r="19" spans="1:20">
      <c r="Q19">
        <f>STDEV(Q8:Q17)</f>
        <v>1.6871987967289266</v>
      </c>
    </row>
    <row r="20" spans="1:20">
      <c r="A20" t="s">
        <v>158</v>
      </c>
      <c r="B20">
        <v>6676</v>
      </c>
      <c r="Q20">
        <f>Q19/SQRT(COUNT(Q8:Q17))</f>
        <v>0.53353910631588553</v>
      </c>
    </row>
    <row r="22" spans="1:20">
      <c r="A22" s="7"/>
      <c r="B22" s="7"/>
      <c r="C22" s="7"/>
      <c r="D22" s="7"/>
      <c r="E22" s="7"/>
      <c r="F22" s="7"/>
      <c r="G22" s="7"/>
    </row>
    <row r="23" spans="1:20">
      <c r="A23" s="7"/>
      <c r="B23" s="7"/>
      <c r="C23" s="7"/>
      <c r="D23" s="7"/>
      <c r="E23" s="7"/>
      <c r="F23" s="7"/>
      <c r="G23" s="7"/>
    </row>
    <row r="24" spans="1:20">
      <c r="A24" s="7"/>
      <c r="B24" s="7"/>
      <c r="C24" s="7"/>
      <c r="D24" s="7"/>
      <c r="E24" s="7"/>
      <c r="F24" s="7"/>
      <c r="G24" s="7"/>
    </row>
    <row r="25" spans="1:20">
      <c r="A25" s="7"/>
      <c r="B25" s="7"/>
      <c r="C25" s="7"/>
      <c r="D25" s="7"/>
    </row>
    <row r="26" spans="1:20">
      <c r="A26" s="7"/>
      <c r="B26" s="7"/>
      <c r="C26" s="7"/>
      <c r="D26" s="7"/>
    </row>
    <row r="27" spans="1:20">
      <c r="A27" s="7"/>
      <c r="B27" s="7"/>
      <c r="C27" s="7"/>
      <c r="D27" s="7"/>
    </row>
    <row r="28" spans="1:20">
      <c r="A28" s="7"/>
      <c r="B28" s="7"/>
      <c r="C28" s="7"/>
      <c r="D28" s="7"/>
    </row>
    <row r="29" spans="1:20">
      <c r="A29" s="7"/>
      <c r="B29" s="7"/>
      <c r="C29" s="7"/>
      <c r="D29" s="7"/>
    </row>
    <row r="30" spans="1:20">
      <c r="A30" s="7"/>
      <c r="B30" s="7"/>
      <c r="C30" s="7"/>
      <c r="D30" s="7"/>
    </row>
    <row r="31" spans="1:20">
      <c r="A31" s="7"/>
      <c r="B31" s="7"/>
      <c r="C31" s="7"/>
      <c r="D31" s="7"/>
    </row>
    <row r="32" spans="1:20">
      <c r="A32" s="7"/>
      <c r="B32" s="7"/>
      <c r="C32" s="7"/>
      <c r="D32" s="7"/>
    </row>
    <row r="33" spans="1:4">
      <c r="A33" s="7"/>
      <c r="B33" s="7"/>
      <c r="C33" s="7"/>
      <c r="D33" s="7"/>
    </row>
    <row r="34" spans="1:4">
      <c r="A34" s="7"/>
      <c r="B34" s="7"/>
      <c r="C34" s="7"/>
      <c r="D34" s="7"/>
    </row>
    <row r="35" spans="1:4">
      <c r="A35" s="7"/>
      <c r="B35" s="7"/>
      <c r="C35" s="7"/>
      <c r="D35" s="7"/>
    </row>
  </sheetData>
  <mergeCells count="1">
    <mergeCell ref="L6:P6"/>
  </mergeCells>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33"/>
  <sheetViews>
    <sheetView workbookViewId="0">
      <selection activeCell="B10" sqref="B10"/>
    </sheetView>
  </sheetViews>
  <sheetFormatPr baseColWidth="10" defaultRowHeight="15" x14ac:dyDescent="0"/>
  <cols>
    <col min="4" max="4" width="53.5" customWidth="1"/>
  </cols>
  <sheetData>
    <row r="1" spans="1:13">
      <c r="A1" t="s">
        <v>339</v>
      </c>
    </row>
    <row r="3" spans="1:13">
      <c r="A3" t="s">
        <v>340</v>
      </c>
    </row>
    <row r="5" spans="1:13">
      <c r="A5" t="s">
        <v>224</v>
      </c>
    </row>
    <row r="6" spans="1:13">
      <c r="A6" t="s">
        <v>225</v>
      </c>
    </row>
    <row r="7" spans="1:13">
      <c r="A7" t="s">
        <v>226</v>
      </c>
      <c r="B7" t="s">
        <v>227</v>
      </c>
      <c r="C7" t="s">
        <v>228</v>
      </c>
    </row>
    <row r="8" spans="1:13">
      <c r="B8" t="s">
        <v>229</v>
      </c>
    </row>
    <row r="13" spans="1:13">
      <c r="D13" t="s">
        <v>222</v>
      </c>
      <c r="E13" t="s">
        <v>230</v>
      </c>
      <c r="F13" t="s">
        <v>223</v>
      </c>
      <c r="G13" s="209" t="s">
        <v>231</v>
      </c>
      <c r="H13" s="209"/>
      <c r="I13" t="s">
        <v>232</v>
      </c>
      <c r="J13" t="s">
        <v>233</v>
      </c>
      <c r="K13" t="s">
        <v>234</v>
      </c>
      <c r="L13" t="s">
        <v>235</v>
      </c>
      <c r="M13" t="s">
        <v>236</v>
      </c>
    </row>
    <row r="14" spans="1:13">
      <c r="A14" t="s">
        <v>209</v>
      </c>
      <c r="B14" s="112" t="s">
        <v>210</v>
      </c>
      <c r="C14">
        <v>1</v>
      </c>
      <c r="D14" t="s">
        <v>215</v>
      </c>
      <c r="E14">
        <f>163.577/10</f>
        <v>16.357700000000001</v>
      </c>
      <c r="F14">
        <f>E14*10000</f>
        <v>163577</v>
      </c>
      <c r="G14">
        <f>27.6/10</f>
        <v>2.7600000000000002</v>
      </c>
      <c r="H14">
        <f>23.262/10</f>
        <v>2.3262</v>
      </c>
      <c r="I14">
        <f>18.3/10</f>
        <v>1.83</v>
      </c>
      <c r="J14">
        <f>2.89/10</f>
        <v>0.28900000000000003</v>
      </c>
      <c r="K14">
        <f t="shared" ref="K14:K21" si="0">((G14+H14)/2)/2</f>
        <v>1.27155</v>
      </c>
      <c r="L14">
        <f>I14/2</f>
        <v>0.91500000000000004</v>
      </c>
      <c r="M14">
        <f>PI()*E14*((K14^2)-(L14^2))</f>
        <v>40.063783958035465</v>
      </c>
    </row>
    <row r="15" spans="1:13">
      <c r="A15" t="s">
        <v>209</v>
      </c>
      <c r="B15" s="112" t="s">
        <v>210</v>
      </c>
      <c r="C15">
        <v>2</v>
      </c>
      <c r="D15" t="s">
        <v>216</v>
      </c>
      <c r="E15">
        <f>161.086/10</f>
        <v>16.108600000000003</v>
      </c>
      <c r="F15">
        <f t="shared" ref="F15:F25" si="1">E15*10000</f>
        <v>161086.00000000003</v>
      </c>
      <c r="G15">
        <f>28.569/10</f>
        <v>2.8569</v>
      </c>
      <c r="H15">
        <f>22.638/10</f>
        <v>2.2638000000000003</v>
      </c>
      <c r="I15">
        <f>15.795/10</f>
        <v>1.5794999999999999</v>
      </c>
      <c r="J15">
        <f>3.176/10</f>
        <v>0.31759999999999999</v>
      </c>
      <c r="K15">
        <f t="shared" si="0"/>
        <v>1.2801750000000001</v>
      </c>
      <c r="L15">
        <f t="shared" ref="L15:L21" si="2">I15/2</f>
        <v>0.78974999999999995</v>
      </c>
      <c r="M15">
        <f t="shared" ref="M15:M21" si="3">PI()*E15*((K15^2)-(L15^2))</f>
        <v>51.372994450120544</v>
      </c>
    </row>
    <row r="16" spans="1:13">
      <c r="B16" s="112"/>
      <c r="C16">
        <v>3</v>
      </c>
      <c r="E16">
        <v>20.288</v>
      </c>
      <c r="F16">
        <f t="shared" si="1"/>
        <v>202880</v>
      </c>
      <c r="G16">
        <v>2.492</v>
      </c>
      <c r="H16">
        <v>2.7069999999999999</v>
      </c>
      <c r="I16">
        <v>1.51</v>
      </c>
      <c r="J16">
        <v>0.52600000000000002</v>
      </c>
      <c r="K16">
        <f t="shared" ref="K16" si="4">((G16+H16)/2)/2</f>
        <v>1.29975</v>
      </c>
      <c r="L16">
        <f t="shared" ref="L16" si="5">I16/2</f>
        <v>0.755</v>
      </c>
      <c r="M16">
        <f t="shared" ref="M16" si="6">PI()*E16*((K16^2)-(L16^2))</f>
        <v>71.342009323857454</v>
      </c>
    </row>
    <row r="17" spans="1:13">
      <c r="A17" t="s">
        <v>209</v>
      </c>
      <c r="B17" s="112" t="s">
        <v>210</v>
      </c>
      <c r="C17">
        <v>4</v>
      </c>
      <c r="D17" t="s">
        <v>217</v>
      </c>
      <c r="E17">
        <f>142.257/10</f>
        <v>14.2257</v>
      </c>
      <c r="F17">
        <f t="shared" si="1"/>
        <v>142257</v>
      </c>
      <c r="G17">
        <f>19.538/10</f>
        <v>1.9538</v>
      </c>
      <c r="H17">
        <f>16.676/10</f>
        <v>1.6675999999999997</v>
      </c>
      <c r="I17">
        <f>11.8745/10</f>
        <v>1.1874499999999999</v>
      </c>
      <c r="J17">
        <f>2.591/10</f>
        <v>0.2591</v>
      </c>
      <c r="K17">
        <f t="shared" si="0"/>
        <v>0.90534999999999988</v>
      </c>
      <c r="L17">
        <f t="shared" si="2"/>
        <v>0.59372499999999995</v>
      </c>
      <c r="M17">
        <f t="shared" si="3"/>
        <v>20.877532648899848</v>
      </c>
    </row>
    <row r="18" spans="1:13">
      <c r="A18" t="s">
        <v>209</v>
      </c>
      <c r="B18" s="112" t="s">
        <v>210</v>
      </c>
      <c r="C18">
        <v>5</v>
      </c>
      <c r="D18" t="s">
        <v>218</v>
      </c>
      <c r="E18">
        <v>14.385</v>
      </c>
      <c r="F18">
        <f t="shared" si="1"/>
        <v>143850</v>
      </c>
      <c r="G18">
        <f>21.439/10</f>
        <v>2.1438999999999999</v>
      </c>
      <c r="H18">
        <f>19.091/10</f>
        <v>1.9091</v>
      </c>
      <c r="I18">
        <f>15.25/10</f>
        <v>1.5249999999999999</v>
      </c>
      <c r="J18">
        <f>2.407/10</f>
        <v>0.2407</v>
      </c>
      <c r="K18">
        <f t="shared" si="0"/>
        <v>1.01325</v>
      </c>
      <c r="L18">
        <f t="shared" si="2"/>
        <v>0.76249999999999996</v>
      </c>
      <c r="M18">
        <f t="shared" si="3"/>
        <v>20.122526312657996</v>
      </c>
    </row>
    <row r="19" spans="1:13">
      <c r="A19" t="s">
        <v>209</v>
      </c>
      <c r="B19" s="112" t="s">
        <v>210</v>
      </c>
      <c r="C19">
        <v>6</v>
      </c>
      <c r="D19" t="s">
        <v>219</v>
      </c>
      <c r="E19">
        <v>14.609</v>
      </c>
      <c r="F19">
        <f t="shared" si="1"/>
        <v>146090</v>
      </c>
      <c r="G19">
        <f>21.823/10</f>
        <v>2.1823000000000001</v>
      </c>
      <c r="H19">
        <f>22.511/10</f>
        <v>2.2511000000000001</v>
      </c>
      <c r="I19">
        <f>17.23/10</f>
        <v>1.7230000000000001</v>
      </c>
      <c r="J19">
        <f>2.858/10</f>
        <v>0.2858</v>
      </c>
      <c r="K19">
        <f t="shared" si="0"/>
        <v>1.1083500000000002</v>
      </c>
      <c r="L19">
        <f t="shared" si="2"/>
        <v>0.86150000000000004</v>
      </c>
      <c r="M19">
        <f t="shared" si="3"/>
        <v>22.317042995173701</v>
      </c>
    </row>
    <row r="20" spans="1:13">
      <c r="A20" t="s">
        <v>209</v>
      </c>
      <c r="B20" s="112" t="s">
        <v>210</v>
      </c>
      <c r="C20">
        <v>7</v>
      </c>
      <c r="D20" t="s">
        <v>220</v>
      </c>
      <c r="E20">
        <v>17.187999999999999</v>
      </c>
      <c r="F20">
        <f t="shared" si="1"/>
        <v>171880</v>
      </c>
      <c r="G20">
        <f>22.161/10</f>
        <v>2.2161</v>
      </c>
      <c r="H20">
        <f>19.687/10</f>
        <v>1.9687000000000001</v>
      </c>
      <c r="I20">
        <f>13.085/10</f>
        <v>1.3085</v>
      </c>
      <c r="J20">
        <f>4.351/10</f>
        <v>0.43509999999999999</v>
      </c>
      <c r="K20">
        <f t="shared" si="0"/>
        <v>1.0462</v>
      </c>
      <c r="L20">
        <f t="shared" si="2"/>
        <v>0.65425</v>
      </c>
      <c r="M20">
        <f t="shared" si="3"/>
        <v>35.988997809058176</v>
      </c>
    </row>
    <row r="21" spans="1:13">
      <c r="A21" t="s">
        <v>209</v>
      </c>
      <c r="B21" s="112" t="s">
        <v>210</v>
      </c>
      <c r="C21">
        <v>8</v>
      </c>
      <c r="D21" t="s">
        <v>221</v>
      </c>
      <c r="E21">
        <v>38.646000000000001</v>
      </c>
      <c r="F21">
        <f t="shared" si="1"/>
        <v>386460</v>
      </c>
      <c r="G21">
        <f>26.874/10</f>
        <v>2.6873999999999998</v>
      </c>
      <c r="H21">
        <f>23.39/10</f>
        <v>2.339</v>
      </c>
      <c r="I21">
        <f>15.165/10</f>
        <v>1.5165</v>
      </c>
      <c r="J21">
        <f>2.691/10</f>
        <v>0.26910000000000001</v>
      </c>
      <c r="K21">
        <f t="shared" si="0"/>
        <v>1.2565999999999999</v>
      </c>
      <c r="L21">
        <f t="shared" si="2"/>
        <v>0.75824999999999998</v>
      </c>
      <c r="M21">
        <f t="shared" si="3"/>
        <v>121.90783104983262</v>
      </c>
    </row>
    <row r="22" spans="1:13">
      <c r="A22" t="s">
        <v>209</v>
      </c>
      <c r="B22" s="112" t="s">
        <v>211</v>
      </c>
      <c r="C22">
        <v>1</v>
      </c>
      <c r="D22" t="s">
        <v>237</v>
      </c>
      <c r="E22" s="114">
        <v>13.45</v>
      </c>
      <c r="F22">
        <f t="shared" si="1"/>
        <v>134500</v>
      </c>
      <c r="G22">
        <v>2.4430000000000001</v>
      </c>
      <c r="H22">
        <v>2.0640000000000001</v>
      </c>
      <c r="I22">
        <f>17.48/10</f>
        <v>1.748</v>
      </c>
      <c r="J22">
        <v>0.23300000000000001</v>
      </c>
      <c r="K22">
        <f t="shared" ref="K22:K25" si="7">((G22+H22)/2)/2</f>
        <v>1.1267499999999999</v>
      </c>
      <c r="L22">
        <f t="shared" ref="L22:L25" si="8">I22/2</f>
        <v>0.874</v>
      </c>
      <c r="M22">
        <f t="shared" ref="M22:M25" si="9">PI()*E22*((K22^2)-(L22^2))</f>
        <v>21.367619765657629</v>
      </c>
    </row>
    <row r="23" spans="1:13">
      <c r="A23" t="s">
        <v>209</v>
      </c>
      <c r="B23" s="112" t="s">
        <v>211</v>
      </c>
      <c r="C23">
        <v>2</v>
      </c>
      <c r="D23" t="s">
        <v>238</v>
      </c>
      <c r="E23">
        <v>25.742000000000001</v>
      </c>
      <c r="F23">
        <f t="shared" si="1"/>
        <v>257420</v>
      </c>
      <c r="G23">
        <v>1.77</v>
      </c>
      <c r="H23">
        <v>1.589</v>
      </c>
      <c r="I23">
        <f>13.68/10</f>
        <v>1.3679999999999999</v>
      </c>
      <c r="J23">
        <v>0.219</v>
      </c>
      <c r="K23">
        <f t="shared" si="7"/>
        <v>0.83975</v>
      </c>
      <c r="L23">
        <f t="shared" si="8"/>
        <v>0.68399999999999994</v>
      </c>
      <c r="M23">
        <f t="shared" si="9"/>
        <v>19.192605325954528</v>
      </c>
    </row>
    <row r="24" spans="1:13">
      <c r="A24" t="s">
        <v>209</v>
      </c>
      <c r="B24" s="112" t="s">
        <v>211</v>
      </c>
      <c r="C24">
        <v>3</v>
      </c>
      <c r="D24" t="s">
        <v>239</v>
      </c>
      <c r="E24">
        <v>21.878</v>
      </c>
      <c r="F24">
        <f t="shared" si="1"/>
        <v>218780</v>
      </c>
      <c r="G24">
        <v>1.8089999999999999</v>
      </c>
      <c r="H24">
        <v>1.69</v>
      </c>
      <c r="I24">
        <f>12.995/10</f>
        <v>1.2994999999999999</v>
      </c>
      <c r="J24">
        <v>0.191</v>
      </c>
      <c r="K24">
        <f t="shared" si="7"/>
        <v>0.87474999999999992</v>
      </c>
      <c r="L24">
        <f t="shared" si="8"/>
        <v>0.64974999999999994</v>
      </c>
      <c r="M24">
        <f t="shared" si="9"/>
        <v>23.575854224857398</v>
      </c>
    </row>
    <row r="25" spans="1:13">
      <c r="A25" s="63" t="s">
        <v>209</v>
      </c>
      <c r="B25" s="115" t="s">
        <v>211</v>
      </c>
      <c r="C25" s="63">
        <v>4</v>
      </c>
      <c r="D25" s="63" t="s">
        <v>240</v>
      </c>
      <c r="E25" s="63">
        <v>25.213999999999999</v>
      </c>
      <c r="F25" s="63">
        <f t="shared" si="1"/>
        <v>252140</v>
      </c>
      <c r="G25" s="63">
        <v>3.173</v>
      </c>
      <c r="H25" s="63">
        <v>2.4630000000000001</v>
      </c>
      <c r="I25" s="63">
        <f>22.72/10</f>
        <v>2.2719999999999998</v>
      </c>
      <c r="J25" s="63">
        <v>0.246</v>
      </c>
      <c r="K25" s="63">
        <f t="shared" si="7"/>
        <v>1.409</v>
      </c>
      <c r="L25" s="63">
        <f t="shared" si="8"/>
        <v>1.1359999999999999</v>
      </c>
      <c r="M25" s="63">
        <f t="shared" si="9"/>
        <v>55.035390826300045</v>
      </c>
    </row>
    <row r="26" spans="1:13">
      <c r="E26">
        <f>AVERAGE(E14:E25)</f>
        <v>19.840999999999998</v>
      </c>
      <c r="F26">
        <f t="shared" ref="F26:M26" si="10">AVERAGE(F14:F25)</f>
        <v>198410</v>
      </c>
      <c r="G26">
        <f t="shared" si="10"/>
        <v>2.3739500000000002</v>
      </c>
      <c r="H26">
        <f t="shared" si="10"/>
        <v>2.1032083333333333</v>
      </c>
      <c r="I26">
        <f t="shared" si="10"/>
        <v>1.5722874999999998</v>
      </c>
      <c r="J26">
        <f t="shared" si="10"/>
        <v>0.29261666666666664</v>
      </c>
      <c r="K26">
        <f t="shared" si="10"/>
        <v>1.1192895833333334</v>
      </c>
      <c r="L26">
        <f t="shared" si="10"/>
        <v>0.78614374999999992</v>
      </c>
      <c r="M26">
        <f t="shared" si="10"/>
        <v>41.930349057533782</v>
      </c>
    </row>
    <row r="30" spans="1:13">
      <c r="K30" s="87"/>
    </row>
    <row r="32" spans="1:13">
      <c r="J32" s="87"/>
      <c r="K32" s="87"/>
    </row>
    <row r="33" spans="10:10">
      <c r="J33" s="87"/>
    </row>
  </sheetData>
  <mergeCells count="1">
    <mergeCell ref="G13:H13"/>
  </mergeCells>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N24"/>
  <sheetViews>
    <sheetView topLeftCell="A4" workbookViewId="0">
      <selection activeCell="A5" sqref="A5"/>
    </sheetView>
  </sheetViews>
  <sheetFormatPr baseColWidth="10" defaultColWidth="8.83203125" defaultRowHeight="15" x14ac:dyDescent="0"/>
  <cols>
    <col min="1" max="1" width="22.6640625" customWidth="1"/>
    <col min="2" max="6" width="9.5" customWidth="1"/>
    <col min="7" max="7" width="11.6640625" customWidth="1"/>
    <col min="8" max="11" width="9.5" customWidth="1"/>
  </cols>
  <sheetData>
    <row r="7" spans="1:14" s="1" customFormat="1">
      <c r="B7" s="210" t="s">
        <v>50</v>
      </c>
      <c r="C7" s="211"/>
      <c r="D7" s="210" t="s">
        <v>51</v>
      </c>
      <c r="E7" s="211"/>
      <c r="F7" s="212" t="s">
        <v>114</v>
      </c>
      <c r="G7" s="213"/>
      <c r="H7" s="42" t="s">
        <v>113</v>
      </c>
      <c r="I7" s="43"/>
      <c r="J7" s="212" t="s">
        <v>52</v>
      </c>
      <c r="K7" s="213"/>
      <c r="L7" s="214">
        <f>[1]Callyspongia!A2</f>
        <v>0</v>
      </c>
      <c r="M7" s="215"/>
      <c r="N7" s="216"/>
    </row>
    <row r="8" spans="1:14" s="18" customFormat="1" ht="61" thickBot="1">
      <c r="A8" s="18" t="s">
        <v>45</v>
      </c>
      <c r="B8" s="19" t="s">
        <v>19</v>
      </c>
      <c r="C8" s="20" t="s">
        <v>49</v>
      </c>
      <c r="D8" s="19" t="s">
        <v>19</v>
      </c>
      <c r="E8" s="20" t="s">
        <v>49</v>
      </c>
      <c r="F8" s="27" t="s">
        <v>19</v>
      </c>
      <c r="G8" s="28" t="s">
        <v>49</v>
      </c>
      <c r="H8" s="44" t="s">
        <v>19</v>
      </c>
      <c r="I8" s="28" t="s">
        <v>49</v>
      </c>
      <c r="J8" s="27" t="s">
        <v>19</v>
      </c>
      <c r="K8" s="28" t="s">
        <v>49</v>
      </c>
      <c r="L8" s="133" t="s">
        <v>19</v>
      </c>
      <c r="M8" s="134" t="s">
        <v>49</v>
      </c>
      <c r="N8" s="124" t="s">
        <v>151</v>
      </c>
    </row>
    <row r="9" spans="1:14" ht="16" thickTop="1">
      <c r="A9" t="s">
        <v>12</v>
      </c>
      <c r="B9" s="21" t="s">
        <v>46</v>
      </c>
      <c r="C9" s="22">
        <v>0.3</v>
      </c>
      <c r="D9" s="45">
        <v>3.8879539623796582</v>
      </c>
      <c r="E9" s="46">
        <v>0.25862424662605926</v>
      </c>
      <c r="F9" s="47">
        <f>[1]Callyspongia!C12</f>
        <v>0</v>
      </c>
      <c r="G9" s="48">
        <f>[1]Callyspongia!H12</f>
        <v>0</v>
      </c>
      <c r="H9" s="49">
        <v>22.303762962962963</v>
      </c>
      <c r="I9" s="50">
        <v>0.14119280564025288</v>
      </c>
      <c r="J9" s="47">
        <v>15.999999999999998</v>
      </c>
      <c r="K9" s="129">
        <v>6.7985320539673596E-3</v>
      </c>
      <c r="L9" s="125">
        <f>[1]Callyspongia!C12</f>
        <v>0</v>
      </c>
      <c r="M9" s="127">
        <f>[1]Callyspongia!H12</f>
        <v>0</v>
      </c>
      <c r="N9" s="135">
        <f>[1]Callyspongia!K12*1000</f>
        <v>0</v>
      </c>
    </row>
    <row r="10" spans="1:14">
      <c r="A10" t="s">
        <v>65</v>
      </c>
      <c r="B10" s="21"/>
      <c r="C10" s="22">
        <v>0.95</v>
      </c>
      <c r="D10" s="45">
        <v>90</v>
      </c>
      <c r="E10" s="46">
        <v>0.92773995849848556</v>
      </c>
      <c r="F10" s="47">
        <f>[1]Callyspongia!C13</f>
        <v>0</v>
      </c>
      <c r="G10" s="48">
        <f>[1]Callyspongia!H13</f>
        <v>0</v>
      </c>
      <c r="H10" s="49"/>
      <c r="I10" s="50"/>
      <c r="J10" s="51"/>
      <c r="K10" s="129"/>
      <c r="L10" s="125">
        <f>[1]Callyspongia!C13</f>
        <v>0</v>
      </c>
      <c r="M10" s="127">
        <f>[1]Callyspongia!H13</f>
        <v>0</v>
      </c>
      <c r="N10" s="135">
        <f>[1]Callyspongia!K13*1000</f>
        <v>0</v>
      </c>
    </row>
    <row r="11" spans="1:14">
      <c r="A11" t="s">
        <v>66</v>
      </c>
      <c r="B11" s="21" t="s">
        <v>47</v>
      </c>
      <c r="C11" s="22">
        <v>0.1</v>
      </c>
      <c r="D11" s="45">
        <v>365.56999999999994</v>
      </c>
      <c r="E11" s="46">
        <v>0.17116292933983332</v>
      </c>
      <c r="F11" s="47">
        <f>[1]Callyspongia!C14</f>
        <v>0</v>
      </c>
      <c r="G11" s="48">
        <f>[1]Callyspongia!H14</f>
        <v>0</v>
      </c>
      <c r="H11" s="49">
        <v>295.5745</v>
      </c>
      <c r="I11" s="50">
        <v>9.1710677675877747E-2</v>
      </c>
      <c r="J11" s="47">
        <v>180.65130952380954</v>
      </c>
      <c r="K11" s="129">
        <v>2.3962217199615526E-2</v>
      </c>
      <c r="L11" s="125">
        <f>[1]Callyspongia!C14</f>
        <v>0</v>
      </c>
      <c r="M11" s="127">
        <f>[1]Callyspongia!H14</f>
        <v>0</v>
      </c>
      <c r="N11" s="135">
        <f>[1]Callyspongia!K14*1000</f>
        <v>0</v>
      </c>
    </row>
    <row r="12" spans="1:14">
      <c r="A12" t="s">
        <v>67</v>
      </c>
      <c r="B12" s="23" t="s">
        <v>48</v>
      </c>
      <c r="C12" s="22">
        <v>2.0699999999999998</v>
      </c>
      <c r="D12" s="45">
        <v>2.1482265858213245</v>
      </c>
      <c r="E12" s="46">
        <v>2.7506314646668373</v>
      </c>
      <c r="F12" s="47">
        <f>[1]Callyspongia!C17</f>
        <v>741.54465006981718</v>
      </c>
      <c r="G12" s="48">
        <f>[1]Callyspongia!H17</f>
        <v>0</v>
      </c>
      <c r="H12" s="49">
        <v>6.944</v>
      </c>
      <c r="I12" s="50"/>
      <c r="J12" s="47">
        <v>7.7914999999999992</v>
      </c>
      <c r="K12" s="129">
        <v>6.7012269589591814E-3</v>
      </c>
      <c r="L12" s="125">
        <f>[1]Callyspongia!C17</f>
        <v>741.54465006981718</v>
      </c>
      <c r="M12" s="127">
        <f>[1]Callyspongia!H17</f>
        <v>0</v>
      </c>
      <c r="N12" s="135" t="e">
        <f>[1]Callyspongia!K17*1000</f>
        <v>#VALUE!</v>
      </c>
    </row>
    <row r="13" spans="1:14">
      <c r="A13" t="s">
        <v>68</v>
      </c>
      <c r="B13" s="23"/>
      <c r="C13" s="22"/>
      <c r="D13" s="45">
        <v>2</v>
      </c>
      <c r="E13" s="46">
        <v>1.609844768035297</v>
      </c>
      <c r="F13" s="51"/>
      <c r="G13" s="48"/>
      <c r="H13" s="49"/>
      <c r="I13" s="50"/>
      <c r="J13" s="51"/>
      <c r="K13" s="129"/>
      <c r="L13" s="125">
        <f>[1]Callyspongia!C18</f>
        <v>0</v>
      </c>
      <c r="M13" s="127">
        <f>[1]Callyspongia!H18</f>
        <v>0</v>
      </c>
      <c r="N13" s="135" t="e">
        <f>[1]Callyspongia!K18*1000</f>
        <v>#VALUE!</v>
      </c>
    </row>
    <row r="14" spans="1:14">
      <c r="A14" t="s">
        <v>69</v>
      </c>
      <c r="B14" s="24"/>
      <c r="C14" s="22"/>
      <c r="D14" s="45">
        <v>4.4999999999999998E-2</v>
      </c>
      <c r="E14" s="46">
        <v>2.5133091651266217</v>
      </c>
      <c r="F14" s="47"/>
      <c r="G14" s="48"/>
      <c r="H14" s="49"/>
      <c r="I14" s="50"/>
      <c r="J14" s="47"/>
      <c r="K14" s="129"/>
      <c r="L14" s="131"/>
      <c r="M14" s="126"/>
      <c r="N14" s="135"/>
    </row>
    <row r="15" spans="1:14">
      <c r="A15" t="s">
        <v>70</v>
      </c>
      <c r="B15" s="24">
        <v>0.12</v>
      </c>
      <c r="C15" s="22">
        <v>56</v>
      </c>
      <c r="D15" s="45">
        <v>0.11857142857142856</v>
      </c>
      <c r="E15" s="46">
        <v>7.2195660635325174</v>
      </c>
      <c r="F15" s="47">
        <f>[1]Callyspongia!C19</f>
        <v>0</v>
      </c>
      <c r="G15" s="48">
        <f>[1]Callyspongia!H19</f>
        <v>0</v>
      </c>
      <c r="H15" s="49">
        <v>5.7000000000000002E-2</v>
      </c>
      <c r="I15" s="50"/>
      <c r="J15" s="47">
        <v>7.116666666666667E-2</v>
      </c>
      <c r="K15" s="129">
        <v>3.2204950049999998E-3</v>
      </c>
      <c r="L15" s="125">
        <f>[1]Callyspongia!C19</f>
        <v>0</v>
      </c>
      <c r="M15" s="127">
        <f>[1]Callyspongia!H19</f>
        <v>0</v>
      </c>
      <c r="N15" s="135" t="e">
        <f>[1]Callyspongia!K19*1000</f>
        <v>#VALUE!</v>
      </c>
    </row>
    <row r="16" spans="1:14">
      <c r="A16" t="s">
        <v>69</v>
      </c>
      <c r="B16" s="24"/>
      <c r="C16" s="22"/>
      <c r="D16" s="45">
        <v>4.4999999999999998E-2</v>
      </c>
      <c r="E16" s="46">
        <v>2.5133091651266217</v>
      </c>
      <c r="F16" s="47"/>
      <c r="G16" s="48"/>
      <c r="H16" s="49"/>
      <c r="I16" s="50"/>
      <c r="J16" s="47"/>
      <c r="K16" s="129"/>
      <c r="L16" s="125"/>
      <c r="M16" s="127"/>
      <c r="N16" s="135"/>
    </row>
    <row r="17" spans="1:14">
      <c r="A17" t="s">
        <v>71</v>
      </c>
      <c r="B17" s="24"/>
      <c r="C17" s="22"/>
      <c r="D17" s="45">
        <v>2</v>
      </c>
      <c r="E17" s="46">
        <v>1.609844768035297</v>
      </c>
      <c r="F17" s="47"/>
      <c r="G17" s="48"/>
      <c r="H17" s="49"/>
      <c r="I17" s="50"/>
      <c r="J17" s="47"/>
      <c r="K17" s="129"/>
      <c r="L17" s="125">
        <f>[1]Callyspongia!C20</f>
        <v>0</v>
      </c>
      <c r="M17" s="127">
        <f>[1]Callyspongia!H20</f>
        <v>0</v>
      </c>
      <c r="N17" s="135" t="e">
        <f>[1]Callyspongia!K20*1000</f>
        <v>#VALUE!</v>
      </c>
    </row>
    <row r="18" spans="1:14">
      <c r="A18" t="s">
        <v>72</v>
      </c>
      <c r="B18" s="24"/>
      <c r="C18" s="22">
        <v>8.1</v>
      </c>
      <c r="D18" s="45">
        <v>2</v>
      </c>
      <c r="E18" s="46">
        <v>4.010226371080833</v>
      </c>
      <c r="F18" s="47"/>
      <c r="G18" s="48"/>
      <c r="H18" s="49"/>
      <c r="I18" s="50"/>
      <c r="J18" s="47"/>
      <c r="K18" s="129"/>
      <c r="L18" s="125"/>
      <c r="M18" s="127"/>
      <c r="N18" s="135"/>
    </row>
    <row r="19" spans="1:14">
      <c r="A19" t="s">
        <v>73</v>
      </c>
      <c r="B19" s="24"/>
      <c r="C19" s="22"/>
      <c r="D19" s="45">
        <v>56.027845995869619</v>
      </c>
      <c r="E19" s="46">
        <v>4.3925029124997206</v>
      </c>
      <c r="F19" s="47">
        <f>[1]Callyspongia!C21</f>
        <v>0</v>
      </c>
      <c r="G19" s="48">
        <f>[1]Callyspongia!H21</f>
        <v>0</v>
      </c>
      <c r="H19" s="49">
        <v>17.143972222222221</v>
      </c>
      <c r="I19" s="50">
        <v>2.4248738428732537</v>
      </c>
      <c r="J19" s="47">
        <v>18.9697</v>
      </c>
      <c r="K19" s="129">
        <v>6.4259442896343444E-2</v>
      </c>
      <c r="L19" s="125">
        <f>[1]Callyspongia!C21</f>
        <v>0</v>
      </c>
      <c r="M19" s="127">
        <f>[1]Callyspongia!H21</f>
        <v>0</v>
      </c>
      <c r="N19" s="135">
        <f>[1]Callyspongia!K21*1000</f>
        <v>0</v>
      </c>
    </row>
    <row r="20" spans="1:14">
      <c r="A20" t="s">
        <v>74</v>
      </c>
      <c r="B20" s="24">
        <v>14</v>
      </c>
      <c r="C20" s="22">
        <v>4.2</v>
      </c>
      <c r="D20" s="45">
        <v>26.370000000000005</v>
      </c>
      <c r="E20" s="46">
        <v>2.0427982377908287</v>
      </c>
      <c r="F20" s="47" t="str">
        <f>[1]Callyspongia!C22</f>
        <v>Diameter (um)</v>
      </c>
      <c r="G20" s="48" t="str">
        <f>[1]Callyspongia!H22</f>
        <v>XS area (mm2) of aquiferous system in 1mm3  pieces</v>
      </c>
      <c r="H20" s="49">
        <v>6.7102000000000004</v>
      </c>
      <c r="I20" s="50"/>
      <c r="J20" s="47"/>
      <c r="K20" s="129"/>
      <c r="L20" s="125" t="str">
        <f>[1]Callyspongia!C22</f>
        <v>Diameter (um)</v>
      </c>
      <c r="M20" s="127" t="str">
        <f>[1]Callyspongia!H22</f>
        <v>XS area (mm2) of aquiferous system in 1mm3  pieces</v>
      </c>
      <c r="N20" s="135" t="e">
        <f>[1]Callyspongia!K22*1000</f>
        <v>#VALUE!</v>
      </c>
    </row>
    <row r="21" spans="1:14">
      <c r="A21" t="s">
        <v>75</v>
      </c>
      <c r="B21" s="24"/>
      <c r="C21" s="22">
        <v>0.03</v>
      </c>
      <c r="D21" s="45">
        <v>405</v>
      </c>
      <c r="E21" s="46">
        <v>0.21007707382627713</v>
      </c>
      <c r="F21" s="47">
        <f>[1]Callyspongia!C25</f>
        <v>406.50412499999999</v>
      </c>
      <c r="G21" s="48">
        <f>[1]Callyspongia!H25</f>
        <v>0.1405165127072632</v>
      </c>
      <c r="H21" s="49"/>
      <c r="I21" s="50"/>
      <c r="J21" s="47"/>
      <c r="K21" s="129"/>
      <c r="L21" s="125">
        <f>[1]Callyspongia!C25</f>
        <v>406.50412499999999</v>
      </c>
      <c r="M21" s="127">
        <f>[1]Callyspongia!H25</f>
        <v>0.1405165127072632</v>
      </c>
      <c r="N21" s="135">
        <f>[1]Callyspongia!K25*1000</f>
        <v>0.36156792730196741</v>
      </c>
    </row>
    <row r="22" spans="1:14">
      <c r="A22" t="s">
        <v>76</v>
      </c>
      <c r="B22" s="24"/>
      <c r="C22" s="22"/>
      <c r="D22" s="45">
        <v>80</v>
      </c>
      <c r="E22" s="46">
        <v>0.8</v>
      </c>
      <c r="F22" s="47"/>
      <c r="G22" s="48"/>
      <c r="H22" s="49"/>
      <c r="I22" s="50"/>
      <c r="J22" s="47"/>
      <c r="K22" s="129"/>
      <c r="L22" s="125"/>
      <c r="M22" s="127"/>
      <c r="N22" s="135"/>
    </row>
    <row r="23" spans="1:14">
      <c r="A23" t="s">
        <v>77</v>
      </c>
      <c r="B23" s="24"/>
      <c r="C23" s="22"/>
      <c r="D23" s="45">
        <v>62000</v>
      </c>
      <c r="E23" s="46"/>
      <c r="F23" s="47"/>
      <c r="G23" s="48"/>
      <c r="H23" s="49"/>
      <c r="I23" s="50"/>
      <c r="J23" s="47"/>
      <c r="K23" s="129"/>
      <c r="L23" s="125"/>
      <c r="M23" s="127"/>
      <c r="N23" s="135"/>
    </row>
    <row r="24" spans="1:14">
      <c r="A24" t="s">
        <v>44</v>
      </c>
      <c r="B24" s="25">
        <v>2100</v>
      </c>
      <c r="C24" s="26">
        <v>3.3E-3</v>
      </c>
      <c r="D24" s="52">
        <v>44733.679854839022</v>
      </c>
      <c r="E24" s="53">
        <v>2.8434672977959635E-2</v>
      </c>
      <c r="F24" s="54">
        <f>Osculum!G18</f>
        <v>16209.05</v>
      </c>
      <c r="G24" s="55">
        <f>Osculum!K18</f>
        <v>211845559.16075054</v>
      </c>
      <c r="H24" s="56"/>
      <c r="I24" s="57"/>
      <c r="J24" s="54"/>
      <c r="K24" s="130"/>
      <c r="L24" s="128">
        <f>[1]Callyspongia!C26</f>
        <v>194.959</v>
      </c>
      <c r="M24" s="132">
        <f>[1]Callyspongia!H26</f>
        <v>2.698058389881177E-2</v>
      </c>
      <c r="N24" s="136">
        <f>[1]Callyspongia!K26*1000</f>
        <v>1.8830676327024647</v>
      </c>
    </row>
  </sheetData>
  <mergeCells count="5">
    <mergeCell ref="B7:C7"/>
    <mergeCell ref="D7:E7"/>
    <mergeCell ref="J7:K7"/>
    <mergeCell ref="F7:G7"/>
    <mergeCell ref="L7:N7"/>
  </mergeCells>
  <pageMargins left="0.7" right="0.7" top="0.75" bottom="0.75" header="0.3" footer="0.3"/>
  <pageSetup orientation="portrait" horizontalDpi="4294967292" verticalDpi="4294967292"/>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vt:i4>
      </vt:variant>
    </vt:vector>
  </HeadingPairs>
  <TitlesOfParts>
    <vt:vector size="12" baseType="lpstr">
      <vt:lpstr>Callyspongia</vt:lpstr>
      <vt:lpstr>Ostia</vt:lpstr>
      <vt:lpstr>Subdermal space</vt:lpstr>
      <vt:lpstr>Incurrent Canals</vt:lpstr>
      <vt:lpstr>Prosopyles</vt:lpstr>
      <vt:lpstr>Collars</vt:lpstr>
      <vt:lpstr>Choanocyte Chambers</vt:lpstr>
      <vt:lpstr>Excurrent Canals</vt:lpstr>
      <vt:lpstr>Apopyle</vt:lpstr>
      <vt:lpstr>Osculum</vt:lpstr>
      <vt:lpstr>Sponge Volume</vt:lpstr>
      <vt:lpstr>Comparison table</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Danielle Ludeman</dc:creator>
  <cp:lastModifiedBy>Danielle Ludeman</cp:lastModifiedBy>
  <dcterms:created xsi:type="dcterms:W3CDTF">2012-04-20T20:53:22Z</dcterms:created>
  <dcterms:modified xsi:type="dcterms:W3CDTF">2014-11-17T04:07:23Z</dcterms:modified>
</cp:coreProperties>
</file>