
<file path=[Content_Types].xml><?xml version="1.0" encoding="utf-8"?>
<Types xmlns="http://schemas.openxmlformats.org/package/2006/content-types">
  <Default Extension="xml" ContentType="application/xml"/>
  <Default Extension="tif" ContentType="image/tiff"/>
  <Default Extension="vml" ContentType="application/vnd.openxmlformats-officedocument.vmlDrawing"/>
  <Default Extension="jpg" ContentType="image/jpeg"/>
  <Default Extension="png" ContentType="image/pn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5306"/>
  <workbookPr showInkAnnotation="0" autoCompressPictures="0"/>
  <bookViews>
    <workbookView xWindow="0" yWindow="0" windowWidth="25600" windowHeight="15540" tabRatio="1000"/>
  </bookViews>
  <sheets>
    <sheet name="Neopetrosia" sheetId="13" r:id="rId1"/>
    <sheet name="Ostia" sheetId="1" r:id="rId2"/>
    <sheet name="Subdermal space" sheetId="8" r:id="rId3"/>
    <sheet name="Incurrent Canals" sheetId="2" r:id="rId4"/>
    <sheet name="Prosopyles" sheetId="3" r:id="rId5"/>
    <sheet name="Collars" sheetId="5" r:id="rId6"/>
    <sheet name="Choanocyte Chambers" sheetId="4" r:id="rId7"/>
    <sheet name="Apopyle" sheetId="9" r:id="rId8"/>
    <sheet name="Excurrent Canals" sheetId="10" r:id="rId9"/>
    <sheet name="Osculum" sheetId="11" r:id="rId10"/>
    <sheet name="Sponge Volume" sheetId="14" r:id="rId11"/>
    <sheet name="Comparison table" sheetId="7" r:id="rId12"/>
    <sheet name="Graphs" sheetId="12" r:id="rId13"/>
  </sheets>
  <externalReferences>
    <externalReference r:id="rId14"/>
    <externalReference r:id="rId15"/>
    <externalReference r:id="rId16"/>
  </externalReferences>
  <definedNames>
    <definedName name="Density" localSheetId="0">Neopetrosia!$E$19</definedName>
    <definedName name="Density">[1]Neopetrosia!$E$8</definedName>
    <definedName name="ExCurrentFlowRate" localSheetId="0">Neopetrosia!$C$19</definedName>
    <definedName name="ExCurrentFlowRate">[1]Neopetrosia!$C$8</definedName>
    <definedName name="ExcurrentSpeed" localSheetId="0">Neopetrosia!$B$19</definedName>
    <definedName name="ExcurrentSpeed">[1]Neopetrosia!$B$8</definedName>
    <definedName name="gamma" localSheetId="0">Neopetrosia!$G$16</definedName>
    <definedName name="gamma" localSheetId="10">[2]Summary!$G$10</definedName>
    <definedName name="gamma">[1]Neopetrosia!$G$5</definedName>
    <definedName name="OscDiam">'[3]Sup. Table 2. Sponge sizes'!$E$17</definedName>
    <definedName name="SpVol">'[3]Sup. Table 2. Sponge sizes'!$F$17</definedName>
    <definedName name="Viscosity" localSheetId="0">Neopetrosia!$H$16</definedName>
    <definedName name="Viscosity" localSheetId="10">[2]Summary!$H$10</definedName>
    <definedName name="Viscosity">[1]Neopetrosia!$H$5</definedName>
  </definedNames>
  <calcPr calcId="14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G80" i="10" l="1"/>
  <c r="I80" i="10"/>
  <c r="K80" i="10"/>
  <c r="K15" i="10"/>
  <c r="K28" i="10"/>
  <c r="M25" i="13"/>
  <c r="M26" i="13"/>
  <c r="M27" i="13"/>
  <c r="M28" i="13"/>
  <c r="M29" i="13"/>
  <c r="M30" i="13"/>
  <c r="M31" i="13"/>
  <c r="M32" i="13"/>
  <c r="M33" i="13"/>
  <c r="M34" i="13"/>
  <c r="M35" i="13"/>
  <c r="M36" i="13"/>
  <c r="H36" i="13"/>
  <c r="I36" i="13"/>
  <c r="J36" i="13"/>
  <c r="K36" i="13"/>
  <c r="L36" i="13"/>
  <c r="M37" i="13"/>
  <c r="M24" i="13"/>
  <c r="N36" i="13"/>
  <c r="N24" i="13"/>
  <c r="N25" i="13"/>
  <c r="N26" i="13"/>
  <c r="N27" i="13"/>
  <c r="N28" i="13"/>
  <c r="N29" i="13"/>
  <c r="N30" i="13"/>
  <c r="N31" i="13"/>
  <c r="N32" i="13"/>
  <c r="N33" i="13"/>
  <c r="N34" i="13"/>
  <c r="N35" i="13"/>
  <c r="N37" i="13"/>
  <c r="N38" i="13"/>
  <c r="F49" i="13"/>
  <c r="F50" i="13"/>
  <c r="V29" i="13"/>
  <c r="V28" i="13"/>
  <c r="V27" i="13"/>
  <c r="F12" i="5"/>
  <c r="F67" i="5"/>
  <c r="D67" i="5"/>
  <c r="E67" i="5"/>
  <c r="G67" i="5"/>
  <c r="G12" i="5"/>
  <c r="D12" i="5"/>
  <c r="B67" i="5"/>
  <c r="H67" i="5"/>
  <c r="I67" i="5"/>
  <c r="J67" i="5"/>
  <c r="J12" i="5"/>
  <c r="K12" i="5"/>
  <c r="L12" i="5"/>
  <c r="M12" i="5"/>
  <c r="C67" i="5"/>
  <c r="C12" i="5"/>
  <c r="H30" i="13"/>
  <c r="D30" i="13"/>
  <c r="C30" i="13"/>
  <c r="O67" i="5"/>
  <c r="O12" i="5"/>
  <c r="B20" i="5"/>
  <c r="N67" i="5"/>
  <c r="N12" i="5"/>
  <c r="C20" i="5"/>
  <c r="D20" i="5"/>
  <c r="I12" i="5"/>
  <c r="E20" i="5"/>
  <c r="F20" i="5"/>
  <c r="G20" i="5"/>
  <c r="E12" i="5"/>
  <c r="C21" i="5"/>
  <c r="B21" i="5"/>
  <c r="D21" i="5"/>
  <c r="E21" i="5"/>
  <c r="F21" i="5"/>
  <c r="G21" i="5"/>
  <c r="C16" i="5"/>
  <c r="B12" i="5"/>
  <c r="I30" i="13"/>
  <c r="J30" i="13"/>
  <c r="K30" i="13"/>
  <c r="L30" i="13"/>
  <c r="H29" i="13"/>
  <c r="I29" i="13"/>
  <c r="J29" i="13"/>
  <c r="K29" i="13"/>
  <c r="L29" i="13"/>
  <c r="D29" i="13"/>
  <c r="C29" i="13"/>
  <c r="H31" i="13"/>
  <c r="I31" i="13"/>
  <c r="J31" i="13"/>
  <c r="K31" i="13"/>
  <c r="L31" i="13"/>
  <c r="D31" i="13"/>
  <c r="C31" i="13"/>
  <c r="K37" i="13"/>
  <c r="K23" i="13"/>
  <c r="L23" i="13"/>
  <c r="M23" i="13"/>
  <c r="N23" i="13"/>
  <c r="K24" i="13"/>
  <c r="L24" i="13"/>
  <c r="K25" i="13"/>
  <c r="L25" i="13"/>
  <c r="K26" i="13"/>
  <c r="L26" i="13"/>
  <c r="K27" i="13"/>
  <c r="L27" i="13"/>
  <c r="K28" i="13"/>
  <c r="L28" i="13"/>
  <c r="K32" i="13"/>
  <c r="L32" i="13"/>
  <c r="K33" i="13"/>
  <c r="L33" i="13"/>
  <c r="K34" i="13"/>
  <c r="L34" i="13"/>
  <c r="K35" i="13"/>
  <c r="L35" i="13"/>
  <c r="L37" i="13"/>
  <c r="D26" i="13"/>
  <c r="D35" i="13"/>
  <c r="D25" i="13"/>
  <c r="D36" i="13"/>
  <c r="B16" i="13"/>
  <c r="H35" i="13"/>
  <c r="I35" i="13"/>
  <c r="D16" i="13"/>
  <c r="J35" i="13"/>
  <c r="C37" i="13"/>
  <c r="A16" i="13"/>
  <c r="H37" i="13"/>
  <c r="I37" i="13"/>
  <c r="J37" i="13"/>
  <c r="Q35" i="13"/>
  <c r="C36" i="13"/>
  <c r="R36" i="13"/>
  <c r="S36" i="13"/>
  <c r="H34" i="13"/>
  <c r="I34" i="13"/>
  <c r="J34" i="13"/>
  <c r="Q34" i="13"/>
  <c r="C35" i="13"/>
  <c r="R35" i="13"/>
  <c r="S35" i="13"/>
  <c r="H23" i="13"/>
  <c r="I23" i="13"/>
  <c r="J23" i="13"/>
  <c r="Q23" i="13"/>
  <c r="C23" i="13"/>
  <c r="R23" i="13"/>
  <c r="S23" i="13"/>
  <c r="C24" i="13"/>
  <c r="D24" i="13"/>
  <c r="R24" i="13"/>
  <c r="S24" i="13"/>
  <c r="H24" i="13"/>
  <c r="I24" i="13"/>
  <c r="J24" i="13"/>
  <c r="Q24" i="13"/>
  <c r="C25" i="13"/>
  <c r="R25" i="13"/>
  <c r="S25" i="13"/>
  <c r="H25" i="13"/>
  <c r="I25" i="13"/>
  <c r="J25" i="13"/>
  <c r="Q25" i="13"/>
  <c r="C26" i="13"/>
  <c r="R26" i="13"/>
  <c r="S26" i="13"/>
  <c r="H26" i="13"/>
  <c r="I26" i="13"/>
  <c r="J26" i="13"/>
  <c r="Q26" i="13"/>
  <c r="D27" i="13"/>
  <c r="C27" i="13"/>
  <c r="R27" i="13"/>
  <c r="S27" i="13"/>
  <c r="H27" i="13"/>
  <c r="I27" i="13"/>
  <c r="J27" i="13"/>
  <c r="C28" i="13"/>
  <c r="R28" i="13"/>
  <c r="S28" i="13"/>
  <c r="H28" i="13"/>
  <c r="I28" i="13"/>
  <c r="J28" i="13"/>
  <c r="Q28" i="13"/>
  <c r="R29" i="13"/>
  <c r="S29" i="13"/>
  <c r="V32" i="13"/>
  <c r="V31" i="13"/>
  <c r="V30" i="13"/>
  <c r="Q29" i="13"/>
  <c r="V33" i="13"/>
  <c r="R30" i="13"/>
  <c r="S30" i="13"/>
  <c r="Q30" i="13"/>
  <c r="R31" i="13"/>
  <c r="S31" i="13"/>
  <c r="Q31" i="13"/>
  <c r="C32" i="13"/>
  <c r="D32" i="13"/>
  <c r="R32" i="13"/>
  <c r="S32" i="13"/>
  <c r="H32" i="13"/>
  <c r="I32" i="13"/>
  <c r="J32" i="13"/>
  <c r="C33" i="13"/>
  <c r="R33" i="13"/>
  <c r="S33" i="13"/>
  <c r="H33" i="13"/>
  <c r="I33" i="13"/>
  <c r="J33" i="13"/>
  <c r="Q33" i="13"/>
  <c r="D34" i="13"/>
  <c r="C34" i="13"/>
  <c r="R34" i="13"/>
  <c r="S34" i="13"/>
  <c r="Q37" i="13"/>
  <c r="R37" i="13"/>
  <c r="S37" i="13"/>
  <c r="S38" i="13"/>
  <c r="C16" i="13"/>
  <c r="C17" i="13"/>
  <c r="C49" i="13"/>
  <c r="C43" i="13"/>
  <c r="C44" i="13"/>
  <c r="C45" i="13"/>
  <c r="C46" i="13"/>
  <c r="C50" i="13"/>
  <c r="Q18" i="11"/>
  <c r="Q17" i="11"/>
  <c r="Q16" i="11"/>
  <c r="K16" i="14"/>
  <c r="C20" i="14"/>
  <c r="C21" i="14"/>
  <c r="T24" i="13"/>
  <c r="T25" i="13"/>
  <c r="T26" i="13"/>
  <c r="T27" i="13"/>
  <c r="T28" i="13"/>
  <c r="T29" i="13"/>
  <c r="T30" i="13"/>
  <c r="T31" i="13"/>
  <c r="T32" i="13"/>
  <c r="T33" i="13"/>
  <c r="T34" i="13"/>
  <c r="T35" i="13"/>
  <c r="T36" i="13"/>
  <c r="T37" i="13"/>
  <c r="T23" i="13"/>
  <c r="Q36" i="13"/>
  <c r="Q38" i="13"/>
  <c r="Q32" i="13"/>
  <c r="Q27" i="13"/>
  <c r="J16" i="14"/>
  <c r="B20" i="14"/>
  <c r="B21" i="14"/>
  <c r="J16" i="13"/>
  <c r="E12" i="14"/>
  <c r="F12" i="14"/>
  <c r="E13" i="14"/>
  <c r="F13" i="14"/>
  <c r="E14" i="14"/>
  <c r="F14" i="14"/>
  <c r="M8" i="11"/>
  <c r="M9" i="11"/>
  <c r="M10" i="11"/>
  <c r="M11" i="11"/>
  <c r="M12" i="11"/>
  <c r="M13" i="11"/>
  <c r="M16" i="11"/>
  <c r="N8" i="11"/>
  <c r="N9" i="11"/>
  <c r="N10" i="11"/>
  <c r="N11" i="11"/>
  <c r="N12" i="11"/>
  <c r="N13" i="11"/>
  <c r="N16" i="11"/>
  <c r="G16" i="13"/>
  <c r="D28" i="13"/>
  <c r="K41" i="13"/>
  <c r="E24" i="13"/>
  <c r="E25" i="13"/>
  <c r="E26" i="13"/>
  <c r="E27" i="13"/>
  <c r="E28" i="13"/>
  <c r="E29" i="13"/>
  <c r="E30" i="13"/>
  <c r="E31" i="13"/>
  <c r="E32" i="13"/>
  <c r="E33" i="13"/>
  <c r="E34" i="13"/>
  <c r="E35" i="13"/>
  <c r="E36" i="13"/>
  <c r="E37" i="13"/>
  <c r="F37" i="13"/>
  <c r="G37" i="13"/>
  <c r="F36" i="13"/>
  <c r="G36" i="13"/>
  <c r="F35" i="13"/>
  <c r="G35" i="13"/>
  <c r="F34" i="13"/>
  <c r="G34" i="13"/>
  <c r="F33" i="13"/>
  <c r="G33" i="13"/>
  <c r="F32" i="13"/>
  <c r="G32" i="13"/>
  <c r="F31" i="13"/>
  <c r="G31" i="13"/>
  <c r="F30" i="13"/>
  <c r="G30" i="13"/>
  <c r="F29" i="13"/>
  <c r="G29" i="13"/>
  <c r="F28" i="13"/>
  <c r="G28" i="13"/>
  <c r="F27" i="13"/>
  <c r="G27" i="13"/>
  <c r="F26" i="13"/>
  <c r="G26" i="13"/>
  <c r="F25" i="13"/>
  <c r="G25" i="13"/>
  <c r="F24" i="13"/>
  <c r="G24" i="13"/>
  <c r="F23" i="13"/>
  <c r="G23" i="13"/>
  <c r="L20" i="13"/>
  <c r="L19" i="13"/>
  <c r="L17" i="13"/>
  <c r="L18" i="13"/>
  <c r="A18" i="13"/>
  <c r="M16" i="13"/>
  <c r="K16" i="13"/>
  <c r="L16" i="13"/>
  <c r="N3" i="12"/>
  <c r="O3" i="12"/>
  <c r="N4" i="12"/>
  <c r="O4" i="12"/>
  <c r="N5" i="12"/>
  <c r="O5" i="12"/>
  <c r="N6" i="12"/>
  <c r="O6" i="12"/>
  <c r="N7" i="12"/>
  <c r="O7" i="12"/>
  <c r="N8" i="12"/>
  <c r="O8" i="12"/>
  <c r="N9" i="12"/>
  <c r="O9" i="12"/>
  <c r="N10" i="12"/>
  <c r="O10" i="12"/>
  <c r="N11" i="12"/>
  <c r="O11" i="12"/>
  <c r="N12" i="12"/>
  <c r="O12" i="12"/>
  <c r="N13" i="12"/>
  <c r="O13" i="12"/>
  <c r="N14" i="12"/>
  <c r="O14" i="12"/>
  <c r="N15" i="12"/>
  <c r="O15" i="12"/>
  <c r="N16" i="12"/>
  <c r="O16" i="12"/>
  <c r="N17" i="12"/>
  <c r="O17" i="12"/>
  <c r="N18" i="12"/>
  <c r="O18" i="12"/>
  <c r="A4" i="12"/>
  <c r="B4" i="12"/>
  <c r="C4" i="12"/>
  <c r="D4" i="12"/>
  <c r="E4" i="12"/>
  <c r="F4" i="12"/>
  <c r="G4" i="12"/>
  <c r="H4" i="12"/>
  <c r="I4" i="12"/>
  <c r="J4" i="12"/>
  <c r="K4" i="12"/>
  <c r="L4" i="12"/>
  <c r="M4" i="12"/>
  <c r="A5" i="12"/>
  <c r="B5" i="12"/>
  <c r="C5" i="12"/>
  <c r="D5" i="12"/>
  <c r="E5" i="12"/>
  <c r="F5" i="12"/>
  <c r="G5" i="12"/>
  <c r="H5" i="12"/>
  <c r="I5" i="12"/>
  <c r="J5" i="12"/>
  <c r="K5" i="12"/>
  <c r="L5" i="12"/>
  <c r="M5" i="12"/>
  <c r="A6" i="12"/>
  <c r="B6" i="12"/>
  <c r="C6" i="12"/>
  <c r="D6" i="12"/>
  <c r="E6" i="12"/>
  <c r="F6" i="12"/>
  <c r="G6" i="12"/>
  <c r="H6" i="12"/>
  <c r="I6" i="12"/>
  <c r="J6" i="12"/>
  <c r="K6" i="12"/>
  <c r="L6" i="12"/>
  <c r="M6" i="12"/>
  <c r="A7" i="12"/>
  <c r="B7" i="12"/>
  <c r="C7" i="12"/>
  <c r="D7" i="12"/>
  <c r="E7" i="12"/>
  <c r="F7" i="12"/>
  <c r="G7" i="12"/>
  <c r="H7" i="12"/>
  <c r="I7" i="12"/>
  <c r="J7" i="12"/>
  <c r="K7" i="12"/>
  <c r="L7" i="12"/>
  <c r="M7" i="12"/>
  <c r="A8" i="12"/>
  <c r="B8" i="12"/>
  <c r="C8" i="12"/>
  <c r="D8" i="12"/>
  <c r="E8" i="12"/>
  <c r="F8" i="12"/>
  <c r="G8" i="12"/>
  <c r="H8" i="12"/>
  <c r="I8" i="12"/>
  <c r="J8" i="12"/>
  <c r="K8" i="12"/>
  <c r="L8" i="12"/>
  <c r="M8" i="12"/>
  <c r="A9" i="12"/>
  <c r="B9" i="12"/>
  <c r="C9" i="12"/>
  <c r="D9" i="12"/>
  <c r="E9" i="12"/>
  <c r="F9" i="12"/>
  <c r="G9" i="12"/>
  <c r="H9" i="12"/>
  <c r="I9" i="12"/>
  <c r="J9" i="12"/>
  <c r="K9" i="12"/>
  <c r="L9" i="12"/>
  <c r="M9" i="12"/>
  <c r="A10" i="12"/>
  <c r="B10" i="12"/>
  <c r="C10" i="12"/>
  <c r="D10" i="12"/>
  <c r="E10" i="12"/>
  <c r="F10" i="12"/>
  <c r="G10" i="12"/>
  <c r="H10" i="12"/>
  <c r="I10" i="12"/>
  <c r="J10" i="12"/>
  <c r="K10" i="12"/>
  <c r="L10" i="12"/>
  <c r="M10" i="12"/>
  <c r="A11" i="12"/>
  <c r="B11" i="12"/>
  <c r="C11" i="12"/>
  <c r="D11" i="12"/>
  <c r="E11" i="12"/>
  <c r="F11" i="12"/>
  <c r="G11" i="12"/>
  <c r="H11" i="12"/>
  <c r="I11" i="12"/>
  <c r="J11" i="12"/>
  <c r="K11" i="12"/>
  <c r="L11" i="12"/>
  <c r="M11" i="12"/>
  <c r="A12" i="12"/>
  <c r="B12" i="12"/>
  <c r="C12" i="12"/>
  <c r="D12" i="12"/>
  <c r="E12" i="12"/>
  <c r="F12" i="12"/>
  <c r="G12" i="12"/>
  <c r="H12" i="12"/>
  <c r="I12" i="12"/>
  <c r="J12" i="12"/>
  <c r="K12" i="12"/>
  <c r="L12" i="12"/>
  <c r="M12" i="12"/>
  <c r="A13" i="12"/>
  <c r="B13" i="12"/>
  <c r="C13" i="12"/>
  <c r="D13" i="12"/>
  <c r="E13" i="12"/>
  <c r="F13" i="12"/>
  <c r="G13" i="12"/>
  <c r="H13" i="12"/>
  <c r="I13" i="12"/>
  <c r="J13" i="12"/>
  <c r="K13" i="12"/>
  <c r="L13" i="12"/>
  <c r="M13" i="12"/>
  <c r="A14" i="12"/>
  <c r="B14" i="12"/>
  <c r="C14" i="12"/>
  <c r="D14" i="12"/>
  <c r="E14" i="12"/>
  <c r="F14" i="12"/>
  <c r="G14" i="12"/>
  <c r="H14" i="12"/>
  <c r="I14" i="12"/>
  <c r="J14" i="12"/>
  <c r="K14" i="12"/>
  <c r="L14" i="12"/>
  <c r="M14" i="12"/>
  <c r="A15" i="12"/>
  <c r="B15" i="12"/>
  <c r="C15" i="12"/>
  <c r="D15" i="12"/>
  <c r="E15" i="12"/>
  <c r="F15" i="12"/>
  <c r="G15" i="12"/>
  <c r="H15" i="12"/>
  <c r="I15" i="12"/>
  <c r="J15" i="12"/>
  <c r="K15" i="12"/>
  <c r="L15" i="12"/>
  <c r="M15" i="12"/>
  <c r="A16" i="12"/>
  <c r="B16" i="12"/>
  <c r="C16" i="12"/>
  <c r="D16" i="12"/>
  <c r="E16" i="12"/>
  <c r="F16" i="12"/>
  <c r="G16" i="12"/>
  <c r="H16" i="12"/>
  <c r="I16" i="12"/>
  <c r="J16" i="12"/>
  <c r="K16" i="12"/>
  <c r="L16" i="12"/>
  <c r="M16" i="12"/>
  <c r="A17" i="12"/>
  <c r="B17" i="12"/>
  <c r="C17" i="12"/>
  <c r="D17" i="12"/>
  <c r="E17" i="12"/>
  <c r="F17" i="12"/>
  <c r="G17" i="12"/>
  <c r="H17" i="12"/>
  <c r="I17" i="12"/>
  <c r="J17" i="12"/>
  <c r="K17" i="12"/>
  <c r="L17" i="12"/>
  <c r="M17" i="12"/>
  <c r="A18" i="12"/>
  <c r="B18" i="12"/>
  <c r="C18" i="12"/>
  <c r="D18" i="12"/>
  <c r="E18" i="12"/>
  <c r="F18" i="12"/>
  <c r="G18" i="12"/>
  <c r="H18" i="12"/>
  <c r="I18" i="12"/>
  <c r="J18" i="12"/>
  <c r="K18" i="12"/>
  <c r="L18" i="12"/>
  <c r="M18" i="12"/>
  <c r="M3" i="12"/>
  <c r="L3" i="12"/>
  <c r="B3" i="12"/>
  <c r="C3" i="12"/>
  <c r="D3" i="12"/>
  <c r="E3" i="12"/>
  <c r="F3" i="12"/>
  <c r="G3" i="12"/>
  <c r="H3" i="12"/>
  <c r="I3" i="12"/>
  <c r="J3" i="12"/>
  <c r="K3" i="12"/>
  <c r="A3" i="12"/>
  <c r="C29" i="3"/>
  <c r="G87" i="3"/>
  <c r="G17" i="7"/>
  <c r="G13" i="7"/>
  <c r="G24" i="7"/>
  <c r="F24" i="7"/>
  <c r="F17" i="7"/>
  <c r="F13" i="7"/>
  <c r="E20" i="3"/>
  <c r="E21" i="3"/>
  <c r="D29" i="3"/>
  <c r="E29" i="3"/>
  <c r="K16" i="5"/>
  <c r="I16" i="5"/>
  <c r="E16" i="5"/>
  <c r="G16" i="5"/>
  <c r="B16" i="5"/>
  <c r="H16" i="5"/>
  <c r="J16" i="5"/>
  <c r="L16" i="5"/>
  <c r="M16" i="5"/>
  <c r="O16" i="5"/>
  <c r="N16" i="5"/>
  <c r="D85" i="3"/>
  <c r="D79" i="3"/>
  <c r="D80" i="3"/>
  <c r="D81" i="3"/>
  <c r="D82" i="3"/>
  <c r="D83" i="3"/>
  <c r="D84" i="3"/>
  <c r="D78" i="3"/>
  <c r="F87" i="3"/>
  <c r="D87" i="3"/>
  <c r="B26" i="3"/>
  <c r="B25" i="3"/>
  <c r="A20" i="3"/>
  <c r="B29" i="3"/>
  <c r="B24" i="3"/>
  <c r="E87" i="3"/>
  <c r="L80" i="10"/>
  <c r="L15" i="10"/>
  <c r="L28" i="10"/>
  <c r="C38" i="3"/>
  <c r="C16" i="3"/>
  <c r="C47" i="3"/>
  <c r="C17" i="3"/>
  <c r="C54" i="3"/>
  <c r="C18" i="3"/>
  <c r="C75" i="3"/>
  <c r="C19" i="3"/>
  <c r="C21" i="3"/>
  <c r="B38" i="3"/>
  <c r="B16" i="3"/>
  <c r="B47" i="3"/>
  <c r="B17" i="3"/>
  <c r="B54" i="3"/>
  <c r="B18" i="3"/>
  <c r="B75" i="3"/>
  <c r="B19" i="3"/>
  <c r="B21" i="3"/>
  <c r="D33" i="3"/>
  <c r="D34" i="3"/>
  <c r="D35" i="3"/>
  <c r="D36" i="3"/>
  <c r="D37" i="3"/>
  <c r="D38" i="3"/>
  <c r="D16" i="3"/>
  <c r="D40" i="3"/>
  <c r="D41" i="3"/>
  <c r="D42" i="3"/>
  <c r="D43" i="3"/>
  <c r="D44" i="3"/>
  <c r="D45" i="3"/>
  <c r="D46" i="3"/>
  <c r="D47" i="3"/>
  <c r="D17" i="3"/>
  <c r="D49" i="3"/>
  <c r="D50" i="3"/>
  <c r="D51" i="3"/>
  <c r="D52" i="3"/>
  <c r="D53" i="3"/>
  <c r="D54" i="3"/>
  <c r="D18" i="3"/>
  <c r="D57" i="3"/>
  <c r="D58" i="3"/>
  <c r="D59" i="3"/>
  <c r="D60" i="3"/>
  <c r="D61" i="3"/>
  <c r="D62" i="3"/>
  <c r="D63" i="3"/>
  <c r="D64" i="3"/>
  <c r="D65" i="3"/>
  <c r="D66" i="3"/>
  <c r="D67" i="3"/>
  <c r="D68" i="3"/>
  <c r="D69" i="3"/>
  <c r="D70" i="3"/>
  <c r="D71" i="3"/>
  <c r="D72" i="3"/>
  <c r="D73" i="3"/>
  <c r="D74" i="3"/>
  <c r="D75" i="3"/>
  <c r="D19" i="3"/>
  <c r="D21" i="3"/>
  <c r="H197" i="1"/>
  <c r="F197" i="1"/>
  <c r="E197" i="1"/>
  <c r="D197" i="1"/>
  <c r="C197" i="1"/>
  <c r="B197" i="1"/>
  <c r="H119" i="1"/>
  <c r="G119" i="1"/>
  <c r="F119" i="1"/>
  <c r="E119" i="1"/>
  <c r="D119" i="1"/>
  <c r="C119" i="1"/>
  <c r="B119" i="1"/>
  <c r="H72" i="1"/>
  <c r="F72" i="1"/>
  <c r="E72" i="1"/>
  <c r="D72" i="1"/>
  <c r="C72" i="1"/>
  <c r="B72" i="1"/>
  <c r="H15" i="1"/>
  <c r="J15" i="1"/>
  <c r="K15" i="1"/>
  <c r="M15" i="1"/>
  <c r="H16" i="1"/>
  <c r="J16" i="1"/>
  <c r="K16" i="1"/>
  <c r="M16" i="1"/>
  <c r="H17" i="1"/>
  <c r="J17" i="1"/>
  <c r="K17" i="1"/>
  <c r="M17" i="1"/>
  <c r="M23" i="1"/>
  <c r="E49" i="3"/>
  <c r="E57" i="3"/>
  <c r="B15" i="1"/>
  <c r="C15" i="1"/>
  <c r="B16" i="1"/>
  <c r="C16" i="1"/>
  <c r="B17" i="1"/>
  <c r="C17" i="1"/>
  <c r="B23" i="1"/>
  <c r="D17" i="5"/>
  <c r="M13" i="2"/>
  <c r="M14" i="2"/>
  <c r="M15" i="2"/>
  <c r="M16" i="2"/>
  <c r="M17" i="2"/>
  <c r="M18" i="2"/>
  <c r="M19" i="2"/>
  <c r="M20" i="2"/>
  <c r="M21" i="2"/>
  <c r="M22" i="2"/>
  <c r="M23" i="2"/>
  <c r="M24" i="2"/>
  <c r="M25" i="2"/>
  <c r="M12" i="2"/>
  <c r="O8" i="11"/>
  <c r="O9" i="11"/>
  <c r="O10" i="11"/>
  <c r="O11" i="11"/>
  <c r="O12" i="11"/>
  <c r="O13" i="11"/>
  <c r="O16" i="11"/>
  <c r="P16" i="11"/>
  <c r="G16" i="11"/>
  <c r="I16" i="11"/>
  <c r="H8" i="11"/>
  <c r="H9" i="11"/>
  <c r="H10" i="11"/>
  <c r="H11" i="11"/>
  <c r="H12" i="11"/>
  <c r="H13" i="11"/>
  <c r="H14" i="11"/>
  <c r="H15" i="11"/>
  <c r="J8" i="11"/>
  <c r="J9" i="11"/>
  <c r="J10" i="11"/>
  <c r="J11" i="11"/>
  <c r="J12" i="11"/>
  <c r="J13" i="11"/>
  <c r="J14" i="11"/>
  <c r="J15" i="11"/>
  <c r="F8" i="11"/>
  <c r="F9" i="11"/>
  <c r="F10" i="11"/>
  <c r="F11" i="11"/>
  <c r="F12" i="11"/>
  <c r="F13" i="11"/>
  <c r="F14" i="11"/>
  <c r="F15" i="11"/>
  <c r="G9" i="11"/>
  <c r="I9" i="11"/>
  <c r="K9" i="11"/>
  <c r="G10" i="11"/>
  <c r="I10" i="11"/>
  <c r="K10" i="11"/>
  <c r="G11" i="11"/>
  <c r="I11" i="11"/>
  <c r="K11" i="11"/>
  <c r="G12" i="11"/>
  <c r="I12" i="11"/>
  <c r="K12" i="11"/>
  <c r="G13" i="11"/>
  <c r="I13" i="11"/>
  <c r="K13" i="11"/>
  <c r="G14" i="11"/>
  <c r="I14" i="11"/>
  <c r="K14" i="11"/>
  <c r="G15" i="11"/>
  <c r="I15" i="11"/>
  <c r="K15" i="11"/>
  <c r="G8" i="11"/>
  <c r="I8" i="11"/>
  <c r="K8" i="11"/>
  <c r="L16" i="11"/>
  <c r="K16" i="11"/>
  <c r="M15" i="10"/>
  <c r="M28" i="10"/>
  <c r="G21" i="7"/>
  <c r="F21" i="7"/>
  <c r="M14" i="10"/>
  <c r="M16" i="10"/>
  <c r="M17" i="10"/>
  <c r="M18" i="10"/>
  <c r="M19" i="10"/>
  <c r="M20" i="10"/>
  <c r="M21" i="10"/>
  <c r="M22" i="10"/>
  <c r="M23" i="10"/>
  <c r="M24" i="10"/>
  <c r="M25" i="10"/>
  <c r="M26" i="10"/>
  <c r="M27" i="10"/>
  <c r="M13" i="10"/>
  <c r="M29" i="10"/>
  <c r="M30" i="10"/>
  <c r="D28" i="10"/>
  <c r="E28" i="10"/>
  <c r="F28" i="10"/>
  <c r="G15" i="10"/>
  <c r="G28" i="10"/>
  <c r="H28" i="10"/>
  <c r="I15" i="10"/>
  <c r="I28" i="10"/>
  <c r="J28" i="10"/>
  <c r="D29" i="10"/>
  <c r="E29" i="10"/>
  <c r="F29" i="10"/>
  <c r="G29" i="10"/>
  <c r="H29" i="10"/>
  <c r="I29" i="10"/>
  <c r="J29" i="10"/>
  <c r="K29" i="10"/>
  <c r="L29" i="10"/>
  <c r="D30" i="10"/>
  <c r="E30" i="10"/>
  <c r="F30" i="10"/>
  <c r="G30" i="10"/>
  <c r="H30" i="10"/>
  <c r="I30" i="10"/>
  <c r="J30" i="10"/>
  <c r="K30" i="10"/>
  <c r="L30" i="10"/>
  <c r="C30" i="10"/>
  <c r="C29" i="10"/>
  <c r="C28" i="10"/>
  <c r="P16" i="10"/>
  <c r="D26" i="10"/>
  <c r="E26" i="10"/>
  <c r="F26" i="10"/>
  <c r="G26" i="10"/>
  <c r="H26" i="10"/>
  <c r="I26" i="10"/>
  <c r="J26" i="10"/>
  <c r="K26" i="10"/>
  <c r="L26" i="10"/>
  <c r="D27" i="10"/>
  <c r="E27" i="10"/>
  <c r="F27" i="10"/>
  <c r="G27" i="10"/>
  <c r="H27" i="10"/>
  <c r="I27" i="10"/>
  <c r="J27" i="10"/>
  <c r="K27" i="10"/>
  <c r="L27" i="10"/>
  <c r="C27" i="10"/>
  <c r="C26" i="10"/>
  <c r="A26" i="10"/>
  <c r="P14" i="10"/>
  <c r="G166" i="10"/>
  <c r="G165" i="10"/>
  <c r="G164" i="10"/>
  <c r="G163" i="10"/>
  <c r="F166" i="10"/>
  <c r="F165" i="10"/>
  <c r="F164" i="10"/>
  <c r="F163" i="10"/>
  <c r="E166" i="10"/>
  <c r="E165" i="10"/>
  <c r="E164" i="10"/>
  <c r="E163" i="10"/>
  <c r="D166" i="10"/>
  <c r="D165" i="10"/>
  <c r="D164" i="10"/>
  <c r="D163" i="10"/>
  <c r="C166" i="10"/>
  <c r="C165" i="10"/>
  <c r="C164" i="10"/>
  <c r="C163" i="10"/>
  <c r="B166" i="10"/>
  <c r="B165" i="10"/>
  <c r="B164" i="10"/>
  <c r="B163" i="10"/>
  <c r="H166" i="10"/>
  <c r="I166" i="10"/>
  <c r="K166" i="10"/>
  <c r="L166" i="10"/>
  <c r="H165" i="10"/>
  <c r="I165" i="10"/>
  <c r="K165" i="10"/>
  <c r="L165" i="10"/>
  <c r="H164" i="10"/>
  <c r="I164" i="10"/>
  <c r="K164" i="10"/>
  <c r="L164" i="10"/>
  <c r="H163" i="10"/>
  <c r="I163" i="10"/>
  <c r="K163" i="10"/>
  <c r="L163" i="10"/>
  <c r="E159" i="10"/>
  <c r="F159" i="10"/>
  <c r="G159" i="10"/>
  <c r="E160" i="10"/>
  <c r="F160" i="10"/>
  <c r="G160" i="10"/>
  <c r="E161" i="10"/>
  <c r="F161" i="10"/>
  <c r="G161" i="10"/>
  <c r="E162" i="10"/>
  <c r="F162" i="10"/>
  <c r="G162" i="10"/>
  <c r="E158" i="10"/>
  <c r="F158" i="10"/>
  <c r="G158" i="10"/>
  <c r="D24" i="10"/>
  <c r="E24" i="10"/>
  <c r="F24" i="10"/>
  <c r="G24" i="10"/>
  <c r="H24" i="10"/>
  <c r="I24" i="10"/>
  <c r="J24" i="10"/>
  <c r="K24" i="10"/>
  <c r="L24" i="10"/>
  <c r="D25" i="10"/>
  <c r="E25" i="10"/>
  <c r="F25" i="10"/>
  <c r="G25" i="10"/>
  <c r="H25" i="10"/>
  <c r="I25" i="10"/>
  <c r="J25" i="10"/>
  <c r="K25" i="10"/>
  <c r="L25" i="10"/>
  <c r="C25" i="10"/>
  <c r="C24" i="10"/>
  <c r="A24" i="10"/>
  <c r="G153" i="10"/>
  <c r="G152" i="10"/>
  <c r="G151" i="10"/>
  <c r="G150" i="10"/>
  <c r="F153" i="10"/>
  <c r="F152" i="10"/>
  <c r="F151" i="10"/>
  <c r="F150" i="10"/>
  <c r="E153" i="10"/>
  <c r="E152" i="10"/>
  <c r="E151" i="10"/>
  <c r="E150" i="10"/>
  <c r="D153" i="10"/>
  <c r="D152" i="10"/>
  <c r="D151" i="10"/>
  <c r="D150" i="10"/>
  <c r="C153" i="10"/>
  <c r="C152" i="10"/>
  <c r="C151" i="10"/>
  <c r="C150" i="10"/>
  <c r="B153" i="10"/>
  <c r="B152" i="10"/>
  <c r="B151" i="10"/>
  <c r="B150" i="10"/>
  <c r="H153" i="10"/>
  <c r="I153" i="10"/>
  <c r="K153" i="10"/>
  <c r="L153" i="10"/>
  <c r="H152" i="10"/>
  <c r="I152" i="10"/>
  <c r="K152" i="10"/>
  <c r="L152" i="10"/>
  <c r="H151" i="10"/>
  <c r="I151" i="10"/>
  <c r="K151" i="10"/>
  <c r="L151" i="10"/>
  <c r="H150" i="10"/>
  <c r="I150" i="10"/>
  <c r="K150" i="10"/>
  <c r="L150" i="10"/>
  <c r="E142" i="10"/>
  <c r="F142" i="10"/>
  <c r="G142" i="10"/>
  <c r="E143" i="10"/>
  <c r="F143" i="10"/>
  <c r="G143" i="10"/>
  <c r="E144" i="10"/>
  <c r="F144" i="10"/>
  <c r="G144" i="10"/>
  <c r="E145" i="10"/>
  <c r="F145" i="10"/>
  <c r="G145" i="10"/>
  <c r="E146" i="10"/>
  <c r="F146" i="10"/>
  <c r="G146" i="10"/>
  <c r="E147" i="10"/>
  <c r="F147" i="10"/>
  <c r="G147" i="10"/>
  <c r="E148" i="10"/>
  <c r="F148" i="10"/>
  <c r="G148" i="10"/>
  <c r="E149" i="10"/>
  <c r="F149" i="10"/>
  <c r="G149" i="10"/>
  <c r="E141" i="10"/>
  <c r="F141" i="10"/>
  <c r="G141" i="10"/>
  <c r="C23" i="10"/>
  <c r="D23" i="10"/>
  <c r="E23" i="10"/>
  <c r="F23" i="10"/>
  <c r="G23" i="10"/>
  <c r="H23" i="10"/>
  <c r="I23" i="10"/>
  <c r="J23" i="10"/>
  <c r="K23" i="10"/>
  <c r="L23" i="10"/>
  <c r="D22" i="10"/>
  <c r="E22" i="10"/>
  <c r="F22" i="10"/>
  <c r="G22" i="10"/>
  <c r="H22" i="10"/>
  <c r="I22" i="10"/>
  <c r="J22" i="10"/>
  <c r="K22" i="10"/>
  <c r="L22" i="10"/>
  <c r="C22" i="10"/>
  <c r="A22" i="10"/>
  <c r="G137" i="10"/>
  <c r="G136" i="10"/>
  <c r="G135" i="10"/>
  <c r="G134" i="10"/>
  <c r="F137" i="10"/>
  <c r="F136" i="10"/>
  <c r="F135" i="10"/>
  <c r="F134" i="10"/>
  <c r="E137" i="10"/>
  <c r="E136" i="10"/>
  <c r="E135" i="10"/>
  <c r="E134" i="10"/>
  <c r="D137" i="10"/>
  <c r="D136" i="10"/>
  <c r="D135" i="10"/>
  <c r="D134" i="10"/>
  <c r="C137" i="10"/>
  <c r="C136" i="10"/>
  <c r="C135" i="10"/>
  <c r="C134" i="10"/>
  <c r="B136" i="10"/>
  <c r="B137" i="10"/>
  <c r="B135" i="10"/>
  <c r="B134" i="10"/>
  <c r="H137" i="10"/>
  <c r="I137" i="10"/>
  <c r="K137" i="10"/>
  <c r="L137" i="10"/>
  <c r="H136" i="10"/>
  <c r="I136" i="10"/>
  <c r="K136" i="10"/>
  <c r="L136" i="10"/>
  <c r="H135" i="10"/>
  <c r="I135" i="10"/>
  <c r="K135" i="10"/>
  <c r="L135" i="10"/>
  <c r="H134" i="10"/>
  <c r="I134" i="10"/>
  <c r="K134" i="10"/>
  <c r="L134" i="10"/>
  <c r="E122" i="10"/>
  <c r="F122" i="10"/>
  <c r="G122" i="10"/>
  <c r="E123" i="10"/>
  <c r="F123" i="10"/>
  <c r="G123" i="10"/>
  <c r="E124" i="10"/>
  <c r="F124" i="10"/>
  <c r="G124" i="10"/>
  <c r="E125" i="10"/>
  <c r="F125" i="10"/>
  <c r="G125" i="10"/>
  <c r="E126" i="10"/>
  <c r="F126" i="10"/>
  <c r="G126" i="10"/>
  <c r="E127" i="10"/>
  <c r="F127" i="10"/>
  <c r="G127" i="10"/>
  <c r="E128" i="10"/>
  <c r="F128" i="10"/>
  <c r="G128" i="10"/>
  <c r="E129" i="10"/>
  <c r="F129" i="10"/>
  <c r="G129" i="10"/>
  <c r="E130" i="10"/>
  <c r="F130" i="10"/>
  <c r="G130" i="10"/>
  <c r="E131" i="10"/>
  <c r="F131" i="10"/>
  <c r="G131" i="10"/>
  <c r="E132" i="10"/>
  <c r="F132" i="10"/>
  <c r="G132" i="10"/>
  <c r="E133" i="10"/>
  <c r="F133" i="10"/>
  <c r="G133" i="10"/>
  <c r="E121" i="10"/>
  <c r="F121" i="10"/>
  <c r="G121" i="10"/>
  <c r="C115" i="10"/>
  <c r="D20" i="10"/>
  <c r="E20" i="10"/>
  <c r="F20" i="10"/>
  <c r="G20" i="10"/>
  <c r="H20" i="10"/>
  <c r="I20" i="10"/>
  <c r="J20" i="10"/>
  <c r="K20" i="10"/>
  <c r="L20" i="10"/>
  <c r="D21" i="10"/>
  <c r="E21" i="10"/>
  <c r="F21" i="10"/>
  <c r="G21" i="10"/>
  <c r="H21" i="10"/>
  <c r="I21" i="10"/>
  <c r="J21" i="10"/>
  <c r="K21" i="10"/>
  <c r="L21" i="10"/>
  <c r="C21" i="10"/>
  <c r="C20" i="10"/>
  <c r="A20" i="10"/>
  <c r="G116" i="10"/>
  <c r="G115" i="10"/>
  <c r="G114" i="10"/>
  <c r="G113" i="10"/>
  <c r="F116" i="10"/>
  <c r="F115" i="10"/>
  <c r="F114" i="10"/>
  <c r="F113" i="10"/>
  <c r="E116" i="10"/>
  <c r="E115" i="10"/>
  <c r="E114" i="10"/>
  <c r="E113" i="10"/>
  <c r="D116" i="10"/>
  <c r="D115" i="10"/>
  <c r="D114" i="10"/>
  <c r="D113" i="10"/>
  <c r="C116" i="10"/>
  <c r="C114" i="10"/>
  <c r="C113" i="10"/>
  <c r="B116" i="10"/>
  <c r="B115" i="10"/>
  <c r="B114" i="10"/>
  <c r="B113" i="10"/>
  <c r="H116" i="10"/>
  <c r="I116" i="10"/>
  <c r="K116" i="10"/>
  <c r="L116" i="10"/>
  <c r="H115" i="10"/>
  <c r="I115" i="10"/>
  <c r="K115" i="10"/>
  <c r="L115" i="10"/>
  <c r="H114" i="10"/>
  <c r="I114" i="10"/>
  <c r="K114" i="10"/>
  <c r="L114" i="10"/>
  <c r="H113" i="10"/>
  <c r="I113" i="10"/>
  <c r="K113" i="10"/>
  <c r="L113" i="10"/>
  <c r="E104" i="10"/>
  <c r="F104" i="10"/>
  <c r="G104" i="10"/>
  <c r="E105" i="10"/>
  <c r="F105" i="10"/>
  <c r="G105" i="10"/>
  <c r="E106" i="10"/>
  <c r="F106" i="10"/>
  <c r="G106" i="10"/>
  <c r="E107" i="10"/>
  <c r="F107" i="10"/>
  <c r="G107" i="10"/>
  <c r="E108" i="10"/>
  <c r="F108" i="10"/>
  <c r="G108" i="10"/>
  <c r="E109" i="10"/>
  <c r="F109" i="10"/>
  <c r="G109" i="10"/>
  <c r="E110" i="10"/>
  <c r="F110" i="10"/>
  <c r="G110" i="10"/>
  <c r="E111" i="10"/>
  <c r="F111" i="10"/>
  <c r="G111" i="10"/>
  <c r="E112" i="10"/>
  <c r="F112" i="10"/>
  <c r="G112" i="10"/>
  <c r="E103" i="10"/>
  <c r="F103" i="10"/>
  <c r="G103" i="10"/>
  <c r="D18" i="10"/>
  <c r="E18" i="10"/>
  <c r="F18" i="10"/>
  <c r="G18" i="10"/>
  <c r="H18" i="10"/>
  <c r="I18" i="10"/>
  <c r="J18" i="10"/>
  <c r="K18" i="10"/>
  <c r="L18" i="10"/>
  <c r="D19" i="10"/>
  <c r="E19" i="10"/>
  <c r="F19" i="10"/>
  <c r="G19" i="10"/>
  <c r="H19" i="10"/>
  <c r="I19" i="10"/>
  <c r="J19" i="10"/>
  <c r="K19" i="10"/>
  <c r="L19" i="10"/>
  <c r="C19" i="10"/>
  <c r="C18" i="10"/>
  <c r="A18" i="10"/>
  <c r="G97" i="10"/>
  <c r="G96" i="10"/>
  <c r="G95" i="10"/>
  <c r="F98" i="10"/>
  <c r="F97" i="10"/>
  <c r="F96" i="10"/>
  <c r="F95" i="10"/>
  <c r="E98" i="10"/>
  <c r="E97" i="10"/>
  <c r="E96" i="10"/>
  <c r="E95" i="10"/>
  <c r="D98" i="10"/>
  <c r="D97" i="10"/>
  <c r="D96" i="10"/>
  <c r="D95" i="10"/>
  <c r="C98" i="10"/>
  <c r="C97" i="10"/>
  <c r="C96" i="10"/>
  <c r="C95" i="10"/>
  <c r="B98" i="10"/>
  <c r="B97" i="10"/>
  <c r="B96" i="10"/>
  <c r="B95" i="10"/>
  <c r="H98" i="10"/>
  <c r="G98" i="10"/>
  <c r="I98" i="10"/>
  <c r="K98" i="10"/>
  <c r="L98" i="10"/>
  <c r="H97" i="10"/>
  <c r="I97" i="10"/>
  <c r="K97" i="10"/>
  <c r="L97" i="10"/>
  <c r="H96" i="10"/>
  <c r="I96" i="10"/>
  <c r="K96" i="10"/>
  <c r="L96" i="10"/>
  <c r="H95" i="10"/>
  <c r="I95" i="10"/>
  <c r="K95" i="10"/>
  <c r="L95" i="10"/>
  <c r="E87" i="10"/>
  <c r="F87" i="10"/>
  <c r="G87" i="10"/>
  <c r="E88" i="10"/>
  <c r="F88" i="10"/>
  <c r="G88" i="10"/>
  <c r="E89" i="10"/>
  <c r="F89" i="10"/>
  <c r="G89" i="10"/>
  <c r="E90" i="10"/>
  <c r="F90" i="10"/>
  <c r="G90" i="10"/>
  <c r="E91" i="10"/>
  <c r="F91" i="10"/>
  <c r="G91" i="10"/>
  <c r="E92" i="10"/>
  <c r="F92" i="10"/>
  <c r="G92" i="10"/>
  <c r="E93" i="10"/>
  <c r="F93" i="10"/>
  <c r="G93" i="10"/>
  <c r="E94" i="10"/>
  <c r="F94" i="10"/>
  <c r="G94" i="10"/>
  <c r="E86" i="10"/>
  <c r="F86" i="10"/>
  <c r="G86" i="10"/>
  <c r="P13" i="10"/>
  <c r="D15" i="10"/>
  <c r="E15" i="10"/>
  <c r="F15" i="10"/>
  <c r="H15" i="10"/>
  <c r="J15" i="10"/>
  <c r="C15" i="10"/>
  <c r="A15" i="10"/>
  <c r="E77" i="10"/>
  <c r="F77" i="10"/>
  <c r="G77" i="10"/>
  <c r="E69" i="10"/>
  <c r="F69" i="10"/>
  <c r="G69" i="10"/>
  <c r="E70" i="10"/>
  <c r="F70" i="10"/>
  <c r="G70" i="10"/>
  <c r="E71" i="10"/>
  <c r="F71" i="10"/>
  <c r="G71" i="10"/>
  <c r="E72" i="10"/>
  <c r="F72" i="10"/>
  <c r="G72" i="10"/>
  <c r="E73" i="10"/>
  <c r="F73" i="10"/>
  <c r="G73" i="10"/>
  <c r="E74" i="10"/>
  <c r="F74" i="10"/>
  <c r="G74" i="10"/>
  <c r="E75" i="10"/>
  <c r="F75" i="10"/>
  <c r="G75" i="10"/>
  <c r="E76" i="10"/>
  <c r="F76" i="10"/>
  <c r="G76" i="10"/>
  <c r="E78" i="10"/>
  <c r="F78" i="10"/>
  <c r="G78" i="10"/>
  <c r="D80" i="10"/>
  <c r="B79" i="10"/>
  <c r="C79" i="10"/>
  <c r="D81" i="10"/>
  <c r="D16" i="10"/>
  <c r="E68" i="10"/>
  <c r="E81" i="10"/>
  <c r="E16" i="10"/>
  <c r="F68" i="10"/>
  <c r="F81" i="10"/>
  <c r="F16" i="10"/>
  <c r="G68" i="10"/>
  <c r="G81" i="10"/>
  <c r="G16" i="10"/>
  <c r="B81" i="10"/>
  <c r="H81" i="10"/>
  <c r="H16" i="10"/>
  <c r="I81" i="10"/>
  <c r="I16" i="10"/>
  <c r="J16" i="10"/>
  <c r="K81" i="10"/>
  <c r="K16" i="10"/>
  <c r="L81" i="10"/>
  <c r="L16" i="10"/>
  <c r="D82" i="10"/>
  <c r="D17" i="10"/>
  <c r="E82" i="10"/>
  <c r="E17" i="10"/>
  <c r="F82" i="10"/>
  <c r="F17" i="10"/>
  <c r="G82" i="10"/>
  <c r="G17" i="10"/>
  <c r="B82" i="10"/>
  <c r="H82" i="10"/>
  <c r="H17" i="10"/>
  <c r="I82" i="10"/>
  <c r="I17" i="10"/>
  <c r="J17" i="10"/>
  <c r="K82" i="10"/>
  <c r="K17" i="10"/>
  <c r="L82" i="10"/>
  <c r="L17" i="10"/>
  <c r="C82" i="10"/>
  <c r="C17" i="10"/>
  <c r="C81" i="10"/>
  <c r="C16" i="10"/>
  <c r="G79" i="10"/>
  <c r="F80" i="10"/>
  <c r="F79" i="10"/>
  <c r="E80" i="10"/>
  <c r="E79" i="10"/>
  <c r="D79" i="10"/>
  <c r="C80" i="10"/>
  <c r="B80" i="10"/>
  <c r="H80" i="10"/>
  <c r="H79" i="10"/>
  <c r="I79" i="10"/>
  <c r="K79" i="10"/>
  <c r="L79" i="10"/>
  <c r="E59" i="10"/>
  <c r="F59" i="10"/>
  <c r="G59" i="10"/>
  <c r="E60" i="10"/>
  <c r="F60" i="10"/>
  <c r="G60" i="10"/>
  <c r="E58" i="10"/>
  <c r="F58" i="10"/>
  <c r="G58" i="10"/>
  <c r="G64" i="10"/>
  <c r="B64" i="10"/>
  <c r="H64" i="10"/>
  <c r="I64" i="10"/>
  <c r="K64" i="10"/>
  <c r="L64" i="10"/>
  <c r="L14" i="10"/>
  <c r="D64" i="10"/>
  <c r="D14" i="10"/>
  <c r="E64" i="10"/>
  <c r="E14" i="10"/>
  <c r="F64" i="10"/>
  <c r="F14" i="10"/>
  <c r="G14" i="10"/>
  <c r="H14" i="10"/>
  <c r="I14" i="10"/>
  <c r="J14" i="10"/>
  <c r="K14" i="10"/>
  <c r="C64" i="10"/>
  <c r="C14" i="10"/>
  <c r="A14" i="10"/>
  <c r="G63" i="10"/>
  <c r="G62" i="10"/>
  <c r="G61" i="10"/>
  <c r="F63" i="10"/>
  <c r="F62" i="10"/>
  <c r="F61" i="10"/>
  <c r="E63" i="10"/>
  <c r="E62" i="10"/>
  <c r="E61" i="10"/>
  <c r="D63" i="10"/>
  <c r="D62" i="10"/>
  <c r="D61" i="10"/>
  <c r="C63" i="10"/>
  <c r="C62" i="10"/>
  <c r="C61" i="10"/>
  <c r="B62" i="10"/>
  <c r="B61" i="10"/>
  <c r="C50" i="10"/>
  <c r="C51" i="10"/>
  <c r="C52" i="10"/>
  <c r="C53" i="10"/>
  <c r="B63" i="10"/>
  <c r="H63" i="10"/>
  <c r="I63" i="10"/>
  <c r="K63" i="10"/>
  <c r="L63" i="10"/>
  <c r="H62" i="10"/>
  <c r="I62" i="10"/>
  <c r="K62" i="10"/>
  <c r="L62" i="10"/>
  <c r="H61" i="10"/>
  <c r="I61" i="10"/>
  <c r="K61" i="10"/>
  <c r="L61" i="10"/>
  <c r="E48" i="10"/>
  <c r="F48" i="10"/>
  <c r="G48" i="10"/>
  <c r="E39" i="10"/>
  <c r="F39" i="10"/>
  <c r="G39" i="10"/>
  <c r="E40" i="10"/>
  <c r="F40" i="10"/>
  <c r="G40" i="10"/>
  <c r="E41" i="10"/>
  <c r="F41" i="10"/>
  <c r="G41" i="10"/>
  <c r="E42" i="10"/>
  <c r="F42" i="10"/>
  <c r="G42" i="10"/>
  <c r="E43" i="10"/>
  <c r="F43" i="10"/>
  <c r="G43" i="10"/>
  <c r="E44" i="10"/>
  <c r="F44" i="10"/>
  <c r="G44" i="10"/>
  <c r="E45" i="10"/>
  <c r="F45" i="10"/>
  <c r="G45" i="10"/>
  <c r="E46" i="10"/>
  <c r="F46" i="10"/>
  <c r="G46" i="10"/>
  <c r="E47" i="10"/>
  <c r="F47" i="10"/>
  <c r="G47" i="10"/>
  <c r="E49" i="10"/>
  <c r="F49" i="10"/>
  <c r="G49" i="10"/>
  <c r="E38" i="10"/>
  <c r="F38" i="10"/>
  <c r="G38" i="10"/>
  <c r="G53" i="10"/>
  <c r="B53" i="10"/>
  <c r="H53" i="10"/>
  <c r="I53" i="10"/>
  <c r="K53" i="10"/>
  <c r="L53" i="10"/>
  <c r="L13" i="10"/>
  <c r="D53" i="10"/>
  <c r="D13" i="10"/>
  <c r="E53" i="10"/>
  <c r="E13" i="10"/>
  <c r="F53" i="10"/>
  <c r="F13" i="10"/>
  <c r="G13" i="10"/>
  <c r="H13" i="10"/>
  <c r="I13" i="10"/>
  <c r="J13" i="10"/>
  <c r="K13" i="10"/>
  <c r="C13" i="10"/>
  <c r="A13" i="10"/>
  <c r="B50" i="10"/>
  <c r="F50" i="10"/>
  <c r="F51" i="10"/>
  <c r="F52" i="10"/>
  <c r="B52" i="10"/>
  <c r="H52" i="10"/>
  <c r="G52" i="10"/>
  <c r="I52" i="10"/>
  <c r="K52" i="10"/>
  <c r="L52" i="10"/>
  <c r="E52" i="10"/>
  <c r="D52" i="10"/>
  <c r="B51" i="10"/>
  <c r="H51" i="10"/>
  <c r="G51" i="10"/>
  <c r="I51" i="10"/>
  <c r="K51" i="10"/>
  <c r="L51" i="10"/>
  <c r="E51" i="10"/>
  <c r="D51" i="10"/>
  <c r="H50" i="10"/>
  <c r="G50" i="10"/>
  <c r="I50" i="10"/>
  <c r="K50" i="10"/>
  <c r="L50" i="10"/>
  <c r="E50" i="10"/>
  <c r="D50" i="10"/>
  <c r="S21" i="10"/>
  <c r="R21" i="10"/>
  <c r="Q21" i="10"/>
  <c r="D52" i="9"/>
  <c r="D50" i="9"/>
  <c r="E50" i="9"/>
  <c r="F50" i="9"/>
  <c r="D47" i="9"/>
  <c r="E47" i="9"/>
  <c r="F47" i="9"/>
  <c r="D48" i="9"/>
  <c r="E48" i="9"/>
  <c r="F48" i="9"/>
  <c r="D49" i="9"/>
  <c r="E49" i="9"/>
  <c r="F49" i="9"/>
  <c r="D51" i="9"/>
  <c r="E51" i="9"/>
  <c r="F51" i="9"/>
  <c r="F52" i="9"/>
  <c r="F11" i="9"/>
  <c r="D19" i="9"/>
  <c r="E19" i="9"/>
  <c r="F19" i="9"/>
  <c r="D20" i="9"/>
  <c r="E20" i="9"/>
  <c r="F20" i="9"/>
  <c r="D21" i="9"/>
  <c r="E21" i="9"/>
  <c r="F21" i="9"/>
  <c r="F22" i="9"/>
  <c r="F8" i="9"/>
  <c r="D26" i="9"/>
  <c r="E26" i="9"/>
  <c r="F26" i="9"/>
  <c r="D27" i="9"/>
  <c r="E27" i="9"/>
  <c r="F27" i="9"/>
  <c r="D28" i="9"/>
  <c r="E28" i="9"/>
  <c r="F28" i="9"/>
  <c r="D29" i="9"/>
  <c r="E29" i="9"/>
  <c r="F29" i="9"/>
  <c r="D30" i="9"/>
  <c r="E30" i="9"/>
  <c r="F30" i="9"/>
  <c r="D31" i="9"/>
  <c r="E31" i="9"/>
  <c r="F31" i="9"/>
  <c r="D32" i="9"/>
  <c r="E32" i="9"/>
  <c r="F32" i="9"/>
  <c r="F33" i="9"/>
  <c r="F9" i="9"/>
  <c r="D37" i="9"/>
  <c r="E37" i="9"/>
  <c r="F37" i="9"/>
  <c r="D38" i="9"/>
  <c r="E38" i="9"/>
  <c r="F38" i="9"/>
  <c r="D39" i="9"/>
  <c r="E39" i="9"/>
  <c r="F39" i="9"/>
  <c r="D40" i="9"/>
  <c r="E40" i="9"/>
  <c r="F40" i="9"/>
  <c r="D41" i="9"/>
  <c r="E41" i="9"/>
  <c r="F41" i="9"/>
  <c r="D42" i="9"/>
  <c r="E42" i="9"/>
  <c r="F42" i="9"/>
  <c r="F43" i="9"/>
  <c r="F10" i="9"/>
  <c r="F12" i="9"/>
  <c r="G12" i="9"/>
  <c r="G20" i="7"/>
  <c r="D11" i="9"/>
  <c r="D22" i="9"/>
  <c r="D8" i="9"/>
  <c r="D33" i="9"/>
  <c r="D9" i="9"/>
  <c r="D43" i="9"/>
  <c r="D10" i="9"/>
  <c r="D12" i="9"/>
  <c r="F20" i="7"/>
  <c r="C52" i="9"/>
  <c r="C11" i="9"/>
  <c r="E52" i="9"/>
  <c r="E11" i="9"/>
  <c r="B52" i="9"/>
  <c r="B11" i="9"/>
  <c r="A11" i="9"/>
  <c r="C43" i="9"/>
  <c r="C10" i="9"/>
  <c r="E43" i="9"/>
  <c r="E10" i="9"/>
  <c r="B43" i="9"/>
  <c r="B10" i="9"/>
  <c r="A10" i="9"/>
  <c r="E33" i="9"/>
  <c r="E9" i="9"/>
  <c r="E22" i="9"/>
  <c r="E8" i="9"/>
  <c r="E12" i="9"/>
  <c r="C33" i="9"/>
  <c r="C9" i="9"/>
  <c r="B33" i="9"/>
  <c r="B9" i="9"/>
  <c r="A9" i="9"/>
  <c r="C22" i="9"/>
  <c r="C8" i="9"/>
  <c r="B22" i="9"/>
  <c r="B8" i="9"/>
  <c r="A8" i="9"/>
  <c r="G15" i="7"/>
  <c r="F15" i="7"/>
  <c r="G19" i="7"/>
  <c r="F19" i="7"/>
  <c r="G12" i="7"/>
  <c r="F12" i="7"/>
  <c r="G11" i="7"/>
  <c r="F11" i="7"/>
  <c r="G10" i="7"/>
  <c r="F10" i="7"/>
  <c r="J23" i="1"/>
  <c r="G9" i="7"/>
  <c r="F9" i="7"/>
  <c r="F17" i="4"/>
  <c r="F18" i="4"/>
  <c r="F19" i="4"/>
  <c r="F20" i="4"/>
  <c r="F21" i="4"/>
  <c r="F22" i="4"/>
  <c r="F23" i="4"/>
  <c r="F24" i="4"/>
  <c r="F25" i="4"/>
  <c r="F26" i="4"/>
  <c r="F27" i="4"/>
  <c r="F28" i="4"/>
  <c r="F29" i="4"/>
  <c r="F30" i="4"/>
  <c r="F31" i="4"/>
  <c r="F32" i="4"/>
  <c r="F33" i="4"/>
  <c r="F34" i="4"/>
  <c r="F35" i="4"/>
  <c r="F36" i="4"/>
  <c r="F37" i="4"/>
  <c r="F38" i="4"/>
  <c r="F39" i="4"/>
  <c r="F40" i="4"/>
  <c r="F41" i="4"/>
  <c r="F42" i="4"/>
  <c r="F43" i="4"/>
  <c r="F44" i="4"/>
  <c r="F45" i="4"/>
  <c r="F46" i="4"/>
  <c r="F47" i="4"/>
  <c r="F48" i="4"/>
  <c r="H9" i="4"/>
  <c r="M9" i="4"/>
  <c r="C48" i="4"/>
  <c r="C9" i="4"/>
  <c r="B48" i="4"/>
  <c r="B9" i="4"/>
  <c r="E9" i="4"/>
  <c r="F9" i="4"/>
  <c r="G9" i="4"/>
  <c r="P9" i="4"/>
  <c r="F53" i="4"/>
  <c r="F54" i="4"/>
  <c r="F55" i="4"/>
  <c r="F56" i="4"/>
  <c r="F57" i="4"/>
  <c r="F58" i="4"/>
  <c r="F59" i="4"/>
  <c r="F60" i="4"/>
  <c r="F61" i="4"/>
  <c r="F62" i="4"/>
  <c r="F63" i="4"/>
  <c r="F64" i="4"/>
  <c r="F65" i="4"/>
  <c r="F66" i="4"/>
  <c r="F67" i="4"/>
  <c r="F68" i="4"/>
  <c r="F69" i="4"/>
  <c r="F70" i="4"/>
  <c r="F71" i="4"/>
  <c r="F72" i="4"/>
  <c r="F73" i="4"/>
  <c r="F74" i="4"/>
  <c r="F75" i="4"/>
  <c r="F76" i="4"/>
  <c r="F77" i="4"/>
  <c r="F78" i="4"/>
  <c r="F79" i="4"/>
  <c r="F80" i="4"/>
  <c r="F81" i="4"/>
  <c r="F82" i="4"/>
  <c r="F83" i="4"/>
  <c r="F84" i="4"/>
  <c r="H10" i="4"/>
  <c r="M10" i="4"/>
  <c r="C84" i="4"/>
  <c r="C10" i="4"/>
  <c r="B84" i="4"/>
  <c r="B10" i="4"/>
  <c r="E10" i="4"/>
  <c r="F10" i="4"/>
  <c r="G10" i="4"/>
  <c r="P10" i="4"/>
  <c r="F87" i="4"/>
  <c r="F88" i="4"/>
  <c r="F89" i="4"/>
  <c r="F90" i="4"/>
  <c r="F91" i="4"/>
  <c r="F92" i="4"/>
  <c r="F93" i="4"/>
  <c r="F94" i="4"/>
  <c r="F95" i="4"/>
  <c r="F96" i="4"/>
  <c r="F97" i="4"/>
  <c r="F98" i="4"/>
  <c r="F99" i="4"/>
  <c r="F100" i="4"/>
  <c r="F101" i="4"/>
  <c r="F102" i="4"/>
  <c r="F103" i="4"/>
  <c r="F104" i="4"/>
  <c r="F105" i="4"/>
  <c r="F106" i="4"/>
  <c r="F107" i="4"/>
  <c r="F108" i="4"/>
  <c r="F109" i="4"/>
  <c r="F110" i="4"/>
  <c r="F111" i="4"/>
  <c r="F112" i="4"/>
  <c r="F113" i="4"/>
  <c r="F114" i="4"/>
  <c r="F115" i="4"/>
  <c r="F116" i="4"/>
  <c r="F117" i="4"/>
  <c r="F118" i="4"/>
  <c r="F119" i="4"/>
  <c r="F120" i="4"/>
  <c r="F121" i="4"/>
  <c r="F122" i="4"/>
  <c r="F123" i="4"/>
  <c r="F124" i="4"/>
  <c r="F125" i="4"/>
  <c r="F126" i="4"/>
  <c r="H11" i="4"/>
  <c r="M11" i="4"/>
  <c r="C126" i="4"/>
  <c r="C11" i="4"/>
  <c r="B126" i="4"/>
  <c r="B11" i="4"/>
  <c r="E11" i="4"/>
  <c r="F11" i="4"/>
  <c r="G11" i="4"/>
  <c r="P11" i="4"/>
  <c r="P12" i="4"/>
  <c r="N9" i="4"/>
  <c r="O9" i="4"/>
  <c r="N10" i="4"/>
  <c r="O10" i="4"/>
  <c r="N11" i="4"/>
  <c r="O11" i="4"/>
  <c r="O12" i="4"/>
  <c r="N12" i="4"/>
  <c r="M12" i="4"/>
  <c r="G17" i="4"/>
  <c r="G18" i="4"/>
  <c r="G19" i="4"/>
  <c r="G20" i="4"/>
  <c r="G21" i="4"/>
  <c r="G22" i="4"/>
  <c r="G23" i="4"/>
  <c r="G24" i="4"/>
  <c r="G25" i="4"/>
  <c r="G26" i="4"/>
  <c r="G27" i="4"/>
  <c r="G28" i="4"/>
  <c r="G29" i="4"/>
  <c r="G30" i="4"/>
  <c r="G31" i="4"/>
  <c r="G32" i="4"/>
  <c r="G33" i="4"/>
  <c r="G34" i="4"/>
  <c r="G35" i="4"/>
  <c r="G36" i="4"/>
  <c r="G37" i="4"/>
  <c r="G38" i="4"/>
  <c r="G39" i="4"/>
  <c r="G40" i="4"/>
  <c r="G41" i="4"/>
  <c r="G42" i="4"/>
  <c r="G43" i="4"/>
  <c r="G44" i="4"/>
  <c r="G45" i="4"/>
  <c r="G46" i="4"/>
  <c r="G47" i="4"/>
  <c r="G48" i="4"/>
  <c r="I9" i="4"/>
  <c r="K9" i="4"/>
  <c r="L9" i="4"/>
  <c r="G53" i="4"/>
  <c r="G54" i="4"/>
  <c r="G55" i="4"/>
  <c r="G56" i="4"/>
  <c r="G57" i="4"/>
  <c r="G58" i="4"/>
  <c r="G59" i="4"/>
  <c r="G60" i="4"/>
  <c r="G61" i="4"/>
  <c r="G62" i="4"/>
  <c r="G63" i="4"/>
  <c r="G64" i="4"/>
  <c r="G65" i="4"/>
  <c r="G66" i="4"/>
  <c r="G67" i="4"/>
  <c r="G68" i="4"/>
  <c r="G69" i="4"/>
  <c r="G70" i="4"/>
  <c r="G71" i="4"/>
  <c r="G72" i="4"/>
  <c r="G73" i="4"/>
  <c r="G74" i="4"/>
  <c r="G75" i="4"/>
  <c r="G76" i="4"/>
  <c r="G77" i="4"/>
  <c r="G78" i="4"/>
  <c r="G79" i="4"/>
  <c r="G80" i="4"/>
  <c r="G81" i="4"/>
  <c r="G82" i="4"/>
  <c r="G83" i="4"/>
  <c r="G84" i="4"/>
  <c r="I10" i="4"/>
  <c r="K10" i="4"/>
  <c r="L10" i="4"/>
  <c r="G87" i="4"/>
  <c r="G88" i="4"/>
  <c r="G89" i="4"/>
  <c r="G90" i="4"/>
  <c r="G91" i="4"/>
  <c r="G92" i="4"/>
  <c r="G93" i="4"/>
  <c r="G94" i="4"/>
  <c r="G95" i="4"/>
  <c r="G96" i="4"/>
  <c r="G97" i="4"/>
  <c r="G98" i="4"/>
  <c r="G99" i="4"/>
  <c r="G100" i="4"/>
  <c r="G101" i="4"/>
  <c r="G102" i="4"/>
  <c r="G103" i="4"/>
  <c r="G104" i="4"/>
  <c r="G105" i="4"/>
  <c r="G106" i="4"/>
  <c r="G107" i="4"/>
  <c r="G108" i="4"/>
  <c r="G109" i="4"/>
  <c r="G110" i="4"/>
  <c r="G111" i="4"/>
  <c r="G112" i="4"/>
  <c r="G113" i="4"/>
  <c r="G114" i="4"/>
  <c r="G115" i="4"/>
  <c r="G116" i="4"/>
  <c r="G117" i="4"/>
  <c r="G118" i="4"/>
  <c r="G119" i="4"/>
  <c r="G120" i="4"/>
  <c r="G121" i="4"/>
  <c r="G122" i="4"/>
  <c r="G123" i="4"/>
  <c r="G124" i="4"/>
  <c r="G125" i="4"/>
  <c r="G126" i="4"/>
  <c r="I11" i="4"/>
  <c r="K11" i="4"/>
  <c r="L11" i="4"/>
  <c r="L12" i="4"/>
  <c r="K12" i="4"/>
  <c r="J9" i="4"/>
  <c r="J10" i="4"/>
  <c r="J11" i="4"/>
  <c r="J12" i="4"/>
  <c r="H12" i="4"/>
  <c r="I12" i="4"/>
  <c r="G12" i="4"/>
  <c r="F12" i="4"/>
  <c r="C12" i="4"/>
  <c r="D9" i="4"/>
  <c r="D10" i="4"/>
  <c r="D11" i="4"/>
  <c r="D12" i="4"/>
  <c r="E12" i="4"/>
  <c r="B12" i="4"/>
  <c r="A11" i="4"/>
  <c r="A10" i="4"/>
  <c r="A9" i="4"/>
  <c r="E126" i="4"/>
  <c r="D126" i="4"/>
  <c r="E84" i="4"/>
  <c r="D84" i="4"/>
  <c r="E48" i="4"/>
  <c r="D48" i="4"/>
  <c r="H12" i="5"/>
  <c r="R20" i="2"/>
  <c r="S20" i="2"/>
  <c r="Q20" i="2"/>
  <c r="K250" i="2"/>
  <c r="G253" i="2"/>
  <c r="G252" i="2"/>
  <c r="G251" i="2"/>
  <c r="G250" i="2"/>
  <c r="E253" i="2"/>
  <c r="E252" i="2"/>
  <c r="E251" i="2"/>
  <c r="E250" i="2"/>
  <c r="G245" i="2"/>
  <c r="G246" i="2"/>
  <c r="G247" i="2"/>
  <c r="G248" i="2"/>
  <c r="G249" i="2"/>
  <c r="E245" i="2"/>
  <c r="E246" i="2"/>
  <c r="E247" i="2"/>
  <c r="E248" i="2"/>
  <c r="E249" i="2"/>
  <c r="C250" i="2"/>
  <c r="C253" i="2"/>
  <c r="C252" i="2"/>
  <c r="C251" i="2"/>
  <c r="B253" i="2"/>
  <c r="B252" i="2"/>
  <c r="B251" i="2"/>
  <c r="G244" i="2"/>
  <c r="E244" i="2"/>
  <c r="H253" i="2"/>
  <c r="I253" i="2"/>
  <c r="K253" i="2"/>
  <c r="L253" i="2"/>
  <c r="H252" i="2"/>
  <c r="I252" i="2"/>
  <c r="K252" i="2"/>
  <c r="L252" i="2"/>
  <c r="H251" i="2"/>
  <c r="I251" i="2"/>
  <c r="K251" i="2"/>
  <c r="L251" i="2"/>
  <c r="B250" i="2"/>
  <c r="H250" i="2"/>
  <c r="I250" i="2"/>
  <c r="L250" i="2"/>
  <c r="F238" i="2"/>
  <c r="G220" i="2"/>
  <c r="G240" i="2"/>
  <c r="H240" i="2"/>
  <c r="I240" i="2"/>
  <c r="K240" i="2"/>
  <c r="K25" i="2"/>
  <c r="G239" i="2"/>
  <c r="H239" i="2"/>
  <c r="I239" i="2"/>
  <c r="K239" i="2"/>
  <c r="K24" i="2"/>
  <c r="D239" i="2"/>
  <c r="D24" i="2"/>
  <c r="E239" i="2"/>
  <c r="E24" i="2"/>
  <c r="F239" i="2"/>
  <c r="F24" i="2"/>
  <c r="G24" i="2"/>
  <c r="H24" i="2"/>
  <c r="I24" i="2"/>
  <c r="J24" i="2"/>
  <c r="L239" i="2"/>
  <c r="L24" i="2"/>
  <c r="D240" i="2"/>
  <c r="D25" i="2"/>
  <c r="E240" i="2"/>
  <c r="E25" i="2"/>
  <c r="F220" i="2"/>
  <c r="F240" i="2"/>
  <c r="F25" i="2"/>
  <c r="G25" i="2"/>
  <c r="H25" i="2"/>
  <c r="I25" i="2"/>
  <c r="J25" i="2"/>
  <c r="L240" i="2"/>
  <c r="L25" i="2"/>
  <c r="C25" i="2"/>
  <c r="C24" i="2"/>
  <c r="A24" i="2"/>
  <c r="E220" i="2"/>
  <c r="E221" i="2"/>
  <c r="G221" i="2"/>
  <c r="E222" i="2"/>
  <c r="G222" i="2"/>
  <c r="E223" i="2"/>
  <c r="G223" i="2"/>
  <c r="E224" i="2"/>
  <c r="G224" i="2"/>
  <c r="E225" i="2"/>
  <c r="G225" i="2"/>
  <c r="E226" i="2"/>
  <c r="G226" i="2"/>
  <c r="E227" i="2"/>
  <c r="G227" i="2"/>
  <c r="E228" i="2"/>
  <c r="G228" i="2"/>
  <c r="E229" i="2"/>
  <c r="G229" i="2"/>
  <c r="E230" i="2"/>
  <c r="G230" i="2"/>
  <c r="E231" i="2"/>
  <c r="G231" i="2"/>
  <c r="E232" i="2"/>
  <c r="G232" i="2"/>
  <c r="E233" i="2"/>
  <c r="G233" i="2"/>
  <c r="E234" i="2"/>
  <c r="G234" i="2"/>
  <c r="E235" i="2"/>
  <c r="G235" i="2"/>
  <c r="E236" i="2"/>
  <c r="G236" i="2"/>
  <c r="G238" i="2"/>
  <c r="G237" i="2"/>
  <c r="F221" i="2"/>
  <c r="F222" i="2"/>
  <c r="F223" i="2"/>
  <c r="F224" i="2"/>
  <c r="F225" i="2"/>
  <c r="F226" i="2"/>
  <c r="F227" i="2"/>
  <c r="F228" i="2"/>
  <c r="F229" i="2"/>
  <c r="F230" i="2"/>
  <c r="F231" i="2"/>
  <c r="F232" i="2"/>
  <c r="F233" i="2"/>
  <c r="F234" i="2"/>
  <c r="F235" i="2"/>
  <c r="F236" i="2"/>
  <c r="F237" i="2"/>
  <c r="E238" i="2"/>
  <c r="E237" i="2"/>
  <c r="D238" i="2"/>
  <c r="D237" i="2"/>
  <c r="C240" i="2"/>
  <c r="C239" i="2"/>
  <c r="C238" i="2"/>
  <c r="C237" i="2"/>
  <c r="B240" i="2"/>
  <c r="B239" i="2"/>
  <c r="B238" i="2"/>
  <c r="B237" i="2"/>
  <c r="H238" i="2"/>
  <c r="I238" i="2"/>
  <c r="K238" i="2"/>
  <c r="L238" i="2"/>
  <c r="H237" i="2"/>
  <c r="I237" i="2"/>
  <c r="K237" i="2"/>
  <c r="L237" i="2"/>
  <c r="P13" i="2"/>
  <c r="D215" i="2"/>
  <c r="D23" i="2"/>
  <c r="D52" i="2"/>
  <c r="D13" i="2"/>
  <c r="D16" i="2"/>
  <c r="D21" i="2"/>
  <c r="D18" i="2"/>
  <c r="D196" i="2"/>
  <c r="D22" i="2"/>
  <c r="D28" i="2"/>
  <c r="E201" i="2"/>
  <c r="E202" i="2"/>
  <c r="E203" i="2"/>
  <c r="E204" i="2"/>
  <c r="E205" i="2"/>
  <c r="E206" i="2"/>
  <c r="E207" i="2"/>
  <c r="E208" i="2"/>
  <c r="E209" i="2"/>
  <c r="E210" i="2"/>
  <c r="E211" i="2"/>
  <c r="E215" i="2"/>
  <c r="E23" i="2"/>
  <c r="E35" i="2"/>
  <c r="E36" i="2"/>
  <c r="E37" i="2"/>
  <c r="E38" i="2"/>
  <c r="E34" i="2"/>
  <c r="E39" i="2"/>
  <c r="E40" i="2"/>
  <c r="E41" i="2"/>
  <c r="E42" i="2"/>
  <c r="E43" i="2"/>
  <c r="E44" i="2"/>
  <c r="E45" i="2"/>
  <c r="E46" i="2"/>
  <c r="E47" i="2"/>
  <c r="E48" i="2"/>
  <c r="E52" i="2"/>
  <c r="E13" i="2"/>
  <c r="E67" i="2"/>
  <c r="E74" i="2"/>
  <c r="E75" i="2"/>
  <c r="E76" i="2"/>
  <c r="E58" i="2"/>
  <c r="E59" i="2"/>
  <c r="E60" i="2"/>
  <c r="E61" i="2"/>
  <c r="E62" i="2"/>
  <c r="E63" i="2"/>
  <c r="E64" i="2"/>
  <c r="E65" i="2"/>
  <c r="E66" i="2"/>
  <c r="E68" i="2"/>
  <c r="E69" i="2"/>
  <c r="E70" i="2"/>
  <c r="E71" i="2"/>
  <c r="E72" i="2"/>
  <c r="E73" i="2"/>
  <c r="E77" i="2"/>
  <c r="E78" i="2"/>
  <c r="E79" i="2"/>
  <c r="E80" i="2"/>
  <c r="E81" i="2"/>
  <c r="E82" i="2"/>
  <c r="E83" i="2"/>
  <c r="E84" i="2"/>
  <c r="E85" i="2"/>
  <c r="E86" i="2"/>
  <c r="E87" i="2"/>
  <c r="E88" i="2"/>
  <c r="E89" i="2"/>
  <c r="E90" i="2"/>
  <c r="E91" i="2"/>
  <c r="E92" i="2"/>
  <c r="E93" i="2"/>
  <c r="E94" i="2"/>
  <c r="E95" i="2"/>
  <c r="E96" i="2"/>
  <c r="E100" i="2"/>
  <c r="E16" i="2"/>
  <c r="E154" i="2"/>
  <c r="E155" i="2"/>
  <c r="E156" i="2"/>
  <c r="E157" i="2"/>
  <c r="E150" i="2"/>
  <c r="E151" i="2"/>
  <c r="E152" i="2"/>
  <c r="E153" i="2"/>
  <c r="E158" i="2"/>
  <c r="E159" i="2"/>
  <c r="E160" i="2"/>
  <c r="E161" i="2"/>
  <c r="E162" i="2"/>
  <c r="E163" i="2"/>
  <c r="E164" i="2"/>
  <c r="E165" i="2"/>
  <c r="E166" i="2"/>
  <c r="E167" i="2"/>
  <c r="E168" i="2"/>
  <c r="E169" i="2"/>
  <c r="E170" i="2"/>
  <c r="E171" i="2"/>
  <c r="E172" i="2"/>
  <c r="E173" i="2"/>
  <c r="E174" i="2"/>
  <c r="E175" i="2"/>
  <c r="E176" i="2"/>
  <c r="E177" i="2"/>
  <c r="E181" i="2"/>
  <c r="E21" i="2"/>
  <c r="E107" i="2"/>
  <c r="E110" i="2"/>
  <c r="E111" i="2"/>
  <c r="E112" i="2"/>
  <c r="E104" i="2"/>
  <c r="E105" i="2"/>
  <c r="E106" i="2"/>
  <c r="E108" i="2"/>
  <c r="E109" i="2"/>
  <c r="E113" i="2"/>
  <c r="E114" i="2"/>
  <c r="E115" i="2"/>
  <c r="E116" i="2"/>
  <c r="E117" i="2"/>
  <c r="E118" i="2"/>
  <c r="E119" i="2"/>
  <c r="E120" i="2"/>
  <c r="E121" i="2"/>
  <c r="E122" i="2"/>
  <c r="E123" i="2"/>
  <c r="E124" i="2"/>
  <c r="E125" i="2"/>
  <c r="E126" i="2"/>
  <c r="E127" i="2"/>
  <c r="E128" i="2"/>
  <c r="E129" i="2"/>
  <c r="E130" i="2"/>
  <c r="E131" i="2"/>
  <c r="E132" i="2"/>
  <c r="E133" i="2"/>
  <c r="E134" i="2"/>
  <c r="E135" i="2"/>
  <c r="E136" i="2"/>
  <c r="E140" i="2"/>
  <c r="E18" i="2"/>
  <c r="E187" i="2"/>
  <c r="E188" i="2"/>
  <c r="E189" i="2"/>
  <c r="E190" i="2"/>
  <c r="E191" i="2"/>
  <c r="E192" i="2"/>
  <c r="E196" i="2"/>
  <c r="E22" i="2"/>
  <c r="E28" i="2"/>
  <c r="F201" i="2"/>
  <c r="F202" i="2"/>
  <c r="F203" i="2"/>
  <c r="F204" i="2"/>
  <c r="F205" i="2"/>
  <c r="F206" i="2"/>
  <c r="F207" i="2"/>
  <c r="F208" i="2"/>
  <c r="F209" i="2"/>
  <c r="F210" i="2"/>
  <c r="F211" i="2"/>
  <c r="F215" i="2"/>
  <c r="F23" i="2"/>
  <c r="F35" i="2"/>
  <c r="F36" i="2"/>
  <c r="F37" i="2"/>
  <c r="F38" i="2"/>
  <c r="F34" i="2"/>
  <c r="F39" i="2"/>
  <c r="F40" i="2"/>
  <c r="F41" i="2"/>
  <c r="F42" i="2"/>
  <c r="F43" i="2"/>
  <c r="F44" i="2"/>
  <c r="F45" i="2"/>
  <c r="F46" i="2"/>
  <c r="F47" i="2"/>
  <c r="F48" i="2"/>
  <c r="F52" i="2"/>
  <c r="F13" i="2"/>
  <c r="F16" i="2"/>
  <c r="F21" i="2"/>
  <c r="F18" i="2"/>
  <c r="F187" i="2"/>
  <c r="F188" i="2"/>
  <c r="F189" i="2"/>
  <c r="F190" i="2"/>
  <c r="F191" i="2"/>
  <c r="F192" i="2"/>
  <c r="F196" i="2"/>
  <c r="F22" i="2"/>
  <c r="F28" i="2"/>
  <c r="G201" i="2"/>
  <c r="G202" i="2"/>
  <c r="G203" i="2"/>
  <c r="G204" i="2"/>
  <c r="G205" i="2"/>
  <c r="G206" i="2"/>
  <c r="G207" i="2"/>
  <c r="G208" i="2"/>
  <c r="G209" i="2"/>
  <c r="G210" i="2"/>
  <c r="G211" i="2"/>
  <c r="G215" i="2"/>
  <c r="G23" i="2"/>
  <c r="G35" i="2"/>
  <c r="G36" i="2"/>
  <c r="G37" i="2"/>
  <c r="G38" i="2"/>
  <c r="G34" i="2"/>
  <c r="G39" i="2"/>
  <c r="G40" i="2"/>
  <c r="G41" i="2"/>
  <c r="G42" i="2"/>
  <c r="G43" i="2"/>
  <c r="G44" i="2"/>
  <c r="G45" i="2"/>
  <c r="G46" i="2"/>
  <c r="G47" i="2"/>
  <c r="G48" i="2"/>
  <c r="G52" i="2"/>
  <c r="G13" i="2"/>
  <c r="G67" i="2"/>
  <c r="G74" i="2"/>
  <c r="G75" i="2"/>
  <c r="G76" i="2"/>
  <c r="G58" i="2"/>
  <c r="G59" i="2"/>
  <c r="G60" i="2"/>
  <c r="G61" i="2"/>
  <c r="G62" i="2"/>
  <c r="G63" i="2"/>
  <c r="G64" i="2"/>
  <c r="G65" i="2"/>
  <c r="G66" i="2"/>
  <c r="G68" i="2"/>
  <c r="G69" i="2"/>
  <c r="G70" i="2"/>
  <c r="G71" i="2"/>
  <c r="G72" i="2"/>
  <c r="G73" i="2"/>
  <c r="G77" i="2"/>
  <c r="G78" i="2"/>
  <c r="G79" i="2"/>
  <c r="G80" i="2"/>
  <c r="G81" i="2"/>
  <c r="G82" i="2"/>
  <c r="G83" i="2"/>
  <c r="G84" i="2"/>
  <c r="G85" i="2"/>
  <c r="G86" i="2"/>
  <c r="G87" i="2"/>
  <c r="G88" i="2"/>
  <c r="G89" i="2"/>
  <c r="G90" i="2"/>
  <c r="G91" i="2"/>
  <c r="G92" i="2"/>
  <c r="G93" i="2"/>
  <c r="G94" i="2"/>
  <c r="G95" i="2"/>
  <c r="G96" i="2"/>
  <c r="G100" i="2"/>
  <c r="G16" i="2"/>
  <c r="G154" i="2"/>
  <c r="G155" i="2"/>
  <c r="G156" i="2"/>
  <c r="G157" i="2"/>
  <c r="G150" i="2"/>
  <c r="G151" i="2"/>
  <c r="G152" i="2"/>
  <c r="G153" i="2"/>
  <c r="G158" i="2"/>
  <c r="G159" i="2"/>
  <c r="G160" i="2"/>
  <c r="G161" i="2"/>
  <c r="G162" i="2"/>
  <c r="G163" i="2"/>
  <c r="G164" i="2"/>
  <c r="G165" i="2"/>
  <c r="G166" i="2"/>
  <c r="G167" i="2"/>
  <c r="G168" i="2"/>
  <c r="G169" i="2"/>
  <c r="G170" i="2"/>
  <c r="G171" i="2"/>
  <c r="G172" i="2"/>
  <c r="G173" i="2"/>
  <c r="G174" i="2"/>
  <c r="G175" i="2"/>
  <c r="G176" i="2"/>
  <c r="G177" i="2"/>
  <c r="G181" i="2"/>
  <c r="G21" i="2"/>
  <c r="G107" i="2"/>
  <c r="G110" i="2"/>
  <c r="G111" i="2"/>
  <c r="G112" i="2"/>
  <c r="G104" i="2"/>
  <c r="G105" i="2"/>
  <c r="G106" i="2"/>
  <c r="G108" i="2"/>
  <c r="G109" i="2"/>
  <c r="G113" i="2"/>
  <c r="G114" i="2"/>
  <c r="G115" i="2"/>
  <c r="G116" i="2"/>
  <c r="G117" i="2"/>
  <c r="G118" i="2"/>
  <c r="G119" i="2"/>
  <c r="G120" i="2"/>
  <c r="G121" i="2"/>
  <c r="G122" i="2"/>
  <c r="G123" i="2"/>
  <c r="G124" i="2"/>
  <c r="G125" i="2"/>
  <c r="G126" i="2"/>
  <c r="G127" i="2"/>
  <c r="G128" i="2"/>
  <c r="G129" i="2"/>
  <c r="G130" i="2"/>
  <c r="G131" i="2"/>
  <c r="G132" i="2"/>
  <c r="G133" i="2"/>
  <c r="G134" i="2"/>
  <c r="G135" i="2"/>
  <c r="G136" i="2"/>
  <c r="G140" i="2"/>
  <c r="G18" i="2"/>
  <c r="G187" i="2"/>
  <c r="G188" i="2"/>
  <c r="G189" i="2"/>
  <c r="G190" i="2"/>
  <c r="G191" i="2"/>
  <c r="G192" i="2"/>
  <c r="G196" i="2"/>
  <c r="G22" i="2"/>
  <c r="G28" i="2"/>
  <c r="B215" i="2"/>
  <c r="H215" i="2"/>
  <c r="H23" i="2"/>
  <c r="B52" i="2"/>
  <c r="H52" i="2"/>
  <c r="H13" i="2"/>
  <c r="B100" i="2"/>
  <c r="H100" i="2"/>
  <c r="H16" i="2"/>
  <c r="B181" i="2"/>
  <c r="H181" i="2"/>
  <c r="H21" i="2"/>
  <c r="B140" i="2"/>
  <c r="H140" i="2"/>
  <c r="H18" i="2"/>
  <c r="B196" i="2"/>
  <c r="H196" i="2"/>
  <c r="H22" i="2"/>
  <c r="H28" i="2"/>
  <c r="I215" i="2"/>
  <c r="I23" i="2"/>
  <c r="I52" i="2"/>
  <c r="I13" i="2"/>
  <c r="I100" i="2"/>
  <c r="I16" i="2"/>
  <c r="I181" i="2"/>
  <c r="I21" i="2"/>
  <c r="I140" i="2"/>
  <c r="I18" i="2"/>
  <c r="I196" i="2"/>
  <c r="I22" i="2"/>
  <c r="I28" i="2"/>
  <c r="J23" i="2"/>
  <c r="J13" i="2"/>
  <c r="J16" i="2"/>
  <c r="J21" i="2"/>
  <c r="J18" i="2"/>
  <c r="J22" i="2"/>
  <c r="J28" i="2"/>
  <c r="K215" i="2"/>
  <c r="K23" i="2"/>
  <c r="K52" i="2"/>
  <c r="K13" i="2"/>
  <c r="K100" i="2"/>
  <c r="K16" i="2"/>
  <c r="K181" i="2"/>
  <c r="K21" i="2"/>
  <c r="K140" i="2"/>
  <c r="K18" i="2"/>
  <c r="K196" i="2"/>
  <c r="K22" i="2"/>
  <c r="K28" i="2"/>
  <c r="L215" i="2"/>
  <c r="L23" i="2"/>
  <c r="L52" i="2"/>
  <c r="L13" i="2"/>
  <c r="L100" i="2"/>
  <c r="L16" i="2"/>
  <c r="L181" i="2"/>
  <c r="L21" i="2"/>
  <c r="L140" i="2"/>
  <c r="L18" i="2"/>
  <c r="L196" i="2"/>
  <c r="L22" i="2"/>
  <c r="L28" i="2"/>
  <c r="M28" i="2"/>
  <c r="C215" i="2"/>
  <c r="C23" i="2"/>
  <c r="C52" i="2"/>
  <c r="C13" i="2"/>
  <c r="C100" i="2"/>
  <c r="C16" i="2"/>
  <c r="C181" i="2"/>
  <c r="C21" i="2"/>
  <c r="C140" i="2"/>
  <c r="C18" i="2"/>
  <c r="C196" i="2"/>
  <c r="C22" i="2"/>
  <c r="C28" i="2"/>
  <c r="A23" i="2"/>
  <c r="G214" i="2"/>
  <c r="G213" i="2"/>
  <c r="F212" i="2"/>
  <c r="G212" i="2"/>
  <c r="F214" i="2"/>
  <c r="F213" i="2"/>
  <c r="E214" i="2"/>
  <c r="E213" i="2"/>
  <c r="E212" i="2"/>
  <c r="D214" i="2"/>
  <c r="D213" i="2"/>
  <c r="D212" i="2"/>
  <c r="C214" i="2"/>
  <c r="C213" i="2"/>
  <c r="C212" i="2"/>
  <c r="B214" i="2"/>
  <c r="B213" i="2"/>
  <c r="B212" i="2"/>
  <c r="H214" i="2"/>
  <c r="I214" i="2"/>
  <c r="K214" i="2"/>
  <c r="L214" i="2"/>
  <c r="H213" i="2"/>
  <c r="I213" i="2"/>
  <c r="K213" i="2"/>
  <c r="L213" i="2"/>
  <c r="H212" i="2"/>
  <c r="I212" i="2"/>
  <c r="K212" i="2"/>
  <c r="L212" i="2"/>
  <c r="A22" i="2"/>
  <c r="B193" i="2"/>
  <c r="H193" i="2"/>
  <c r="G195" i="2"/>
  <c r="G194" i="2"/>
  <c r="G193" i="2"/>
  <c r="F195" i="2"/>
  <c r="F194" i="2"/>
  <c r="F193" i="2"/>
  <c r="D195" i="2"/>
  <c r="D194" i="2"/>
  <c r="D193" i="2"/>
  <c r="E195" i="2"/>
  <c r="E194" i="2"/>
  <c r="E193" i="2"/>
  <c r="C195" i="2"/>
  <c r="C194" i="2"/>
  <c r="C193" i="2"/>
  <c r="B195" i="2"/>
  <c r="B194" i="2"/>
  <c r="H195" i="2"/>
  <c r="I195" i="2"/>
  <c r="K195" i="2"/>
  <c r="L195" i="2"/>
  <c r="H194" i="2"/>
  <c r="I194" i="2"/>
  <c r="K194" i="2"/>
  <c r="L194" i="2"/>
  <c r="I193" i="2"/>
  <c r="K193" i="2"/>
  <c r="L193" i="2"/>
  <c r="D14" i="2"/>
  <c r="D19" i="2"/>
  <c r="D26" i="2"/>
  <c r="E98" i="2"/>
  <c r="E14" i="2"/>
  <c r="E179" i="2"/>
  <c r="E19" i="2"/>
  <c r="E26" i="2"/>
  <c r="F14" i="2"/>
  <c r="F19" i="2"/>
  <c r="F26" i="2"/>
  <c r="G98" i="2"/>
  <c r="G14" i="2"/>
  <c r="G179" i="2"/>
  <c r="G19" i="2"/>
  <c r="G26" i="2"/>
  <c r="B98" i="2"/>
  <c r="H98" i="2"/>
  <c r="H14" i="2"/>
  <c r="B179" i="2"/>
  <c r="H179" i="2"/>
  <c r="H19" i="2"/>
  <c r="H26" i="2"/>
  <c r="I98" i="2"/>
  <c r="I14" i="2"/>
  <c r="I179" i="2"/>
  <c r="I19" i="2"/>
  <c r="I26" i="2"/>
  <c r="J14" i="2"/>
  <c r="J19" i="2"/>
  <c r="J26" i="2"/>
  <c r="K98" i="2"/>
  <c r="K14" i="2"/>
  <c r="K179" i="2"/>
  <c r="K19" i="2"/>
  <c r="K26" i="2"/>
  <c r="L98" i="2"/>
  <c r="L14" i="2"/>
  <c r="L179" i="2"/>
  <c r="L19" i="2"/>
  <c r="L26" i="2"/>
  <c r="M26" i="2"/>
  <c r="D20" i="2"/>
  <c r="D51" i="2"/>
  <c r="D12" i="2"/>
  <c r="D15" i="2"/>
  <c r="D17" i="2"/>
  <c r="D27" i="2"/>
  <c r="E180" i="2"/>
  <c r="E20" i="2"/>
  <c r="E51" i="2"/>
  <c r="E12" i="2"/>
  <c r="E99" i="2"/>
  <c r="E15" i="2"/>
  <c r="E139" i="2"/>
  <c r="E17" i="2"/>
  <c r="E27" i="2"/>
  <c r="F20" i="2"/>
  <c r="F51" i="2"/>
  <c r="F12" i="2"/>
  <c r="F15" i="2"/>
  <c r="F17" i="2"/>
  <c r="F27" i="2"/>
  <c r="G180" i="2"/>
  <c r="G20" i="2"/>
  <c r="G51" i="2"/>
  <c r="G12" i="2"/>
  <c r="G99" i="2"/>
  <c r="G15" i="2"/>
  <c r="G139" i="2"/>
  <c r="G17" i="2"/>
  <c r="G27" i="2"/>
  <c r="B180" i="2"/>
  <c r="H180" i="2"/>
  <c r="H20" i="2"/>
  <c r="B51" i="2"/>
  <c r="H51" i="2"/>
  <c r="H12" i="2"/>
  <c r="B99" i="2"/>
  <c r="H99" i="2"/>
  <c r="H15" i="2"/>
  <c r="B139" i="2"/>
  <c r="H139" i="2"/>
  <c r="H17" i="2"/>
  <c r="H27" i="2"/>
  <c r="I180" i="2"/>
  <c r="I20" i="2"/>
  <c r="I51" i="2"/>
  <c r="I12" i="2"/>
  <c r="I99" i="2"/>
  <c r="I15" i="2"/>
  <c r="I139" i="2"/>
  <c r="I17" i="2"/>
  <c r="I27" i="2"/>
  <c r="J20" i="2"/>
  <c r="J12" i="2"/>
  <c r="J15" i="2"/>
  <c r="J17" i="2"/>
  <c r="J27" i="2"/>
  <c r="K180" i="2"/>
  <c r="K20" i="2"/>
  <c r="K51" i="2"/>
  <c r="K12" i="2"/>
  <c r="K99" i="2"/>
  <c r="K15" i="2"/>
  <c r="K139" i="2"/>
  <c r="K17" i="2"/>
  <c r="K27" i="2"/>
  <c r="L180" i="2"/>
  <c r="L20" i="2"/>
  <c r="L51" i="2"/>
  <c r="L12" i="2"/>
  <c r="L99" i="2"/>
  <c r="L15" i="2"/>
  <c r="L139" i="2"/>
  <c r="L17" i="2"/>
  <c r="L27" i="2"/>
  <c r="M27" i="2"/>
  <c r="C180" i="2"/>
  <c r="C20" i="2"/>
  <c r="C51" i="2"/>
  <c r="C12" i="2"/>
  <c r="C99" i="2"/>
  <c r="C15" i="2"/>
  <c r="C139" i="2"/>
  <c r="C17" i="2"/>
  <c r="C27" i="2"/>
  <c r="C98" i="2"/>
  <c r="C14" i="2"/>
  <c r="C179" i="2"/>
  <c r="C19" i="2"/>
  <c r="C26" i="2"/>
  <c r="A19" i="2"/>
  <c r="B178" i="2"/>
  <c r="H178" i="2"/>
  <c r="G178" i="2"/>
  <c r="E178" i="2"/>
  <c r="C178" i="2"/>
  <c r="I178" i="2"/>
  <c r="K178" i="2"/>
  <c r="L178" i="2"/>
  <c r="A17" i="2"/>
  <c r="A14" i="2"/>
  <c r="H137" i="2"/>
  <c r="G137" i="2"/>
  <c r="I137" i="2"/>
  <c r="G138" i="2"/>
  <c r="E138" i="2"/>
  <c r="C138" i="2"/>
  <c r="B138" i="2"/>
  <c r="H138" i="2"/>
  <c r="I138" i="2"/>
  <c r="K138" i="2"/>
  <c r="L138" i="2"/>
  <c r="B137" i="2"/>
  <c r="B97" i="2"/>
  <c r="H97" i="2"/>
  <c r="G97" i="2"/>
  <c r="I97" i="2"/>
  <c r="C97" i="2"/>
  <c r="B50" i="2"/>
  <c r="B49" i="2"/>
  <c r="D49" i="2"/>
  <c r="C49" i="2"/>
  <c r="H50" i="2"/>
  <c r="G50" i="2"/>
  <c r="I50" i="2"/>
  <c r="K50" i="2"/>
  <c r="L50" i="2"/>
  <c r="H49" i="2"/>
  <c r="G49" i="2"/>
  <c r="I49" i="2"/>
  <c r="F50" i="2"/>
  <c r="E50" i="2"/>
  <c r="D50" i="2"/>
  <c r="C50" i="2"/>
  <c r="F49" i="2"/>
  <c r="E49" i="2"/>
  <c r="A18" i="3"/>
  <c r="A17" i="3"/>
  <c r="A16" i="3"/>
  <c r="K97" i="2"/>
  <c r="L97" i="2"/>
  <c r="E97" i="2"/>
  <c r="K137" i="2"/>
  <c r="E137" i="2"/>
  <c r="C137" i="2"/>
  <c r="L137" i="2"/>
  <c r="E7" i="8"/>
  <c r="F7" i="8"/>
  <c r="G7" i="8"/>
  <c r="D7" i="8"/>
  <c r="J13" i="8"/>
  <c r="I13" i="8"/>
  <c r="C7" i="8"/>
  <c r="B7" i="8"/>
  <c r="I44" i="8"/>
  <c r="H44" i="8"/>
  <c r="H36" i="8"/>
  <c r="G44" i="8"/>
  <c r="E39" i="8"/>
  <c r="E40" i="8"/>
  <c r="E41" i="8"/>
  <c r="E42" i="8"/>
  <c r="E43" i="8"/>
  <c r="E44" i="8"/>
  <c r="D44" i="8"/>
  <c r="AC84" i="2"/>
  <c r="AA84" i="2"/>
  <c r="AC85" i="2"/>
  <c r="AA85" i="2"/>
  <c r="AC86" i="2"/>
  <c r="AA86" i="2"/>
  <c r="AC87" i="2"/>
  <c r="AA87" i="2"/>
  <c r="AC88" i="2"/>
  <c r="AA88" i="2"/>
  <c r="AC89" i="2"/>
  <c r="AA89" i="2"/>
  <c r="AC90" i="2"/>
  <c r="AA90" i="2"/>
  <c r="AC91" i="2"/>
  <c r="AA91" i="2"/>
  <c r="AC92" i="2"/>
  <c r="AA92" i="2"/>
  <c r="AC93" i="2"/>
  <c r="AA93" i="2"/>
  <c r="AC94" i="2"/>
  <c r="AA94" i="2"/>
  <c r="AC95" i="2"/>
  <c r="AA95" i="2"/>
  <c r="AC96" i="2"/>
  <c r="AA96" i="2"/>
  <c r="AC97" i="2"/>
  <c r="AA97" i="2"/>
  <c r="AC98" i="2"/>
  <c r="AA98" i="2"/>
  <c r="AC99" i="2"/>
  <c r="AA99" i="2"/>
  <c r="AC100" i="2"/>
  <c r="AA100" i="2"/>
  <c r="AC103" i="2"/>
  <c r="AA103" i="2"/>
  <c r="AC104" i="2"/>
  <c r="AA104" i="2"/>
  <c r="AC105" i="2"/>
  <c r="AA105" i="2"/>
  <c r="AC106" i="2"/>
  <c r="AA106" i="2"/>
  <c r="AC107" i="2"/>
  <c r="AA107" i="2"/>
  <c r="AC108" i="2"/>
  <c r="AA108" i="2"/>
  <c r="AC109" i="2"/>
  <c r="AA109" i="2"/>
  <c r="AC110" i="2"/>
  <c r="AA110" i="2"/>
  <c r="AC111" i="2"/>
  <c r="AA111" i="2"/>
  <c r="AC112" i="2"/>
  <c r="AA112" i="2"/>
  <c r="AC113" i="2"/>
  <c r="AA113" i="2"/>
  <c r="AC114" i="2"/>
  <c r="AA114" i="2"/>
  <c r="AC115" i="2"/>
  <c r="AA115" i="2"/>
  <c r="AC116" i="2"/>
  <c r="AA116" i="2"/>
  <c r="AC117" i="2"/>
  <c r="AA117" i="2"/>
  <c r="AC118" i="2"/>
  <c r="AA118" i="2"/>
  <c r="AC119" i="2"/>
  <c r="AA119" i="2"/>
  <c r="AC120" i="2"/>
  <c r="AA120" i="2"/>
  <c r="AC121" i="2"/>
  <c r="AA121" i="2"/>
  <c r="AC122" i="2"/>
  <c r="AA122" i="2"/>
  <c r="AC123" i="2"/>
  <c r="AA123" i="2"/>
  <c r="AC124" i="2"/>
  <c r="AA124" i="2"/>
  <c r="AC125" i="2"/>
  <c r="AA125" i="2"/>
  <c r="AC126" i="2"/>
  <c r="AA126" i="2"/>
  <c r="AC127" i="2"/>
  <c r="AA127" i="2"/>
  <c r="AC128" i="2"/>
  <c r="AA128" i="2"/>
  <c r="AC129" i="2"/>
  <c r="AA129" i="2"/>
  <c r="AC130" i="2"/>
  <c r="AA130" i="2"/>
  <c r="AC131" i="2"/>
  <c r="AA131" i="2"/>
  <c r="AC132" i="2"/>
  <c r="AA132" i="2"/>
  <c r="AC133" i="2"/>
  <c r="AA133" i="2"/>
  <c r="AC134" i="2"/>
  <c r="AA134" i="2"/>
  <c r="AC135" i="2"/>
  <c r="AA135" i="2"/>
  <c r="AC136" i="2"/>
  <c r="AA136" i="2"/>
  <c r="AC137" i="2"/>
  <c r="AA137" i="2"/>
  <c r="AC138" i="2"/>
  <c r="AA138" i="2"/>
  <c r="AC142" i="2"/>
  <c r="AA142" i="2"/>
  <c r="AC143" i="2"/>
  <c r="AA143" i="2"/>
  <c r="AC144" i="2"/>
  <c r="AA144" i="2"/>
  <c r="AC145" i="2"/>
  <c r="AA145" i="2"/>
  <c r="AC146" i="2"/>
  <c r="AA146" i="2"/>
  <c r="AC147" i="2"/>
  <c r="AA147" i="2"/>
  <c r="AC148" i="2"/>
  <c r="AA148" i="2"/>
  <c r="AC149" i="2"/>
  <c r="AA149" i="2"/>
  <c r="AC150" i="2"/>
  <c r="AA150" i="2"/>
  <c r="AC151" i="2"/>
  <c r="AA151" i="2"/>
  <c r="AC152" i="2"/>
  <c r="AA152" i="2"/>
  <c r="C144" i="2"/>
  <c r="H144" i="2"/>
  <c r="G144" i="2"/>
  <c r="E144" i="2"/>
  <c r="F20" i="8"/>
  <c r="G20" i="8"/>
  <c r="F24" i="8"/>
  <c r="G24" i="8"/>
  <c r="G36" i="8"/>
  <c r="E26" i="8"/>
  <c r="E27" i="8"/>
  <c r="E28" i="8"/>
  <c r="E29" i="8"/>
  <c r="E30" i="8"/>
  <c r="E31" i="8"/>
  <c r="E32" i="8"/>
  <c r="E33" i="8"/>
  <c r="E34" i="8"/>
  <c r="E35" i="8"/>
  <c r="E36" i="8"/>
  <c r="I36" i="8"/>
  <c r="J36" i="8"/>
  <c r="D36" i="8"/>
  <c r="E22" i="8"/>
  <c r="E23" i="8"/>
  <c r="E24" i="8"/>
  <c r="B24" i="8"/>
  <c r="H24" i="8"/>
  <c r="I24" i="8"/>
  <c r="J24" i="8"/>
  <c r="L24" i="8"/>
  <c r="K24" i="8"/>
  <c r="D24" i="8"/>
  <c r="C24" i="8"/>
  <c r="G23" i="8"/>
  <c r="G22" i="8"/>
  <c r="D20" i="8"/>
  <c r="C13" i="8"/>
  <c r="H13" i="8"/>
  <c r="L13" i="8"/>
  <c r="K13" i="8"/>
  <c r="E19" i="8"/>
  <c r="E18" i="8"/>
  <c r="H20" i="8"/>
  <c r="I20" i="8"/>
  <c r="J20" i="8"/>
  <c r="L20" i="8"/>
  <c r="K20" i="8"/>
  <c r="C20" i="8"/>
  <c r="E20" i="8"/>
  <c r="B20" i="8"/>
  <c r="G19" i="8"/>
  <c r="G18" i="8"/>
  <c r="I144" i="2"/>
  <c r="K144" i="2"/>
  <c r="K49" i="2"/>
  <c r="L144" i="2"/>
  <c r="L49" i="2"/>
  <c r="L15" i="1"/>
  <c r="L16" i="1"/>
  <c r="L17" i="1"/>
  <c r="L23" i="1"/>
  <c r="G16" i="1"/>
  <c r="G23" i="1"/>
  <c r="H23" i="1"/>
  <c r="I23" i="1"/>
  <c r="K23" i="1"/>
  <c r="F15" i="1"/>
  <c r="F16" i="1"/>
  <c r="F17" i="1"/>
  <c r="F23" i="1"/>
  <c r="D15" i="1"/>
  <c r="E15" i="1"/>
  <c r="D16" i="1"/>
  <c r="E16" i="1"/>
  <c r="D17" i="1"/>
  <c r="E17" i="1"/>
  <c r="D23" i="1"/>
  <c r="G17" i="1"/>
  <c r="I17" i="1"/>
  <c r="G197" i="1"/>
  <c r="I197" i="1"/>
  <c r="H195" i="1"/>
  <c r="G195" i="1"/>
  <c r="F195" i="1"/>
  <c r="F156" i="1"/>
  <c r="F157" i="1"/>
  <c r="F158" i="1"/>
  <c r="F159" i="1"/>
  <c r="F160" i="1"/>
  <c r="F161" i="1"/>
  <c r="F162" i="1"/>
  <c r="F163" i="1"/>
  <c r="F164" i="1"/>
  <c r="F165" i="1"/>
  <c r="F166" i="1"/>
  <c r="F167" i="1"/>
  <c r="F168" i="1"/>
  <c r="F169" i="1"/>
  <c r="F170" i="1"/>
  <c r="F171" i="1"/>
  <c r="F172" i="1"/>
  <c r="F173" i="1"/>
  <c r="F174" i="1"/>
  <c r="F175" i="1"/>
  <c r="F176" i="1"/>
  <c r="F177" i="1"/>
  <c r="F178" i="1"/>
  <c r="F179" i="1"/>
  <c r="F180" i="1"/>
  <c r="F181" i="1"/>
  <c r="F182" i="1"/>
  <c r="F183" i="1"/>
  <c r="F184" i="1"/>
  <c r="F185" i="1"/>
  <c r="F186" i="1"/>
  <c r="F187" i="1"/>
  <c r="F188" i="1"/>
  <c r="F189" i="1"/>
  <c r="F190" i="1"/>
  <c r="F191" i="1"/>
  <c r="F192" i="1"/>
  <c r="F193" i="1"/>
  <c r="F194" i="1"/>
  <c r="F155" i="1"/>
  <c r="D156" i="1"/>
  <c r="E156" i="1"/>
  <c r="D157" i="1"/>
  <c r="E157" i="1"/>
  <c r="D158" i="1"/>
  <c r="E158" i="1"/>
  <c r="D159" i="1"/>
  <c r="E159" i="1"/>
  <c r="D160" i="1"/>
  <c r="E160" i="1"/>
  <c r="D161" i="1"/>
  <c r="E161" i="1"/>
  <c r="D162" i="1"/>
  <c r="E162" i="1"/>
  <c r="D163" i="1"/>
  <c r="E163" i="1"/>
  <c r="D164" i="1"/>
  <c r="E164" i="1"/>
  <c r="D165" i="1"/>
  <c r="E165" i="1"/>
  <c r="D166" i="1"/>
  <c r="E166" i="1"/>
  <c r="D167" i="1"/>
  <c r="E167" i="1"/>
  <c r="D168" i="1"/>
  <c r="E168" i="1"/>
  <c r="D169" i="1"/>
  <c r="E169" i="1"/>
  <c r="D170" i="1"/>
  <c r="E170" i="1"/>
  <c r="D171" i="1"/>
  <c r="E171" i="1"/>
  <c r="D172" i="1"/>
  <c r="E172" i="1"/>
  <c r="D173" i="1"/>
  <c r="E173" i="1"/>
  <c r="D174" i="1"/>
  <c r="E174" i="1"/>
  <c r="D175" i="1"/>
  <c r="E175" i="1"/>
  <c r="D176" i="1"/>
  <c r="E176" i="1"/>
  <c r="D177" i="1"/>
  <c r="E177" i="1"/>
  <c r="D178" i="1"/>
  <c r="E178" i="1"/>
  <c r="D179" i="1"/>
  <c r="E179" i="1"/>
  <c r="D180" i="1"/>
  <c r="E180" i="1"/>
  <c r="D181" i="1"/>
  <c r="E181" i="1"/>
  <c r="D182" i="1"/>
  <c r="E182" i="1"/>
  <c r="D183" i="1"/>
  <c r="E183" i="1"/>
  <c r="D184" i="1"/>
  <c r="E184" i="1"/>
  <c r="D185" i="1"/>
  <c r="E185" i="1"/>
  <c r="D186" i="1"/>
  <c r="E186" i="1"/>
  <c r="D187" i="1"/>
  <c r="E187" i="1"/>
  <c r="D188" i="1"/>
  <c r="E188" i="1"/>
  <c r="D189" i="1"/>
  <c r="E189" i="1"/>
  <c r="D190" i="1"/>
  <c r="E190" i="1"/>
  <c r="D191" i="1"/>
  <c r="E191" i="1"/>
  <c r="D192" i="1"/>
  <c r="E192" i="1"/>
  <c r="D193" i="1"/>
  <c r="E193" i="1"/>
  <c r="D194" i="1"/>
  <c r="E194" i="1"/>
  <c r="E155" i="1"/>
  <c r="D155" i="1"/>
  <c r="H152" i="1"/>
  <c r="H131" i="1"/>
  <c r="F152" i="1"/>
  <c r="G152" i="1"/>
  <c r="G131" i="1"/>
  <c r="F135" i="1"/>
  <c r="F136" i="1"/>
  <c r="F137" i="1"/>
  <c r="F138" i="1"/>
  <c r="F139" i="1"/>
  <c r="F140" i="1"/>
  <c r="F141" i="1"/>
  <c r="F142" i="1"/>
  <c r="F143" i="1"/>
  <c r="F144" i="1"/>
  <c r="F145" i="1"/>
  <c r="F146" i="1"/>
  <c r="F147" i="1"/>
  <c r="F148" i="1"/>
  <c r="F149" i="1"/>
  <c r="F150" i="1"/>
  <c r="F151" i="1"/>
  <c r="F134" i="1"/>
  <c r="D135" i="1"/>
  <c r="E135" i="1"/>
  <c r="D136" i="1"/>
  <c r="E136" i="1"/>
  <c r="D137" i="1"/>
  <c r="E137" i="1"/>
  <c r="D138" i="1"/>
  <c r="E138" i="1"/>
  <c r="D139" i="1"/>
  <c r="E139" i="1"/>
  <c r="D140" i="1"/>
  <c r="E140" i="1"/>
  <c r="D141" i="1"/>
  <c r="E141" i="1"/>
  <c r="D142" i="1"/>
  <c r="E142" i="1"/>
  <c r="D143" i="1"/>
  <c r="E143" i="1"/>
  <c r="D144" i="1"/>
  <c r="E144" i="1"/>
  <c r="D145" i="1"/>
  <c r="E145" i="1"/>
  <c r="D146" i="1"/>
  <c r="E146" i="1"/>
  <c r="D147" i="1"/>
  <c r="E147" i="1"/>
  <c r="D148" i="1"/>
  <c r="E148" i="1"/>
  <c r="D149" i="1"/>
  <c r="E149" i="1"/>
  <c r="D150" i="1"/>
  <c r="E150" i="1"/>
  <c r="D151" i="1"/>
  <c r="E151" i="1"/>
  <c r="E134" i="1"/>
  <c r="D134" i="1"/>
  <c r="F131" i="1"/>
  <c r="F124" i="1"/>
  <c r="F125" i="1"/>
  <c r="F126" i="1"/>
  <c r="F127" i="1"/>
  <c r="F128" i="1"/>
  <c r="F129" i="1"/>
  <c r="F130" i="1"/>
  <c r="F123" i="1"/>
  <c r="F117" i="1"/>
  <c r="D124" i="1"/>
  <c r="E124" i="1"/>
  <c r="D125" i="1"/>
  <c r="E125" i="1"/>
  <c r="D126" i="1"/>
  <c r="E126" i="1"/>
  <c r="D127" i="1"/>
  <c r="E127" i="1"/>
  <c r="D128" i="1"/>
  <c r="E128" i="1"/>
  <c r="D129" i="1"/>
  <c r="E129" i="1"/>
  <c r="D130" i="1"/>
  <c r="E130" i="1"/>
  <c r="E123" i="1"/>
  <c r="D123" i="1"/>
  <c r="I16" i="1"/>
  <c r="I119" i="1"/>
  <c r="F109" i="1"/>
  <c r="G117" i="1"/>
  <c r="D109" i="1"/>
  <c r="E109" i="1"/>
  <c r="D110" i="1"/>
  <c r="E110" i="1"/>
  <c r="D111" i="1"/>
  <c r="E111" i="1"/>
  <c r="D112" i="1"/>
  <c r="E112" i="1"/>
  <c r="D113" i="1"/>
  <c r="E113" i="1"/>
  <c r="D114" i="1"/>
  <c r="E114" i="1"/>
  <c r="D115" i="1"/>
  <c r="E115" i="1"/>
  <c r="D116" i="1"/>
  <c r="E116" i="1"/>
  <c r="F107" i="1"/>
  <c r="D108" i="1"/>
  <c r="E108" i="1"/>
  <c r="E107" i="1"/>
  <c r="D107" i="1"/>
  <c r="F108" i="1"/>
  <c r="F110" i="1"/>
  <c r="F111" i="1"/>
  <c r="F112" i="1"/>
  <c r="F113" i="1"/>
  <c r="F114" i="1"/>
  <c r="F115" i="1"/>
  <c r="F116" i="1"/>
  <c r="H104" i="1"/>
  <c r="G104" i="1"/>
  <c r="F104" i="1"/>
  <c r="F95" i="1"/>
  <c r="F96" i="1"/>
  <c r="F97" i="1"/>
  <c r="F98" i="1"/>
  <c r="F99" i="1"/>
  <c r="F100" i="1"/>
  <c r="F101" i="1"/>
  <c r="F102" i="1"/>
  <c r="F103" i="1"/>
  <c r="F94" i="1"/>
  <c r="D95" i="1"/>
  <c r="E95" i="1"/>
  <c r="D96" i="1"/>
  <c r="E96" i="1"/>
  <c r="D97" i="1"/>
  <c r="E97" i="1"/>
  <c r="D98" i="1"/>
  <c r="E98" i="1"/>
  <c r="D99" i="1"/>
  <c r="E99" i="1"/>
  <c r="D100" i="1"/>
  <c r="E100" i="1"/>
  <c r="D101" i="1"/>
  <c r="E101" i="1"/>
  <c r="D102" i="1"/>
  <c r="E102" i="1"/>
  <c r="D103" i="1"/>
  <c r="E103" i="1"/>
  <c r="E94" i="1"/>
  <c r="D94" i="1"/>
  <c r="H91" i="1"/>
  <c r="G91" i="1"/>
  <c r="F91" i="1"/>
  <c r="F82" i="1"/>
  <c r="F83" i="1"/>
  <c r="F84" i="1"/>
  <c r="F85" i="1"/>
  <c r="F86" i="1"/>
  <c r="F87" i="1"/>
  <c r="F88" i="1"/>
  <c r="F89" i="1"/>
  <c r="F90" i="1"/>
  <c r="F81" i="1"/>
  <c r="D82" i="1"/>
  <c r="E82" i="1"/>
  <c r="D83" i="1"/>
  <c r="E83" i="1"/>
  <c r="D84" i="1"/>
  <c r="E84" i="1"/>
  <c r="D85" i="1"/>
  <c r="E85" i="1"/>
  <c r="D86" i="1"/>
  <c r="E86" i="1"/>
  <c r="D87" i="1"/>
  <c r="E87" i="1"/>
  <c r="D88" i="1"/>
  <c r="E88" i="1"/>
  <c r="D89" i="1"/>
  <c r="E89" i="1"/>
  <c r="D90" i="1"/>
  <c r="E90" i="1"/>
  <c r="E81" i="1"/>
  <c r="D81" i="1"/>
  <c r="G15" i="1"/>
  <c r="I15" i="1"/>
  <c r="I72" i="1"/>
  <c r="G72" i="1"/>
  <c r="H70" i="1"/>
  <c r="G70" i="1"/>
  <c r="F70" i="1"/>
  <c r="F61" i="1"/>
  <c r="F62" i="1"/>
  <c r="F63" i="1"/>
  <c r="F64" i="1"/>
  <c r="F65" i="1"/>
  <c r="F66" i="1"/>
  <c r="F67" i="1"/>
  <c r="F68" i="1"/>
  <c r="F69" i="1"/>
  <c r="F60" i="1"/>
  <c r="D61" i="1"/>
  <c r="E61" i="1"/>
  <c r="D62" i="1"/>
  <c r="E62" i="1"/>
  <c r="D63" i="1"/>
  <c r="E63" i="1"/>
  <c r="D64" i="1"/>
  <c r="E64" i="1"/>
  <c r="D65" i="1"/>
  <c r="E65" i="1"/>
  <c r="D66" i="1"/>
  <c r="E66" i="1"/>
  <c r="D67" i="1"/>
  <c r="E67" i="1"/>
  <c r="D68" i="1"/>
  <c r="E68" i="1"/>
  <c r="D69" i="1"/>
  <c r="E69" i="1"/>
  <c r="E60" i="1"/>
  <c r="D60" i="1"/>
  <c r="H57" i="1"/>
  <c r="G57" i="1"/>
  <c r="F57" i="1"/>
  <c r="F48" i="1"/>
  <c r="F49" i="1"/>
  <c r="F50" i="1"/>
  <c r="F51" i="1"/>
  <c r="F52" i="1"/>
  <c r="F53" i="1"/>
  <c r="F54" i="1"/>
  <c r="F55" i="1"/>
  <c r="F56" i="1"/>
  <c r="F47" i="1"/>
  <c r="D48" i="1"/>
  <c r="E48" i="1"/>
  <c r="D49" i="1"/>
  <c r="E49" i="1"/>
  <c r="D50" i="1"/>
  <c r="E50" i="1"/>
  <c r="D51" i="1"/>
  <c r="E51" i="1"/>
  <c r="D52" i="1"/>
  <c r="E52" i="1"/>
  <c r="D53" i="1"/>
  <c r="E53" i="1"/>
  <c r="D54" i="1"/>
  <c r="E54" i="1"/>
  <c r="D55" i="1"/>
  <c r="E55" i="1"/>
  <c r="D56" i="1"/>
  <c r="E56" i="1"/>
  <c r="E47" i="1"/>
  <c r="D47" i="1"/>
  <c r="H44" i="1"/>
  <c r="G44" i="1"/>
  <c r="F44" i="1"/>
  <c r="F35" i="1"/>
  <c r="F36" i="1"/>
  <c r="F37" i="1"/>
  <c r="F38" i="1"/>
  <c r="F39" i="1"/>
  <c r="F40" i="1"/>
  <c r="F41" i="1"/>
  <c r="F42" i="1"/>
  <c r="F43" i="1"/>
  <c r="F34" i="1"/>
  <c r="D35" i="1"/>
  <c r="E35" i="1"/>
  <c r="D36" i="1"/>
  <c r="E36" i="1"/>
  <c r="D37" i="1"/>
  <c r="E37" i="1"/>
  <c r="D38" i="1"/>
  <c r="E38" i="1"/>
  <c r="D39" i="1"/>
  <c r="E39" i="1"/>
  <c r="D40" i="1"/>
  <c r="E40" i="1"/>
  <c r="D41" i="1"/>
  <c r="E41" i="1"/>
  <c r="D42" i="1"/>
  <c r="E42" i="1"/>
  <c r="D43" i="1"/>
  <c r="E43" i="1"/>
  <c r="E34" i="1"/>
  <c r="D34" i="1"/>
  <c r="H117" i="1"/>
</calcChain>
</file>

<file path=xl/comments1.xml><?xml version="1.0" encoding="utf-8"?>
<comments xmlns="http://schemas.openxmlformats.org/spreadsheetml/2006/main">
  <authors>
    <author>Gitai Yahel</author>
    <author>Danielle Ludeman</author>
  </authors>
  <commentList>
    <comment ref="E15" authorId="0">
      <text>
        <r>
          <rPr>
            <b/>
            <sz val="9"/>
            <color indexed="81"/>
            <rFont val="Tahoma"/>
            <family val="2"/>
          </rPr>
          <t>Danielle:</t>
        </r>
        <r>
          <rPr>
            <sz val="9"/>
            <color indexed="81"/>
            <rFont val="Tahoma"/>
            <family val="2"/>
          </rPr>
          <t xml:space="preserve">
Seawater at 30 psu, 12 degC</t>
        </r>
      </text>
    </comment>
    <comment ref="F15" authorId="0">
      <text>
        <r>
          <rPr>
            <b/>
            <sz val="9"/>
            <color indexed="81"/>
            <rFont val="Tahoma"/>
            <family val="2"/>
          </rPr>
          <t>Danielle:</t>
        </r>
        <r>
          <rPr>
            <sz val="9"/>
            <color indexed="81"/>
            <rFont val="Tahoma"/>
            <family val="2"/>
          </rPr>
          <t xml:space="preserve">
Seawater at 30 psu, 12 degC</t>
        </r>
      </text>
    </comment>
    <comment ref="H15" authorId="1">
      <text>
        <r>
          <rPr>
            <b/>
            <sz val="9"/>
            <color indexed="81"/>
            <rFont val="Calibri"/>
            <family val="2"/>
          </rPr>
          <t>Danielle Ludeman:</t>
        </r>
        <r>
          <rPr>
            <sz val="9"/>
            <color indexed="81"/>
            <rFont val="Calibri"/>
            <family val="2"/>
          </rPr>
          <t xml:space="preserve">
For seawater at 12 degrees
</t>
        </r>
      </text>
    </comment>
    <comment ref="I16" authorId="0">
      <text>
        <r>
          <rPr>
            <b/>
            <sz val="9"/>
            <color indexed="81"/>
            <rFont val="Tahoma"/>
            <family val="2"/>
          </rPr>
          <t>Gitai Yahel:</t>
        </r>
        <r>
          <rPr>
            <sz val="9"/>
            <color indexed="81"/>
            <rFont val="Tahoma"/>
            <family val="2"/>
          </rPr>
          <t xml:space="preserve">
From inactive sponge in figures 5D. We amy change this number later</t>
        </r>
      </text>
    </comment>
    <comment ref="K22" authorId="1">
      <text>
        <r>
          <rPr>
            <b/>
            <sz val="9"/>
            <color indexed="81"/>
            <rFont val="Calibri"/>
            <family val="2"/>
          </rPr>
          <t>Danielle Ludeman:</t>
        </r>
        <r>
          <rPr>
            <sz val="9"/>
            <color indexed="81"/>
            <rFont val="Calibri"/>
            <family val="2"/>
          </rPr>
          <t xml:space="preserve">
Using equation by Reiswig 1975
</t>
        </r>
      </text>
    </comment>
    <comment ref="D32" authorId="1">
      <text>
        <r>
          <rPr>
            <b/>
            <sz val="9"/>
            <color indexed="81"/>
            <rFont val="Calibri"/>
            <family val="2"/>
          </rPr>
          <t>Danielle Ludeman:</t>
        </r>
        <r>
          <rPr>
            <sz val="9"/>
            <color indexed="81"/>
            <rFont val="Calibri"/>
            <family val="2"/>
          </rPr>
          <t xml:space="preserve">
Path length is diameter in chambers
</t>
        </r>
      </text>
    </comment>
    <comment ref="D37" authorId="1">
      <text>
        <r>
          <rPr>
            <b/>
            <sz val="9"/>
            <color indexed="81"/>
            <rFont val="Calibri"/>
            <family val="2"/>
          </rPr>
          <t>Danielle Ludeman:</t>
        </r>
        <r>
          <rPr>
            <sz val="9"/>
            <color indexed="81"/>
            <rFont val="Calibri"/>
            <family val="2"/>
          </rPr>
          <t xml:space="preserve">
calculated from image
P1060588</t>
        </r>
      </text>
    </comment>
    <comment ref="K37" authorId="1">
      <text>
        <r>
          <rPr>
            <b/>
            <sz val="9"/>
            <color indexed="81"/>
            <rFont val="Calibri"/>
            <family val="2"/>
          </rPr>
          <t>Danielle Ludeman:</t>
        </r>
        <r>
          <rPr>
            <sz val="9"/>
            <color indexed="81"/>
            <rFont val="Calibri"/>
            <family val="2"/>
          </rPr>
          <t xml:space="preserve">
Effective oscular plane is 58% of velocity as per Reiswig 1975
</t>
        </r>
      </text>
    </comment>
  </commentList>
</comments>
</file>

<file path=xl/comments2.xml><?xml version="1.0" encoding="utf-8"?>
<comments xmlns="http://schemas.openxmlformats.org/spreadsheetml/2006/main">
  <authors>
    <author>Danielle Ludeman</author>
  </authors>
  <commentList>
    <comment ref="L14" authorId="0">
      <text>
        <r>
          <rPr>
            <b/>
            <sz val="9"/>
            <color indexed="81"/>
            <rFont val="Calibri"/>
            <family val="2"/>
          </rPr>
          <t>Danielle Ludeman:</t>
        </r>
        <r>
          <rPr>
            <sz val="9"/>
            <color indexed="81"/>
            <rFont val="Calibri"/>
            <family val="2"/>
          </rPr>
          <t xml:space="preserve">
For now will use the dimensions in Leys et al: 4.5 x 4.5 x 5.0 mm.  Therefore for area of ostia, multiple by 20.25 (4.5x4.5)
  </t>
        </r>
      </text>
    </comment>
  </commentList>
</comments>
</file>

<file path=xl/comments3.xml><?xml version="1.0" encoding="utf-8"?>
<comments xmlns="http://schemas.openxmlformats.org/spreadsheetml/2006/main">
  <authors>
    <author>Sally</author>
  </authors>
  <commentList>
    <comment ref="B12" authorId="0">
      <text>
        <r>
          <rPr>
            <b/>
            <sz val="9"/>
            <color indexed="81"/>
            <rFont val="Tahoma"/>
            <family val="2"/>
          </rPr>
          <t>Sally:</t>
        </r>
        <r>
          <rPr>
            <sz val="9"/>
            <color indexed="81"/>
            <rFont val="Tahoma"/>
            <family val="2"/>
          </rPr>
          <t xml:space="preserve">
(dist from dermal membrane to incurrent canal)</t>
        </r>
      </text>
    </comment>
    <comment ref="I12" authorId="0">
      <text>
        <r>
          <rPr>
            <b/>
            <sz val="9"/>
            <color indexed="81"/>
            <rFont val="Tahoma"/>
            <family val="2"/>
          </rPr>
          <t>Sally:</t>
        </r>
        <r>
          <rPr>
            <sz val="9"/>
            <color indexed="81"/>
            <rFont val="Tahoma"/>
            <family val="2"/>
          </rPr>
          <t xml:space="preserve">
this is in 1mm^2</t>
        </r>
      </text>
    </comment>
    <comment ref="K12" authorId="0">
      <text>
        <r>
          <rPr>
            <b/>
            <sz val="9"/>
            <color indexed="81"/>
            <rFont val="Tahoma"/>
            <family val="2"/>
          </rPr>
          <t>Sally:</t>
        </r>
        <r>
          <rPr>
            <sz val="9"/>
            <color indexed="81"/>
            <rFont val="Tahoma"/>
            <family val="2"/>
          </rPr>
          <t xml:space="preserve">
this is in 20.25mm^2</t>
        </r>
      </text>
    </comment>
    <comment ref="L12" authorId="0">
      <text>
        <r>
          <rPr>
            <b/>
            <sz val="9"/>
            <color indexed="81"/>
            <rFont val="Tahoma"/>
            <family val="2"/>
          </rPr>
          <t>Sally:</t>
        </r>
        <r>
          <rPr>
            <sz val="9"/>
            <color indexed="81"/>
            <rFont val="Tahoma"/>
            <family val="2"/>
          </rPr>
          <t xml:space="preserve">
this is in effect in 1mm^2</t>
        </r>
      </text>
    </comment>
    <comment ref="B17" authorId="0">
      <text>
        <r>
          <rPr>
            <b/>
            <sz val="9"/>
            <color indexed="81"/>
            <rFont val="Tahoma"/>
            <family val="2"/>
          </rPr>
          <t>Sally:</t>
        </r>
        <r>
          <rPr>
            <sz val="9"/>
            <color indexed="81"/>
            <rFont val="Tahoma"/>
            <family val="2"/>
          </rPr>
          <t xml:space="preserve">
(dist from dermal membrane to incurrent canal)</t>
        </r>
      </text>
    </comment>
    <comment ref="I17" authorId="0">
      <text>
        <r>
          <rPr>
            <b/>
            <sz val="9"/>
            <color indexed="81"/>
            <rFont val="Tahoma"/>
            <family val="2"/>
          </rPr>
          <t>Sally:</t>
        </r>
        <r>
          <rPr>
            <sz val="9"/>
            <color indexed="81"/>
            <rFont val="Tahoma"/>
            <family val="2"/>
          </rPr>
          <t xml:space="preserve">
this is in 1mm^2</t>
        </r>
      </text>
    </comment>
    <comment ref="K17" authorId="0">
      <text>
        <r>
          <rPr>
            <b/>
            <sz val="9"/>
            <color indexed="81"/>
            <rFont val="Tahoma"/>
            <family val="2"/>
          </rPr>
          <t>Sally:</t>
        </r>
        <r>
          <rPr>
            <sz val="9"/>
            <color indexed="81"/>
            <rFont val="Tahoma"/>
            <family val="2"/>
          </rPr>
          <t xml:space="preserve">
this is in 20.25mm^2</t>
        </r>
      </text>
    </comment>
    <comment ref="L17" authorId="0">
      <text>
        <r>
          <rPr>
            <b/>
            <sz val="9"/>
            <color indexed="81"/>
            <rFont val="Tahoma"/>
            <family val="2"/>
          </rPr>
          <t>Sally:</t>
        </r>
        <r>
          <rPr>
            <sz val="9"/>
            <color indexed="81"/>
            <rFont val="Tahoma"/>
            <family val="2"/>
          </rPr>
          <t xml:space="preserve">
this is in effect in 1mm^2</t>
        </r>
      </text>
    </comment>
    <comment ref="B38" authorId="0">
      <text>
        <r>
          <rPr>
            <b/>
            <sz val="9"/>
            <color indexed="81"/>
            <rFont val="Tahoma"/>
            <family val="2"/>
          </rPr>
          <t>Sally:</t>
        </r>
        <r>
          <rPr>
            <sz val="9"/>
            <color indexed="81"/>
            <rFont val="Tahoma"/>
            <family val="2"/>
          </rPr>
          <t xml:space="preserve">
(dist from dermal membrane to incurrent canal)</t>
        </r>
      </text>
    </comment>
    <comment ref="I38" authorId="0">
      <text>
        <r>
          <rPr>
            <b/>
            <sz val="9"/>
            <color indexed="81"/>
            <rFont val="Tahoma"/>
            <family val="2"/>
          </rPr>
          <t>Sally:</t>
        </r>
        <r>
          <rPr>
            <sz val="9"/>
            <color indexed="81"/>
            <rFont val="Tahoma"/>
            <family val="2"/>
          </rPr>
          <t xml:space="preserve">
this is in 1mm^2</t>
        </r>
      </text>
    </comment>
    <comment ref="K38" authorId="0">
      <text>
        <r>
          <rPr>
            <b/>
            <sz val="9"/>
            <color indexed="81"/>
            <rFont val="Tahoma"/>
            <family val="2"/>
          </rPr>
          <t>Sally:</t>
        </r>
        <r>
          <rPr>
            <sz val="9"/>
            <color indexed="81"/>
            <rFont val="Tahoma"/>
            <family val="2"/>
          </rPr>
          <t xml:space="preserve">
this is in 20.25mm^2</t>
        </r>
      </text>
    </comment>
    <comment ref="L38" authorId="0">
      <text>
        <r>
          <rPr>
            <b/>
            <sz val="9"/>
            <color indexed="81"/>
            <rFont val="Tahoma"/>
            <family val="2"/>
          </rPr>
          <t>Sally:</t>
        </r>
        <r>
          <rPr>
            <sz val="9"/>
            <color indexed="81"/>
            <rFont val="Tahoma"/>
            <family val="2"/>
          </rPr>
          <t xml:space="preserve">
this is in effect in 1mm^2</t>
        </r>
      </text>
    </comment>
  </commentList>
</comments>
</file>

<file path=xl/comments4.xml><?xml version="1.0" encoding="utf-8"?>
<comments xmlns="http://schemas.openxmlformats.org/spreadsheetml/2006/main">
  <authors>
    <author>Danielle Ludeman</author>
  </authors>
  <commentList>
    <comment ref="I12" authorId="0">
      <text>
        <r>
          <rPr>
            <b/>
            <sz val="9"/>
            <color indexed="81"/>
            <rFont val="Calibri"/>
            <family val="2"/>
          </rPr>
          <t>Danielle Ludeman:</t>
        </r>
        <r>
          <rPr>
            <sz val="9"/>
            <color indexed="81"/>
            <rFont val="Calibri"/>
            <family val="2"/>
          </rPr>
          <t xml:space="preserve">
Approximation based on counts of partial chambers</t>
        </r>
      </text>
    </comment>
    <comment ref="I16" authorId="0">
      <text>
        <r>
          <rPr>
            <b/>
            <sz val="9"/>
            <color indexed="81"/>
            <rFont val="Calibri"/>
            <family val="2"/>
          </rPr>
          <t>Danielle Ludeman:</t>
        </r>
        <r>
          <rPr>
            <sz val="9"/>
            <color indexed="81"/>
            <rFont val="Calibri"/>
            <family val="2"/>
          </rPr>
          <t xml:space="preserve">
Approximation based on counts of partial chambers</t>
        </r>
      </text>
    </comment>
    <comment ref="I63" authorId="0">
      <text>
        <r>
          <rPr>
            <b/>
            <sz val="9"/>
            <color indexed="81"/>
            <rFont val="Calibri"/>
            <family val="2"/>
          </rPr>
          <t>Danielle Ludeman:</t>
        </r>
        <r>
          <rPr>
            <sz val="9"/>
            <color indexed="81"/>
            <rFont val="Calibri"/>
            <family val="2"/>
          </rPr>
          <t xml:space="preserve">
about half of a chamber no apopyle
</t>
        </r>
      </text>
    </comment>
    <comment ref="I64" authorId="0">
      <text>
        <r>
          <rPr>
            <b/>
            <sz val="9"/>
            <color indexed="81"/>
            <rFont val="Calibri"/>
            <family val="2"/>
          </rPr>
          <t>Danielle Ludeman:</t>
        </r>
        <r>
          <rPr>
            <sz val="9"/>
            <color indexed="81"/>
            <rFont val="Calibri"/>
            <family val="2"/>
          </rPr>
          <t xml:space="preserve">
just over half of a chamber with apopyle
</t>
        </r>
      </text>
    </comment>
    <comment ref="I65" authorId="0">
      <text>
        <r>
          <rPr>
            <b/>
            <sz val="9"/>
            <color indexed="81"/>
            <rFont val="Calibri"/>
            <family val="2"/>
          </rPr>
          <t>Danielle Ludeman:</t>
        </r>
        <r>
          <rPr>
            <sz val="9"/>
            <color indexed="81"/>
            <rFont val="Calibri"/>
            <family val="2"/>
          </rPr>
          <t xml:space="preserve">
about half of a chamber (cut through middle of apopyle)</t>
        </r>
      </text>
    </comment>
    <comment ref="I66" authorId="0">
      <text>
        <r>
          <rPr>
            <b/>
            <sz val="9"/>
            <color indexed="81"/>
            <rFont val="Calibri"/>
            <family val="2"/>
          </rPr>
          <t>Danielle Ludeman:</t>
        </r>
        <r>
          <rPr>
            <sz val="9"/>
            <color indexed="81"/>
            <rFont val="Calibri"/>
            <family val="2"/>
          </rPr>
          <t xml:space="preserve">
about half of a chamber no apopyle
</t>
        </r>
      </text>
    </comment>
  </commentList>
</comments>
</file>

<file path=xl/comments5.xml><?xml version="1.0" encoding="utf-8"?>
<comments xmlns="http://schemas.openxmlformats.org/spreadsheetml/2006/main">
  <authors>
    <author>Sally</author>
    <author>Danielle Ludeman</author>
  </authors>
  <commentList>
    <comment ref="F8" authorId="0">
      <text>
        <r>
          <rPr>
            <b/>
            <sz val="9"/>
            <color indexed="81"/>
            <rFont val="Tahoma"/>
            <family val="2"/>
          </rPr>
          <t xml:space="preserve">Danielle:
</t>
        </r>
        <r>
          <rPr>
            <sz val="9"/>
            <color indexed="81"/>
            <rFont val="Tahoma"/>
            <family val="2"/>
          </rPr>
          <t xml:space="preserve">the average chamber diameter is 23um and the proportion of the sponge that is choanosome is 75%
</t>
        </r>
      </text>
    </comment>
    <comment ref="O8" authorId="1">
      <text>
        <r>
          <rPr>
            <b/>
            <sz val="9"/>
            <color indexed="81"/>
            <rFont val="Calibri"/>
            <family val="2"/>
          </rPr>
          <t>Danielle Ludeman:</t>
        </r>
        <r>
          <rPr>
            <sz val="9"/>
            <color indexed="81"/>
            <rFont val="Calibri"/>
            <family val="2"/>
          </rPr>
          <t xml:space="preserve">
1mm^3 = 1,000,000,000 um^3</t>
        </r>
      </text>
    </comment>
  </commentList>
</comments>
</file>

<file path=xl/comments6.xml><?xml version="1.0" encoding="utf-8"?>
<comments xmlns="http://schemas.openxmlformats.org/spreadsheetml/2006/main">
  <authors>
    <author>Danielle Ludeman</author>
  </authors>
  <commentList>
    <comment ref="M14" authorId="0">
      <text>
        <r>
          <rPr>
            <b/>
            <sz val="9"/>
            <color indexed="81"/>
            <rFont val="Calibri"/>
            <family val="2"/>
          </rPr>
          <t>Danielle Ludeman:</t>
        </r>
        <r>
          <rPr>
            <sz val="9"/>
            <color indexed="81"/>
            <rFont val="Calibri"/>
            <family val="2"/>
          </rPr>
          <t xml:space="preserve">
not included in analysis
</t>
        </r>
      </text>
    </comment>
  </commentList>
</comments>
</file>

<file path=xl/comments7.xml><?xml version="1.0" encoding="utf-8"?>
<comments xmlns="http://schemas.openxmlformats.org/spreadsheetml/2006/main">
  <authors>
    <author>Danielle Ludeman</author>
  </authors>
  <commentList>
    <comment ref="B18" authorId="0">
      <text>
        <r>
          <rPr>
            <b/>
            <sz val="9"/>
            <color indexed="81"/>
            <rFont val="Calibri"/>
            <family val="2"/>
          </rPr>
          <t>Danielle Ludeman:</t>
        </r>
        <r>
          <rPr>
            <sz val="9"/>
            <color indexed="81"/>
            <rFont val="Calibri"/>
            <family val="2"/>
          </rPr>
          <t xml:space="preserve">
calculated from image
P1060588</t>
        </r>
      </text>
    </comment>
  </commentList>
</comments>
</file>

<file path=xl/sharedStrings.xml><?xml version="1.0" encoding="utf-8"?>
<sst xmlns="http://schemas.openxmlformats.org/spreadsheetml/2006/main" count="962" uniqueCount="378">
  <si>
    <t>OSTIA</t>
  </si>
  <si>
    <t xml:space="preserve">method: </t>
  </si>
  <si>
    <t>total area of the image was also calculated, to get area of oscula in 1mm^2, and % ostia in 1mm^2</t>
  </si>
  <si>
    <t>Summary:</t>
  </si>
  <si>
    <t>Image</t>
  </si>
  <si>
    <t>diameter</t>
  </si>
  <si>
    <t>area (pi r^2)</t>
  </si>
  <si>
    <t>#ostia (count)</t>
  </si>
  <si>
    <t>area of ostia</t>
  </si>
  <si>
    <t>area of image</t>
  </si>
  <si>
    <t>% of ostia in 1mm^2</t>
  </si>
  <si>
    <t>radius (d/2)</t>
  </si>
  <si>
    <t>area of ostia in 1mm^2</t>
  </si>
  <si>
    <t>Ostia</t>
  </si>
  <si>
    <t>area of ostia(um^2)</t>
  </si>
  <si>
    <t>area of image (um^2)</t>
  </si>
  <si>
    <t>INCURRENT CANALS</t>
  </si>
  <si>
    <t>method:</t>
  </si>
  <si>
    <t>Summary</t>
  </si>
  <si>
    <t>Image #</t>
  </si>
  <si>
    <t>diameter (um)</t>
  </si>
  <si>
    <t>radius</t>
  </si>
  <si>
    <t>#canals</t>
  </si>
  <si>
    <t xml:space="preserve">area of canals </t>
  </si>
  <si>
    <t>area of canals in 1mm^3</t>
  </si>
  <si>
    <t>percent of canals</t>
  </si>
  <si>
    <t>canal number</t>
  </si>
  <si>
    <t>Medium</t>
  </si>
  <si>
    <t>Small</t>
  </si>
  <si>
    <t>PROSOPYLES</t>
  </si>
  <si>
    <t>COLLARS</t>
  </si>
  <si>
    <t>#microvilli per collar</t>
  </si>
  <si>
    <t>collar microvilli diameter (um)</t>
  </si>
  <si>
    <t>collar slit width (um)</t>
  </si>
  <si>
    <t>height of collar (to gasket)</t>
  </si>
  <si>
    <t xml:space="preserve">area between the collar mv </t>
  </si>
  <si>
    <t>XS area of collar slits for one collar (um^2)</t>
  </si>
  <si>
    <t>xs area of collar slits per chamber (um^2)</t>
  </si>
  <si>
    <t># chambers per 1mm3</t>
  </si>
  <si>
    <t>xs area per 1mm^3</t>
  </si>
  <si>
    <t>xs area of collar slits per 1mm^3</t>
  </si>
  <si>
    <t># collars per chamber</t>
  </si>
  <si>
    <t>diameter of collar (um)</t>
  </si>
  <si>
    <t>distance between collars (um)</t>
  </si>
  <si>
    <t>Diameter (um)</t>
  </si>
  <si>
    <t>Prosopyles</t>
  </si>
  <si>
    <t>Osculum</t>
  </si>
  <si>
    <t>Sponge region name from summary sheet</t>
  </si>
  <si>
    <t>4.5 (20.6) 44</t>
  </si>
  <si>
    <t>50-340</t>
  </si>
  <si>
    <t>1 to 5</t>
  </si>
  <si>
    <t>xs area in 1ul piece (mm^2)</t>
  </si>
  <si>
    <t>Haliclona permollis</t>
  </si>
  <si>
    <t>Aphrocallistes vastus</t>
  </si>
  <si>
    <t>Geodia baretti</t>
  </si>
  <si>
    <t># of cham per image area</t>
  </si>
  <si>
    <t>average chamber diameter</t>
  </si>
  <si>
    <t>chamber radius (um)</t>
  </si>
  <si>
    <t>xs area of a chamber (pi(r^2))</t>
  </si>
  <si>
    <t>XS area of all chambers in 1mm^3 (mm^2)</t>
  </si>
  <si>
    <t>xs area of chambers (um^2) in each image</t>
  </si>
  <si>
    <t>percent xs cover of chambers in the choanosome/image</t>
  </si>
  <si>
    <t>surface area of a chamber (um^2)</t>
  </si>
  <si>
    <t>chamber volume (um^3)</t>
  </si>
  <si>
    <t>chamber volume (mm^3)</t>
  </si>
  <si>
    <t>chamber #</t>
  </si>
  <si>
    <t>chamber diameter</t>
  </si>
  <si>
    <t>Subdermal space</t>
  </si>
  <si>
    <t>Large incurrent canal</t>
  </si>
  <si>
    <t xml:space="preserve">Prosopyles </t>
  </si>
  <si>
    <t>Pre-collar space</t>
  </si>
  <si>
    <t>Glycocalyx mesh pores</t>
  </si>
  <si>
    <t>Collar slit</t>
  </si>
  <si>
    <t>Post-collar space</t>
  </si>
  <si>
    <t xml:space="preserve">Collar apertures </t>
  </si>
  <si>
    <t xml:space="preserve">Chamber </t>
  </si>
  <si>
    <t>Apopyle</t>
  </si>
  <si>
    <t>Large excurrent canals</t>
  </si>
  <si>
    <t>Subatrial space</t>
  </si>
  <si>
    <t>Atrial cavity</t>
  </si>
  <si>
    <t>Measurements of Neopetrosia problematica ultrastructure for flow calculations</t>
  </si>
  <si>
    <t>Np1-osc-01</t>
  </si>
  <si>
    <t>Large ostia</t>
  </si>
  <si>
    <t>Small ostia</t>
  </si>
  <si>
    <t>Med ostia</t>
  </si>
  <si>
    <t>Ostia - Large</t>
  </si>
  <si>
    <t>diameter2</t>
  </si>
  <si>
    <t>radius2 (d/2)</t>
  </si>
  <si>
    <t>area (pi r1*r2)</t>
  </si>
  <si>
    <t>Ostia - Medium</t>
  </si>
  <si>
    <t>Ostia - Small</t>
  </si>
  <si>
    <t>Total</t>
  </si>
  <si>
    <t>Np1-osc-02</t>
  </si>
  <si>
    <t>Np1-osc3-01</t>
  </si>
  <si>
    <t>manual counts of the number of small, medium and large ostia in each SEM image (colored using photoshop)</t>
  </si>
  <si>
    <t>diameter of ten ostia of each size range was measured using Image J, and the area calculated,then  multiplied by the total number of ostia (for area of ostia in the image).</t>
  </si>
  <si>
    <t>all ostia took two diameters (oval) to calculate the area</t>
  </si>
  <si>
    <t>Np1-osc5-05-11.26.12</t>
  </si>
  <si>
    <t>Length (taken from Leys et al)</t>
  </si>
  <si>
    <t>0.5 um</t>
  </si>
  <si>
    <t>Np1-cor1-12</t>
  </si>
  <si>
    <t>Path Lengths</t>
  </si>
  <si>
    <t>Large</t>
  </si>
  <si>
    <t>diameter2 (um)</t>
  </si>
  <si>
    <t>radius2</t>
  </si>
  <si>
    <t>Thresholded image of Np1-cor5-05-11-26-12</t>
  </si>
  <si>
    <t>Np1-cor5-05-11-26-12</t>
  </si>
  <si>
    <t>** some canals I could not tell if they were incurrent or excurrent, so did not measure them</t>
  </si>
  <si>
    <t>area of ostia in 1mm^3</t>
  </si>
  <si>
    <t>% of ostia in 1mm^3</t>
  </si>
  <si>
    <t>From corrosion casts:</t>
  </si>
  <si>
    <t>SUBDERMAL SPACE (SDS)</t>
  </si>
  <si>
    <t>Summary SDS</t>
  </si>
  <si>
    <t>height (path length; um)</t>
  </si>
  <si>
    <t>SDS</t>
  </si>
  <si>
    <t>inner subdermal space</t>
  </si>
  <si>
    <t>height  (um)</t>
  </si>
  <si>
    <t>length (um)</t>
  </si>
  <si>
    <t>area of one space (um2)</t>
  </si>
  <si>
    <t>distance along which spaces were counted (um)</t>
  </si>
  <si>
    <t>area in which spaces were counted (um2)</t>
  </si>
  <si>
    <t>area of all spaces (um2)</t>
  </si>
  <si>
    <t xml:space="preserve">area of spaces in 1 mm^3 </t>
  </si>
  <si>
    <t>% cover 1mm^2</t>
  </si>
  <si>
    <t>area in 100mm^3</t>
  </si>
  <si>
    <t>% cover in 1mm^3</t>
  </si>
  <si>
    <t>The region below the Dermal membrane is a space, called the Subdermal Space</t>
  </si>
  <si>
    <t>This image is negative (the solid objects are the canals with the spaces being areas where there was tissue)</t>
  </si>
  <si>
    <t>It looks like the whole subdermal space is connected, therefore the surface area (and where head loss would occur) is the area around the tissue (the walls)</t>
  </si>
  <si>
    <t>Therefore thresholding was done and the surface area calculated for the 'tissue regions'</t>
  </si>
  <si>
    <t>Np-cast1-05.tif</t>
  </si>
  <si>
    <t>count</t>
  </si>
  <si>
    <t>Used this image of a cast to calculate the length (diameter) of the subdermal space</t>
  </si>
  <si>
    <t>Using Corrosion Casts - top view</t>
  </si>
  <si>
    <t>Using Corrosion Casts - side view</t>
  </si>
  <si>
    <t>Np-cast2-07</t>
  </si>
  <si>
    <t>Np-cast2-17</t>
  </si>
  <si>
    <t>Np-cast2-20</t>
  </si>
  <si>
    <t>diameter of all incurrent canals measured (classified as incurrent if you can see the canal is coming from ostia or leading into a choanocyte chamber)</t>
  </si>
  <si>
    <t>*** The height is the path length</t>
  </si>
  <si>
    <t xml:space="preserve">*** Interested in the cross-sectional area immediately below the surface in 2D, which is the length of each space (diameter) multiplied by the number of spaces.  But, as shown in Np-cast1-05, the percent cover is 97% of the inhalent surface.  </t>
  </si>
  <si>
    <t>area of spaces in 1mm^3</t>
  </si>
  <si>
    <t>% cover in 1mm^2</t>
  </si>
  <si>
    <t>% cover in 100mm^3</t>
  </si>
  <si>
    <t>Yellow - subdermal space</t>
  </si>
  <si>
    <t>Blue - incurrent</t>
  </si>
  <si>
    <t>Purple - excurrent</t>
  </si>
  <si>
    <t>Np-cast3-14</t>
  </si>
  <si>
    <t>It seems that the casts capture the largest canals and medium, whereas the other images are capturing the medium and smallest</t>
  </si>
  <si>
    <t>Average</t>
  </si>
  <si>
    <t>area of canals in 100mm^3</t>
  </si>
  <si>
    <t xml:space="preserve">Suberites </t>
  </si>
  <si>
    <t xml:space="preserve">Neopetrosia </t>
  </si>
  <si>
    <t>Neo-RR-cho-C-07</t>
  </si>
  <si>
    <t xml:space="preserve">Took the choanocyte chamber surface area to get the proportion prosopyle space to chSA </t>
  </si>
  <si>
    <t>In Neopetrosia, there is both space around the chamber (prosopyle space) and holes leading in to the chamber (prosopyles)</t>
  </si>
  <si>
    <t>Np1-osc2-1411.26.12</t>
  </si>
  <si>
    <t>diameter 1 (um)</t>
  </si>
  <si>
    <t>diameter 2 (um)</t>
  </si>
  <si>
    <t>Area of one prosopyle (um)</t>
  </si>
  <si>
    <t># prosopyles per image</t>
  </si>
  <si>
    <t>(also has lacunar spaces)</t>
  </si>
  <si>
    <t>Np1-osc1-19</t>
  </si>
  <si>
    <t>Neo-RR-cho-C-02</t>
  </si>
  <si>
    <t>Np1-osc2-2111.26.12</t>
  </si>
  <si>
    <t>Incurrent canals</t>
  </si>
  <si>
    <t>Number of canals</t>
  </si>
  <si>
    <t>Large canals</t>
  </si>
  <si>
    <t>Neo-RR-cho-C-10</t>
  </si>
  <si>
    <t>Np-cast3-15</t>
  </si>
  <si>
    <t>Np-cast1-01</t>
  </si>
  <si>
    <t>Neo-RR-cho-D-03</t>
  </si>
  <si>
    <t>diameter of chamber</t>
  </si>
  <si>
    <t>area of chamber</t>
  </si>
  <si>
    <t>% prosopyle per area chamber</t>
  </si>
  <si>
    <t>#chambers/mm3</t>
  </si>
  <si>
    <t>SA of prosopyles/chamber</t>
  </si>
  <si>
    <t>SA of prosopyles in 1mm^3 (um^2)</t>
  </si>
  <si>
    <t>SA of prosopyles in mm^3 (mm^2)</t>
  </si>
  <si>
    <t>Therefore, the space for water to pass through is: (collar slit) x (height to glycocalyx mesh)</t>
  </si>
  <si>
    <t>In Neopetrosia there appears to be a glycocalyx mesh that connects all of the collars together (gasket), forcing the water to go between the microvilli of the collar.</t>
  </si>
  <si>
    <t>Neo-RR-cho-C-18</t>
  </si>
  <si>
    <t>Neo-RR-cho-C-19</t>
  </si>
  <si>
    <t>Np1-cor1-07</t>
  </si>
  <si>
    <t>Np1-cor1-08</t>
  </si>
  <si>
    <t>Np1-cor1-09</t>
  </si>
  <si>
    <t>Np1-cor1-11</t>
  </si>
  <si>
    <t>Np1-cor5-0811.26.12</t>
  </si>
  <si>
    <t>Np1-osc1-20</t>
  </si>
  <si>
    <t>Np1-osc-1-13</t>
  </si>
  <si>
    <t>Np1-osc-1-16</t>
  </si>
  <si>
    <t>Np4-osc-1-13</t>
  </si>
  <si>
    <t xml:space="preserve">In the area where the water must pass through the microvilli, there does not appear to be any glycocalyx between the microvilli. </t>
  </si>
  <si>
    <t>number of equivalent areas that fit in 1,000,000um^2</t>
  </si>
  <si>
    <t>Surface area of  chambers in 1mm^3 (mm^2)</t>
  </si>
  <si>
    <t>Cyan - choanocyte chambers</t>
  </si>
  <si>
    <t>Purple - excurrent canals</t>
  </si>
  <si>
    <t>Red - incurrent canals</t>
  </si>
  <si>
    <t>Np1-cor1-06</t>
  </si>
  <si>
    <t>Neo-RR-cho-C-06</t>
  </si>
  <si>
    <t>Np1-cor1-14</t>
  </si>
  <si>
    <t xml:space="preserve">number of chambers in one 23um slice of the sponge 1mm^3 </t>
  </si>
  <si>
    <t>number of chambers in 1mm^3 (considering there are 40 slices 25um wide in the 1mm^3 piece of sponge</t>
  </si>
  <si>
    <t>APOPYLES</t>
  </si>
  <si>
    <t>IMAGE NAME</t>
  </si>
  <si>
    <t>diameter (um) [length+width/2]</t>
  </si>
  <si>
    <t>apopyle radius (um)</t>
  </si>
  <si>
    <t>apopyle area (um^2)</t>
  </si>
  <si>
    <t>xs area of apopyles in 1mm^3 (mm^2)</t>
  </si>
  <si>
    <t>Average diameter</t>
  </si>
  <si>
    <t>Apopyle - diameter1 (um)</t>
  </si>
  <si>
    <t>Apopyle - diameter2 (um)</t>
  </si>
  <si>
    <t>Neo-RR-cho-C-04</t>
  </si>
  <si>
    <t>Np1-cor1-04</t>
  </si>
  <si>
    <t>Np1-osc3-09</t>
  </si>
  <si>
    <t>Method</t>
  </si>
  <si>
    <t>EXCURRENT CANALS</t>
  </si>
  <si>
    <t>diameter of all excurrent canals measured (classified as excurrent if you can see the apopyle in the canal</t>
  </si>
  <si>
    <t xml:space="preserve">Only going to capture the smallest excurrent with this method since I need to see the apopyles to know that it is excurrent </t>
  </si>
  <si>
    <t>None of the casts are clearly excurrent</t>
  </si>
  <si>
    <t>Excurrent canals</t>
  </si>
  <si>
    <t>small</t>
  </si>
  <si>
    <t>medium</t>
  </si>
  <si>
    <t>large</t>
  </si>
  <si>
    <t>Neo-RR-cho-C-16</t>
  </si>
  <si>
    <t>Neo-RR-cho-D-01</t>
  </si>
  <si>
    <t>Np1-cor1-02</t>
  </si>
  <si>
    <t>Np1-osc2-1211.26.12</t>
  </si>
  <si>
    <t>Np1-osc3-07</t>
  </si>
  <si>
    <t>height (mm)</t>
  </si>
  <si>
    <t>length (mm)</t>
  </si>
  <si>
    <t>area (um2)</t>
  </si>
  <si>
    <t>Velocity (cm/s)</t>
  </si>
  <si>
    <t>Volume Flow Rate (L/hr)</t>
  </si>
  <si>
    <t>area (cm2)</t>
  </si>
  <si>
    <t>radius (mm)</t>
  </si>
  <si>
    <t>Neopetrosia problematica</t>
  </si>
  <si>
    <t>A</t>
  </si>
  <si>
    <t>B</t>
  </si>
  <si>
    <t>C</t>
  </si>
  <si>
    <t>D</t>
  </si>
  <si>
    <t>Diameter (mm)</t>
  </si>
  <si>
    <t>radius (um)</t>
  </si>
  <si>
    <t>osculum area</t>
  </si>
  <si>
    <t>path length</t>
  </si>
  <si>
    <t>Velocity (m/s)</t>
  </si>
  <si>
    <t>Volume Flow rate (mL/s)</t>
  </si>
  <si>
    <t>Distance between centres of neighbouring cylinders</t>
  </si>
  <si>
    <t>Majority of ostia are medium-small and are probably just slightly contracted.  Will use the measurement from the large ostia for the diameter, and use the counts of all to estimate fraction of inhalent surface</t>
  </si>
  <si>
    <t>Ignoring the lacunar space and using only the smallest incurrent canals (prosodi according to Reiswig 1975)</t>
  </si>
  <si>
    <t>Can only ever see a portion of the outside of the choanocyte chamber and so do not know how many prosopyles are on each chamber</t>
  </si>
  <si>
    <t>Will assume that the prosopyles are all the way around (except where the apopyle is)</t>
  </si>
  <si>
    <t>Area of apopyle in a chamber</t>
  </si>
  <si>
    <t>SA of a chamber</t>
  </si>
  <si>
    <t xml:space="preserve">** Assuming that half of the space that is not choanocyte or apopyle is prosopyle </t>
  </si>
  <si>
    <t>SUM</t>
  </si>
  <si>
    <t>SA of chamber - apopyle</t>
  </si>
  <si>
    <t>height of glycocalyx</t>
  </si>
  <si>
    <t>Surface area</t>
  </si>
  <si>
    <r>
      <t>PRE AND POST COLLAR SPACE:</t>
    </r>
    <r>
      <rPr>
        <sz val="12"/>
        <color theme="1"/>
        <rFont val="Calibri"/>
        <family val="2"/>
        <scheme val="minor"/>
      </rPr>
      <t xml:space="preserve"> this is the 'cone' of space between the prosopyle and the collar slit, and the cone of space between the collar slit and the collar aperture.</t>
    </r>
  </si>
  <si>
    <t>average length (um)</t>
  </si>
  <si>
    <t>area per chamber (i.e. x260)</t>
  </si>
  <si>
    <t>area per 1mm^3 piece (in um^2)</t>
  </si>
  <si>
    <t>area per 1mm3 piece (in mm2)</t>
  </si>
  <si>
    <t>pre collar space</t>
  </si>
  <si>
    <t>post collar space</t>
  </si>
  <si>
    <t>Summary sheet for Neopetrosia problematica</t>
  </si>
  <si>
    <t>Surface area of the sponge (cm^2)</t>
  </si>
  <si>
    <t xml:space="preserve">Excurrent velocity (m/s) </t>
  </si>
  <si>
    <t xml:space="preserve"> Osculum flow rate (mL/s) </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</si>
  <si>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</si>
  <si>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</si>
  <si>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rPr>
        <b/>
        <sz val="10"/>
        <color indexed="17"/>
        <rFont val="Arial"/>
        <family val="2"/>
      </rPr>
      <t>Acceleration of gravity, g (m/s^2)</t>
    </r>
  </si>
  <si>
    <r>
      <t xml:space="preserve">Specific weight </t>
    </r>
    <r>
      <rPr>
        <b/>
        <sz val="11"/>
        <color indexed="17"/>
        <rFont val="Symbol"/>
        <family val="1"/>
        <charset val="2"/>
      </rPr>
      <t>g</t>
    </r>
  </si>
  <si>
    <t xml:space="preserve">Viscosity (Pa s) </t>
  </si>
  <si>
    <t>Alfa (Vex/U)</t>
  </si>
  <si>
    <t>Sponge Volume (cm^3)</t>
  </si>
  <si>
    <t>Specific pumping rate (mL/mLSponge/min)</t>
  </si>
  <si>
    <t>mL/mLSponge/s</t>
  </si>
  <si>
    <t>nL/collar/hr</t>
  </si>
  <si>
    <t># chambers in 1mm3</t>
  </si>
  <si>
    <t># chambers/sponge</t>
  </si>
  <si>
    <t>Est # collars per chamber</t>
  </si>
  <si>
    <t>Number of mv per collar</t>
  </si>
  <si>
    <t>names at the comparison table</t>
  </si>
  <si>
    <t>Sponge Region</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</si>
  <si>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</si>
  <si>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</si>
  <si>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</si>
  <si>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</si>
  <si>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</si>
  <si>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</si>
  <si>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</si>
  <si>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 xml:space="preserve">Velocity (per opening, m^3/s) </t>
  </si>
  <si>
    <r>
      <t xml:space="preserve">% of total </t>
    </r>
    <r>
      <rPr>
        <sz val="10"/>
        <rFont val="Symbol"/>
        <family val="1"/>
      </rPr>
      <t>D</t>
    </r>
    <r>
      <rPr>
        <sz val="12"/>
        <color theme="1"/>
        <rFont val="Calibri"/>
        <family val="2"/>
        <scheme val="minor"/>
      </rPr>
      <t>Head</t>
    </r>
  </si>
  <si>
    <t>ostia</t>
  </si>
  <si>
    <t>Apertures of Inhalent canals</t>
  </si>
  <si>
    <t>lg incurrent canal</t>
  </si>
  <si>
    <t>med incurrent canal</t>
  </si>
  <si>
    <t>sm incurrent canal</t>
  </si>
  <si>
    <t>prosopyles</t>
  </si>
  <si>
    <t>Collars</t>
  </si>
  <si>
    <t>pre-collar space</t>
  </si>
  <si>
    <t>collar slit</t>
  </si>
  <si>
    <t>Chamber</t>
  </si>
  <si>
    <t>chamber</t>
  </si>
  <si>
    <t>Apopyles</t>
  </si>
  <si>
    <t>apopyle</t>
  </si>
  <si>
    <t>Apertures of exhalent canals</t>
  </si>
  <si>
    <t>sm excurrent canal</t>
  </si>
  <si>
    <t>med excurrent canal</t>
  </si>
  <si>
    <t>lg excurrent canal</t>
  </si>
  <si>
    <t>osculum</t>
  </si>
  <si>
    <t>Oxygen</t>
  </si>
  <si>
    <t>1 ml/l = 103/22.391 = 44.661 μmol/l</t>
  </si>
  <si>
    <t>umol/L</t>
  </si>
  <si>
    <t>1 ml/l * pumping rate (L/hr) = 1ml/hr</t>
  </si>
  <si>
    <t>ul/L</t>
  </si>
  <si>
    <t>1ul/hr *5.2222 ~= uW (Riisgard 1993)</t>
  </si>
  <si>
    <t>ul/hr</t>
  </si>
  <si>
    <t>uW</t>
  </si>
  <si>
    <t>Pumping Power</t>
  </si>
  <si>
    <t>Cost of pumping (%)</t>
  </si>
  <si>
    <t>Photo</t>
  </si>
  <si>
    <t>Height (cm)</t>
  </si>
  <si>
    <t>For the whole sponge:</t>
  </si>
  <si>
    <t>Volume (cm^3)</t>
  </si>
  <si>
    <t>Surface Area (cm^3)</t>
  </si>
  <si>
    <t>whole sponge</t>
  </si>
  <si>
    <t>Per osculum</t>
  </si>
  <si>
    <t>P1060588</t>
  </si>
  <si>
    <t>P1060590</t>
  </si>
  <si>
    <t>Volume</t>
  </si>
  <si>
    <t>V=surface area of top*height</t>
  </si>
  <si>
    <t>Area of triangle</t>
  </si>
  <si>
    <t>Perimeter of triangle/2</t>
  </si>
  <si>
    <t>Using Heron's formula:</t>
  </si>
  <si>
    <t>Side 1 (cm)</t>
  </si>
  <si>
    <t>Side 2 (cm)</t>
  </si>
  <si>
    <t>Side 3 (cm)</t>
  </si>
  <si>
    <t>Volume of sponge (cm^3)</t>
  </si>
  <si>
    <t>Height of oscula(cm)</t>
  </si>
  <si>
    <t>Type of opening</t>
  </si>
  <si>
    <t>Equation # in Riisgard and Larsen 1995</t>
  </si>
  <si>
    <t>Velocity (mm/s)</t>
  </si>
  <si>
    <t>Head loss (mm H20) as per Riisgard and Larsen 1995</t>
  </si>
  <si>
    <t>Head loss (um H20) as per Riisgard and Larsen 1995</t>
  </si>
  <si>
    <t>aperture</t>
  </si>
  <si>
    <t>channels/ducts</t>
  </si>
  <si>
    <t>For the lattice equation (17)</t>
  </si>
  <si>
    <t>d</t>
  </si>
  <si>
    <t>h1</t>
  </si>
  <si>
    <t>h2</t>
  </si>
  <si>
    <t>lattice - rectangular</t>
  </si>
  <si>
    <t>K</t>
  </si>
  <si>
    <t>τ</t>
  </si>
  <si>
    <t>h0</t>
  </si>
  <si>
    <t>h</t>
  </si>
  <si>
    <t>exit loss</t>
  </si>
  <si>
    <t>Using Riisgard and Larsen 1995</t>
  </si>
  <si>
    <t>Oxygen drawdown (umol/L)</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</si>
  <si>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</si>
  <si>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</si>
  <si>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</si>
  <si>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4.5 mm x 4.5 mm x 5 mm</t>
  </si>
  <si>
    <t>Sponge volume was estimated based on image analysis</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</si>
  <si>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</si>
  <si>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</si>
  <si>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</si>
  <si>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diameter of the collar microvilli</t>
  </si>
  <si>
    <t>height of the glycocalyx mesh</t>
  </si>
  <si>
    <t>width of the collar slit</t>
  </si>
  <si>
    <t>Sponge volume measurements for Neopetrosia problematica</t>
  </si>
  <si>
    <t>surface area of the top is estimated based on three triangles</t>
  </si>
  <si>
    <t>Head loss (mmH20) as per Leys et al 2011</t>
  </si>
  <si>
    <t>Head loss (umH20) as per Leys et al 2011</t>
  </si>
  <si>
    <t>Using Leys et al 2011</t>
  </si>
  <si>
    <t>Comparison to Callyspongia:</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</si>
</sst>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
    <numFmt numFmtId="165" formatCode="0.0000"/>
    <numFmt numFmtId="166" formatCode="0.000"/>
    <numFmt numFmtId="167" formatCode="_(* #,##0_);_(* \(#,##0\);_(* &quot;-&quot;??_);_(@_)"/>
    <numFmt numFmtId="168" formatCode="0.000000"/>
  </numFmts>
  <fonts count="25" x14ac:knownFonts="1">
    <font>
      <sz val="12"/>
      <color theme="1"/>
      <name val="Calibri"/>
      <family val="2"/>
      <scheme val="minor"/>
    </font>
    <font>
      <u/>
      <sz val="12"/>
      <color theme="10"/>
      <name val="Calibri"/>
      <family val="2"/>
      <scheme val="minor"/>
    </font>
    <font>
      <u/>
      <sz val="12"/>
      <color theme="11"/>
      <name val="Calibri"/>
      <family val="2"/>
      <scheme val="minor"/>
    </font>
    <font>
      <sz val="12"/>
      <color rgb="FF000000"/>
      <name val="Calibri"/>
      <family val="2"/>
      <scheme val="minor"/>
    </font>
    <font>
      <sz val="10"/>
      <name val="Arial"/>
      <family val="2"/>
    </font>
    <font>
      <sz val="12"/>
      <color rgb="FFFF0000"/>
      <name val="Calibri"/>
      <family val="2"/>
      <scheme val="minor"/>
    </font>
    <font>
      <b/>
      <sz val="12"/>
      <color theme="1"/>
      <name val="Calibri"/>
      <family val="2"/>
      <scheme val="minor"/>
    </font>
    <font>
      <b/>
      <sz val="9"/>
      <color indexed="81"/>
      <name val="Tahoma"/>
      <family val="2"/>
    </font>
    <font>
      <sz val="9"/>
      <color indexed="81"/>
      <name val="Tahoma"/>
      <family val="2"/>
    </font>
    <font>
      <sz val="9"/>
      <color indexed="81"/>
      <name val="Calibri"/>
      <family val="2"/>
    </font>
    <font>
      <b/>
      <sz val="9"/>
      <color indexed="81"/>
      <name val="Calibri"/>
      <family val="2"/>
    </font>
    <font>
      <b/>
      <sz val="10"/>
      <name val="Arial"/>
      <family val="2"/>
    </font>
    <font>
      <sz val="12"/>
      <color rgb="FF000000"/>
      <name val="Calibri"/>
      <family val="2"/>
    </font>
    <font>
      <sz val="11"/>
      <color rgb="FF006100"/>
      <name val="Calibri"/>
      <family val="2"/>
      <charset val="177"/>
      <scheme val="minor"/>
    </font>
    <font>
      <sz val="12"/>
      <color rgb="FF006100"/>
      <name val="Calibri"/>
      <family val="2"/>
      <scheme val="minor"/>
    </font>
    <font>
      <b/>
      <sz val="12"/>
      <color rgb="FFFA7D00"/>
      <name val="Calibri"/>
      <family val="2"/>
      <scheme val="minor"/>
    </font>
    <font>
      <b/>
      <sz val="11"/>
      <color rgb="FF006100"/>
      <name val="Calibri"/>
      <family val="2"/>
    </font>
    <font>
      <b/>
      <sz val="10"/>
      <color indexed="17"/>
      <name val="Calibri"/>
      <family val="2"/>
    </font>
    <font>
      <b/>
      <sz val="10"/>
      <color indexed="17"/>
      <name val="Arial"/>
      <family val="2"/>
    </font>
    <font>
      <b/>
      <sz val="10"/>
      <color indexed="17"/>
      <name val="Symbol"/>
      <family val="1"/>
      <charset val="2"/>
    </font>
    <font>
      <b/>
      <sz val="11"/>
      <color indexed="17"/>
      <name val="Symbol"/>
      <family val="1"/>
      <charset val="2"/>
    </font>
    <font>
      <sz val="10"/>
      <name val="Symbol"/>
      <family val="1"/>
    </font>
    <font>
      <sz val="11"/>
      <name val="Cambria"/>
      <family val="1"/>
      <scheme val="major"/>
    </font>
    <font>
      <b/>
      <sz val="16"/>
      <color theme="1"/>
      <name val="Calibri"/>
      <scheme val="minor"/>
    </font>
    <font>
      <sz val="12"/>
      <name val="Calibri"/>
      <family val="2"/>
      <scheme val="minor"/>
    </font>
  </fonts>
  <fills count="21">
    <fill>
      <patternFill patternType="none"/>
    </fill>
    <fill>
      <patternFill patternType="gray125"/>
    </fill>
    <fill>
      <patternFill patternType="solid">
        <fgColor theme="6" tint="0.79998168889431442"/>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theme="6" tint="-0.249977111117893"/>
        <bgColor indexed="64"/>
      </patternFill>
    </fill>
    <fill>
      <patternFill patternType="solid">
        <fgColor theme="6"/>
        <bgColor indexed="64"/>
      </patternFill>
    </fill>
    <fill>
      <patternFill patternType="solid">
        <fgColor theme="2"/>
        <bgColor indexed="64"/>
      </patternFill>
    </fill>
    <fill>
      <patternFill patternType="solid">
        <fgColor rgb="FFEEECE1"/>
        <bgColor rgb="FF000000"/>
      </patternFill>
    </fill>
    <fill>
      <patternFill patternType="solid">
        <fgColor theme="9" tint="0.79998168889431442"/>
        <bgColor indexed="64"/>
      </patternFill>
    </fill>
    <fill>
      <patternFill patternType="solid">
        <fgColor rgb="FFC6EFCE"/>
      </patternFill>
    </fill>
    <fill>
      <patternFill patternType="solid">
        <fgColor indexed="50"/>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2" tint="-9.9978637043366805E-2"/>
        <bgColor indexed="64"/>
      </patternFill>
    </fill>
    <fill>
      <patternFill patternType="solid">
        <fgColor rgb="FFF2F2F2"/>
      </patternFill>
    </fill>
    <fill>
      <patternFill patternType="solid">
        <fgColor theme="0" tint="-4.9989318521683403E-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9" tint="0.59999389629810485"/>
        <bgColor indexed="64"/>
      </patternFill>
    </fill>
    <fill>
      <patternFill patternType="solid">
        <fgColor theme="8" tint="0.79998168889431442"/>
        <bgColor indexed="64"/>
      </patternFill>
    </fill>
  </fills>
  <borders count="27">
    <border>
      <left/>
      <right/>
      <top/>
      <bottom/>
      <diagonal/>
    </border>
    <border>
      <left/>
      <right/>
      <top style="thin">
        <color auto="1"/>
      </top>
      <bottom style="thin">
        <color auto="1"/>
      </bottom>
      <diagonal/>
    </border>
    <border>
      <left/>
      <right/>
      <top style="thin">
        <color auto="1"/>
      </top>
      <bottom style="medium">
        <color auto="1"/>
      </bottom>
      <diagonal/>
    </border>
    <border>
      <left/>
      <right/>
      <top style="thin">
        <color auto="1"/>
      </top>
      <bottom style="double">
        <color auto="1"/>
      </bottom>
      <diagonal/>
    </border>
    <border>
      <left/>
      <right/>
      <top/>
      <bottom style="thin">
        <color auto="1"/>
      </bottom>
      <diagonal/>
    </border>
    <border>
      <left/>
      <right/>
      <top style="thin">
        <color auto="1"/>
      </top>
      <bottom/>
      <diagonal/>
    </border>
    <border>
      <left/>
      <right/>
      <top/>
      <bottom style="medium">
        <color auto="1"/>
      </bottom>
      <diagonal/>
    </border>
    <border>
      <left/>
      <right/>
      <top/>
      <bottom style="double">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double">
        <color auto="1"/>
      </bottom>
      <diagonal/>
    </border>
    <border>
      <left/>
      <right style="thin">
        <color auto="1"/>
      </right>
      <top/>
      <bottom style="double">
        <color auto="1"/>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style="hair">
        <color auto="1"/>
      </left>
      <right style="hair">
        <color auto="1"/>
      </right>
      <top/>
      <bottom style="hair">
        <color auto="1"/>
      </bottom>
      <diagonal/>
    </border>
    <border>
      <left style="hair">
        <color auto="1"/>
      </left>
      <right style="hair">
        <color auto="1"/>
      </right>
      <top style="hair">
        <color auto="1"/>
      </top>
      <bottom style="hair">
        <color auto="1"/>
      </bottom>
      <diagonal/>
    </border>
    <border>
      <left style="hair">
        <color auto="1"/>
      </left>
      <right style="hair">
        <color auto="1"/>
      </right>
      <top style="thin">
        <color auto="1"/>
      </top>
      <bottom style="double">
        <color auto="1"/>
      </bottom>
      <diagonal/>
    </border>
    <border>
      <left/>
      <right style="hair">
        <color auto="1"/>
      </right>
      <top style="thin">
        <color auto="1"/>
      </top>
      <bottom style="double">
        <color auto="1"/>
      </bottom>
      <diagonal/>
    </border>
    <border>
      <left style="thin">
        <color auto="1"/>
      </left>
      <right style="thin">
        <color auto="1"/>
      </right>
      <top style="thin">
        <color auto="1"/>
      </top>
      <bottom style="thin">
        <color auto="1"/>
      </bottom>
      <diagonal/>
    </border>
    <border>
      <left style="hair">
        <color auto="1"/>
      </left>
      <right style="hair">
        <color auto="1"/>
      </right>
      <top style="hair">
        <color auto="1"/>
      </top>
      <bottom/>
      <diagonal/>
    </border>
    <border>
      <left style="hair">
        <color auto="1"/>
      </left>
      <right/>
      <top style="hair">
        <color auto="1"/>
      </top>
      <bottom style="hair">
        <color auto="1"/>
      </bottom>
      <diagonal/>
    </border>
    <border>
      <left style="thin">
        <color rgb="FF7F7F7F"/>
      </left>
      <right style="thin">
        <color rgb="FF7F7F7F"/>
      </right>
      <top style="thin">
        <color rgb="FF7F7F7F"/>
      </top>
      <bottom style="thin">
        <color rgb="FF7F7F7F"/>
      </bottom>
      <diagonal/>
    </border>
    <border>
      <left style="thin">
        <color auto="1"/>
      </left>
      <right style="thin">
        <color rgb="FF7F7F7F"/>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s>
  <cellStyleXfs count="2075">
    <xf numFmtId="0" fontId="0" fillId="0" borderId="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3" fillId="10" borderId="0" applyNumberFormat="0" applyBorder="0" applyAlignment="0" applyProtection="0"/>
    <xf numFmtId="43" fontId="4" fillId="0" borderId="0" applyFon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4" fillId="10" borderId="0" applyNumberFormat="0" applyBorder="0" applyAlignment="0" applyProtection="0"/>
    <xf numFmtId="0" fontId="15" fillId="15" borderId="23" applyNumberFormat="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xf numFmtId="0" fontId="1" fillId="0" borderId="0" applyNumberFormat="0" applyFill="0" applyBorder="0" applyAlignment="0" applyProtection="0"/>
    <xf numFmtId="0" fontId="2" fillId="0" borderId="0" applyNumberFormat="0" applyFill="0" applyBorder="0" applyAlignment="0" applyProtection="0"/>
  </cellStyleXfs>
  <cellXfs count="204">
    <xf numFmtId="0" fontId="0" fillId="0" borderId="0" xfId="0"/>
    <xf numFmtId="0" fontId="0" fillId="0" borderId="1" xfId="0" applyBorder="1"/>
    <xf numFmtId="0" fontId="0" fillId="0" borderId="0" xfId="0" applyAlignment="1">
      <alignment wrapText="1"/>
    </xf>
    <xf numFmtId="0" fontId="3" fillId="0" borderId="0" xfId="0" applyFont="1"/>
    <xf numFmtId="0" fontId="4" fillId="0" borderId="0" xfId="0" applyFont="1" applyFill="1" applyBorder="1" applyAlignment="1">
      <alignment wrapText="1"/>
    </xf>
    <xf numFmtId="0" fontId="0" fillId="3" borderId="0" xfId="0" applyFill="1"/>
    <xf numFmtId="0" fontId="0" fillId="3" borderId="2" xfId="0" applyFill="1" applyBorder="1"/>
    <xf numFmtId="0" fontId="0" fillId="0" borderId="5" xfId="0" applyBorder="1"/>
    <xf numFmtId="0" fontId="0" fillId="0" borderId="0" xfId="0" applyBorder="1"/>
    <xf numFmtId="0" fontId="0" fillId="3" borderId="3" xfId="0" applyFill="1" applyBorder="1" applyAlignment="1">
      <alignment wrapText="1"/>
    </xf>
    <xf numFmtId="0" fontId="0" fillId="3" borderId="1" xfId="0" applyFill="1" applyBorder="1"/>
    <xf numFmtId="0" fontId="0" fillId="0" borderId="5" xfId="0" applyFill="1" applyBorder="1"/>
    <xf numFmtId="0" fontId="0" fillId="0" borderId="0" xfId="0" applyFill="1" applyBorder="1"/>
    <xf numFmtId="0" fontId="5" fillId="0" borderId="0" xfId="0" applyFont="1"/>
    <xf numFmtId="0" fontId="5" fillId="0" borderId="0" xfId="0" applyFont="1" applyFill="1" applyBorder="1"/>
    <xf numFmtId="0" fontId="5" fillId="0" borderId="0" xfId="0" applyFont="1" applyBorder="1"/>
    <xf numFmtId="0" fontId="0" fillId="3" borderId="0" xfId="0" applyFill="1" applyAlignment="1">
      <alignment wrapText="1"/>
    </xf>
    <xf numFmtId="0" fontId="0" fillId="0" borderId="3" xfId="0" applyBorder="1"/>
    <xf numFmtId="0" fontId="0" fillId="0" borderId="0" xfId="0" applyFill="1"/>
    <xf numFmtId="0" fontId="0" fillId="0" borderId="7" xfId="0" applyBorder="1" applyAlignment="1">
      <alignment wrapText="1"/>
    </xf>
    <xf numFmtId="0" fontId="0" fillId="4" borderId="10" xfId="0" applyFill="1" applyBorder="1" applyAlignment="1">
      <alignment wrapText="1"/>
    </xf>
    <xf numFmtId="0" fontId="0" fillId="4" borderId="11" xfId="0" applyFill="1" applyBorder="1" applyAlignment="1">
      <alignment wrapText="1"/>
    </xf>
    <xf numFmtId="0" fontId="0" fillId="4" borderId="12" xfId="0" applyFill="1" applyBorder="1" applyAlignment="1">
      <alignment horizontal="right"/>
    </xf>
    <xf numFmtId="0" fontId="0" fillId="4" borderId="13" xfId="0" applyFill="1" applyBorder="1"/>
    <xf numFmtId="2" fontId="0" fillId="4" borderId="12" xfId="0" applyNumberFormat="1" applyFill="1" applyBorder="1" applyAlignment="1">
      <alignment horizontal="right"/>
    </xf>
    <xf numFmtId="0" fontId="0" fillId="4" borderId="12" xfId="0" applyFill="1" applyBorder="1"/>
    <xf numFmtId="0" fontId="0" fillId="4" borderId="14" xfId="0" applyFill="1" applyBorder="1"/>
    <xf numFmtId="0" fontId="0" fillId="4" borderId="15" xfId="0" applyFill="1" applyBorder="1"/>
    <xf numFmtId="0" fontId="0" fillId="2" borderId="10" xfId="0" applyFill="1" applyBorder="1" applyAlignment="1">
      <alignment wrapText="1"/>
    </xf>
    <xf numFmtId="0" fontId="0" fillId="2" borderId="11" xfId="0" applyFill="1" applyBorder="1" applyAlignment="1">
      <alignment wrapText="1"/>
    </xf>
    <xf numFmtId="0" fontId="0" fillId="0" borderId="0" xfId="0" applyFill="1" applyBorder="1" applyAlignment="1">
      <alignment wrapText="1"/>
    </xf>
    <xf numFmtId="0" fontId="6" fillId="0" borderId="0" xfId="0" applyFont="1"/>
    <xf numFmtId="0" fontId="6" fillId="0" borderId="1" xfId="0" applyFont="1" applyBorder="1"/>
    <xf numFmtId="0" fontId="6" fillId="0" borderId="0" xfId="0" applyFont="1" applyBorder="1"/>
    <xf numFmtId="0" fontId="6" fillId="0" borderId="0" xfId="0" applyFont="1" applyFill="1" applyBorder="1"/>
    <xf numFmtId="0" fontId="6" fillId="0" borderId="1" xfId="0" applyFont="1" applyFill="1" applyBorder="1"/>
    <xf numFmtId="0" fontId="11" fillId="0" borderId="0" xfId="0" applyFont="1"/>
    <xf numFmtId="2" fontId="11" fillId="0" borderId="0" xfId="0" applyNumberFormat="1" applyFont="1" applyFill="1" applyBorder="1"/>
    <xf numFmtId="0" fontId="0" fillId="0" borderId="16" xfId="0" applyFill="1" applyBorder="1"/>
    <xf numFmtId="2" fontId="0" fillId="0" borderId="0" xfId="0" applyNumberFormat="1" applyFill="1" applyBorder="1"/>
    <xf numFmtId="164" fontId="0" fillId="0" borderId="0" xfId="0" applyNumberFormat="1" applyFill="1" applyBorder="1"/>
    <xf numFmtId="165" fontId="11" fillId="0" borderId="0" xfId="0" applyNumberFormat="1" applyFont="1" applyFill="1" applyBorder="1"/>
    <xf numFmtId="0" fontId="0" fillId="0" borderId="2" xfId="0" applyFill="1" applyBorder="1"/>
    <xf numFmtId="164" fontId="0" fillId="0" borderId="2" xfId="0" applyNumberFormat="1" applyFill="1" applyBorder="1"/>
    <xf numFmtId="166" fontId="0" fillId="0" borderId="2" xfId="0" applyNumberFormat="1" applyFill="1" applyBorder="1"/>
    <xf numFmtId="2" fontId="0" fillId="0" borderId="2" xfId="0" applyNumberFormat="1" applyFill="1" applyBorder="1"/>
    <xf numFmtId="0" fontId="0" fillId="5" borderId="0" xfId="0" applyFill="1" applyBorder="1"/>
    <xf numFmtId="0" fontId="0" fillId="5" borderId="6" xfId="0" applyFill="1" applyBorder="1"/>
    <xf numFmtId="0" fontId="12" fillId="2" borderId="8" xfId="0" applyFont="1" applyFill="1" applyBorder="1" applyAlignment="1">
      <alignment horizontal="right"/>
    </xf>
    <xf numFmtId="0" fontId="12" fillId="2" borderId="9" xfId="0" applyFont="1" applyFill="1" applyBorder="1"/>
    <xf numFmtId="0" fontId="12" fillId="2" borderId="10" xfId="0" applyFont="1" applyFill="1" applyBorder="1" applyAlignment="1">
      <alignment wrapText="1"/>
    </xf>
    <xf numFmtId="2" fontId="0" fillId="4" borderId="12" xfId="0" applyNumberFormat="1" applyFill="1" applyBorder="1"/>
    <xf numFmtId="2" fontId="0" fillId="4" borderId="13" xfId="0" applyNumberFormat="1" applyFill="1" applyBorder="1"/>
    <xf numFmtId="2" fontId="0" fillId="2" borderId="12" xfId="0" applyNumberFormat="1" applyFill="1" applyBorder="1"/>
    <xf numFmtId="2" fontId="0" fillId="2" borderId="13" xfId="0" applyNumberFormat="1" applyFill="1" applyBorder="1"/>
    <xf numFmtId="2" fontId="12" fillId="2" borderId="12" xfId="0" applyNumberFormat="1" applyFont="1" applyFill="1" applyBorder="1"/>
    <xf numFmtId="2" fontId="12" fillId="2" borderId="13" xfId="0" applyNumberFormat="1" applyFont="1" applyFill="1" applyBorder="1"/>
    <xf numFmtId="2" fontId="0" fillId="2" borderId="0" xfId="0" applyNumberFormat="1" applyFill="1"/>
    <xf numFmtId="2" fontId="0" fillId="4" borderId="14" xfId="0" applyNumberFormat="1" applyFill="1" applyBorder="1"/>
    <xf numFmtId="2" fontId="0" fillId="4" borderId="15" xfId="0" applyNumberFormat="1" applyFill="1" applyBorder="1"/>
    <xf numFmtId="2" fontId="0" fillId="2" borderId="14" xfId="0" applyNumberFormat="1" applyFill="1" applyBorder="1"/>
    <xf numFmtId="2" fontId="0" fillId="2" borderId="15" xfId="0" applyNumberFormat="1" applyFill="1" applyBorder="1"/>
    <xf numFmtId="2" fontId="12" fillId="2" borderId="14" xfId="0" applyNumberFormat="1" applyFont="1" applyFill="1" applyBorder="1"/>
    <xf numFmtId="2" fontId="12" fillId="2" borderId="15" xfId="0" applyNumberFormat="1" applyFont="1" applyFill="1" applyBorder="1"/>
    <xf numFmtId="0" fontId="0" fillId="6" borderId="0" xfId="0" applyFill="1"/>
    <xf numFmtId="0" fontId="0" fillId="7" borderId="3" xfId="0" applyFill="1" applyBorder="1"/>
    <xf numFmtId="0" fontId="0" fillId="7" borderId="18" xfId="0" applyFill="1" applyBorder="1" applyAlignment="1">
      <alignment wrapText="1"/>
    </xf>
    <xf numFmtId="0" fontId="0" fillId="0" borderId="0" xfId="0" applyAlignment="1">
      <alignment horizontal="left"/>
    </xf>
    <xf numFmtId="0" fontId="0" fillId="0" borderId="4" xfId="0" applyBorder="1"/>
    <xf numFmtId="0" fontId="3" fillId="8" borderId="19" xfId="0" applyFont="1" applyFill="1" applyBorder="1" applyAlignment="1">
      <alignment wrapText="1"/>
    </xf>
    <xf numFmtId="0" fontId="6" fillId="0" borderId="5" xfId="0" applyFont="1" applyFill="1" applyBorder="1"/>
    <xf numFmtId="0" fontId="0" fillId="0" borderId="0" xfId="0" applyFont="1" applyFill="1" applyBorder="1"/>
    <xf numFmtId="0" fontId="6" fillId="0" borderId="5" xfId="0" applyFont="1" applyBorder="1"/>
    <xf numFmtId="0" fontId="0" fillId="0" borderId="5" xfId="0" applyFont="1" applyFill="1" applyBorder="1"/>
    <xf numFmtId="0" fontId="0" fillId="0" borderId="5" xfId="0" applyFont="1" applyBorder="1"/>
    <xf numFmtId="0" fontId="0" fillId="0" borderId="0" xfId="0" applyFont="1" applyBorder="1"/>
    <xf numFmtId="0" fontId="0" fillId="2" borderId="2" xfId="0" applyFill="1" applyBorder="1"/>
    <xf numFmtId="0" fontId="0" fillId="2" borderId="2" xfId="0" applyFill="1" applyBorder="1" applyAlignment="1">
      <alignment wrapText="1"/>
    </xf>
    <xf numFmtId="0" fontId="0" fillId="2" borderId="0" xfId="0" applyFill="1"/>
    <xf numFmtId="0" fontId="0" fillId="2" borderId="0" xfId="0" applyFill="1" applyBorder="1"/>
    <xf numFmtId="0" fontId="0" fillId="2" borderId="5" xfId="0" applyFill="1" applyBorder="1"/>
    <xf numFmtId="0" fontId="0" fillId="2" borderId="4" xfId="0" applyFill="1" applyBorder="1"/>
    <xf numFmtId="0" fontId="0" fillId="2" borderId="1" xfId="0" applyFill="1" applyBorder="1"/>
    <xf numFmtId="0" fontId="0" fillId="2" borderId="20" xfId="0" applyFill="1" applyBorder="1"/>
    <xf numFmtId="0" fontId="0" fillId="2" borderId="20" xfId="0" applyFill="1" applyBorder="1" applyAlignment="1">
      <alignment wrapText="1"/>
    </xf>
    <xf numFmtId="0" fontId="3" fillId="2" borderId="0" xfId="0" applyFont="1" applyFill="1"/>
    <xf numFmtId="0" fontId="3" fillId="2" borderId="0" xfId="0" applyFont="1" applyFill="1" applyBorder="1"/>
    <xf numFmtId="0" fontId="0" fillId="2" borderId="3" xfId="0" applyFill="1" applyBorder="1"/>
    <xf numFmtId="0" fontId="0" fillId="2" borderId="18" xfId="0" applyFill="1" applyBorder="1" applyAlignment="1">
      <alignment wrapText="1"/>
    </xf>
    <xf numFmtId="0" fontId="11" fillId="9" borderId="17" xfId="0" applyFont="1" applyFill="1" applyBorder="1" applyAlignment="1">
      <alignment wrapText="1"/>
    </xf>
    <xf numFmtId="0" fontId="11" fillId="9" borderId="21" xfId="0" applyFont="1" applyFill="1" applyBorder="1" applyAlignment="1">
      <alignment wrapText="1"/>
    </xf>
    <xf numFmtId="2" fontId="0" fillId="9" borderId="17" xfId="0" applyNumberFormat="1" applyFill="1" applyBorder="1"/>
    <xf numFmtId="0" fontId="0" fillId="9" borderId="22" xfId="0" applyFill="1" applyBorder="1"/>
    <xf numFmtId="0" fontId="0" fillId="0" borderId="17" xfId="0" applyFill="1" applyBorder="1"/>
    <xf numFmtId="2" fontId="0" fillId="6" borderId="20" xfId="0" applyNumberFormat="1" applyFill="1" applyBorder="1"/>
    <xf numFmtId="11" fontId="0" fillId="0" borderId="0" xfId="0" applyNumberFormat="1"/>
    <xf numFmtId="11" fontId="0" fillId="0" borderId="0" xfId="0" applyNumberFormat="1" applyBorder="1"/>
    <xf numFmtId="11" fontId="0" fillId="0" borderId="4" xfId="0" applyNumberFormat="1" applyBorder="1"/>
    <xf numFmtId="0" fontId="0" fillId="7" borderId="0" xfId="0" applyFill="1" applyAlignment="1">
      <alignment wrapText="1"/>
    </xf>
    <xf numFmtId="0" fontId="0" fillId="7" borderId="5" xfId="0" applyFill="1" applyBorder="1"/>
    <xf numFmtId="0" fontId="0" fillId="7" borderId="0" xfId="0" applyFill="1" applyBorder="1"/>
    <xf numFmtId="0" fontId="0" fillId="7" borderId="4" xfId="0" applyFill="1" applyBorder="1"/>
    <xf numFmtId="11" fontId="0" fillId="7" borderId="4" xfId="0" applyNumberFormat="1" applyFill="1" applyBorder="1"/>
    <xf numFmtId="0" fontId="0" fillId="7" borderId="0" xfId="0" applyFill="1"/>
    <xf numFmtId="11" fontId="0" fillId="7" borderId="0" xfId="0" applyNumberFormat="1" applyFill="1"/>
    <xf numFmtId="0" fontId="0" fillId="2" borderId="0" xfId="0" applyFill="1" applyAlignment="1">
      <alignment wrapText="1"/>
    </xf>
    <xf numFmtId="0" fontId="4" fillId="2" borderId="0" xfId="0" applyFont="1" applyFill="1" applyAlignment="1">
      <alignment wrapText="1"/>
    </xf>
    <xf numFmtId="0" fontId="4" fillId="0" borderId="4" xfId="0" applyFont="1" applyBorder="1"/>
    <xf numFmtId="0" fontId="11" fillId="11" borderId="1" xfId="0" applyFont="1" applyFill="1" applyBorder="1"/>
    <xf numFmtId="2" fontId="11" fillId="11" borderId="1" xfId="0" applyNumberFormat="1" applyFont="1" applyFill="1" applyBorder="1"/>
    <xf numFmtId="0" fontId="0" fillId="11" borderId="1" xfId="0" applyFill="1" applyBorder="1"/>
    <xf numFmtId="2" fontId="0" fillId="11" borderId="1" xfId="0" applyNumberFormat="1" applyFill="1" applyBorder="1"/>
    <xf numFmtId="0" fontId="4" fillId="0" borderId="1" xfId="0" applyFont="1" applyBorder="1" applyAlignment="1">
      <alignment wrapText="1"/>
    </xf>
    <xf numFmtId="0" fontId="0" fillId="0" borderId="1" xfId="0" applyBorder="1" applyAlignment="1">
      <alignment wrapText="1"/>
    </xf>
    <xf numFmtId="0" fontId="0" fillId="2" borderId="5" xfId="0" applyFill="1" applyBorder="1" applyAlignment="1">
      <alignment wrapText="1"/>
    </xf>
    <xf numFmtId="2" fontId="0" fillId="0" borderId="0" xfId="0" applyNumberFormat="1" applyFill="1"/>
    <xf numFmtId="0" fontId="0" fillId="12" borderId="0" xfId="0" applyFill="1"/>
    <xf numFmtId="0" fontId="0" fillId="12" borderId="3" xfId="0" applyFill="1" applyBorder="1" applyAlignment="1">
      <alignment wrapText="1"/>
    </xf>
    <xf numFmtId="0" fontId="11" fillId="0" borderId="0" xfId="0" applyFont="1" applyAlignment="1"/>
    <xf numFmtId="2" fontId="0" fillId="11" borderId="20" xfId="0" applyNumberFormat="1" applyFill="1" applyBorder="1"/>
    <xf numFmtId="0" fontId="0" fillId="13" borderId="0" xfId="0" applyFill="1"/>
    <xf numFmtId="0" fontId="0" fillId="13" borderId="8" xfId="0" applyFill="1" applyBorder="1"/>
    <xf numFmtId="0" fontId="0" fillId="13" borderId="9" xfId="0" applyFill="1" applyBorder="1"/>
    <xf numFmtId="0" fontId="11" fillId="7" borderId="4" xfId="0" applyFont="1" applyFill="1" applyBorder="1"/>
    <xf numFmtId="0" fontId="0" fillId="13" borderId="0" xfId="0" applyFill="1" applyBorder="1"/>
    <xf numFmtId="0" fontId="4" fillId="3" borderId="0" xfId="0" applyFont="1" applyFill="1" applyBorder="1" applyAlignment="1">
      <alignment wrapText="1"/>
    </xf>
    <xf numFmtId="0" fontId="4" fillId="14" borderId="4" xfId="0" applyFont="1" applyFill="1" applyBorder="1" applyAlignment="1">
      <alignment wrapText="1"/>
    </xf>
    <xf numFmtId="0" fontId="4" fillId="14" borderId="0" xfId="0" applyFont="1" applyFill="1" applyBorder="1" applyAlignment="1">
      <alignment wrapText="1"/>
    </xf>
    <xf numFmtId="0" fontId="4" fillId="14" borderId="5" xfId="0" applyFont="1" applyFill="1" applyBorder="1" applyAlignment="1">
      <alignment wrapText="1"/>
    </xf>
    <xf numFmtId="166" fontId="16" fillId="16" borderId="20" xfId="2039" applyNumberFormat="1" applyFont="1" applyFill="1" applyBorder="1" applyAlignment="1">
      <alignment horizontal="right" wrapText="1"/>
    </xf>
    <xf numFmtId="0" fontId="16" fillId="16" borderId="20" xfId="2039" applyFont="1" applyFill="1" applyBorder="1" applyAlignment="1">
      <alignment horizontal="right" wrapText="1"/>
    </xf>
    <xf numFmtId="0" fontId="16" fillId="16" borderId="20" xfId="2039" applyFont="1" applyFill="1" applyBorder="1" applyAlignment="1">
      <alignment wrapText="1"/>
    </xf>
    <xf numFmtId="0" fontId="17" fillId="16" borderId="20" xfId="2039" applyFont="1" applyFill="1" applyBorder="1" applyAlignment="1">
      <alignment wrapText="1"/>
    </xf>
    <xf numFmtId="0" fontId="16" fillId="16" borderId="20" xfId="1861" applyFont="1" applyFill="1" applyBorder="1" applyAlignment="1">
      <alignment horizontal="right" wrapText="1"/>
    </xf>
    <xf numFmtId="0" fontId="11" fillId="16" borderId="20" xfId="0" applyFont="1" applyFill="1" applyBorder="1" applyAlignment="1">
      <alignment wrapText="1"/>
    </xf>
    <xf numFmtId="0" fontId="15" fillId="15" borderId="20" xfId="2040" applyBorder="1" applyAlignment="1">
      <alignment horizontal="left" wrapText="1"/>
    </xf>
    <xf numFmtId="0" fontId="15" fillId="15" borderId="20" xfId="2040" applyBorder="1" applyAlignment="1">
      <alignment horizontal="center" wrapText="1"/>
    </xf>
    <xf numFmtId="0" fontId="15" fillId="15" borderId="24" xfId="2040" applyBorder="1" applyAlignment="1">
      <alignment horizontal="center" wrapText="1"/>
    </xf>
    <xf numFmtId="0" fontId="4" fillId="0" borderId="0" xfId="0" applyFont="1" applyFill="1" applyAlignment="1">
      <alignment wrapText="1"/>
    </xf>
    <xf numFmtId="166" fontId="16" fillId="16" borderId="20" xfId="2039" applyNumberFormat="1" applyFont="1" applyFill="1" applyBorder="1" applyAlignment="1">
      <alignment horizontal="right"/>
    </xf>
    <xf numFmtId="11" fontId="16" fillId="16" borderId="20" xfId="2039" applyNumberFormat="1" applyFont="1" applyFill="1" applyBorder="1" applyAlignment="1">
      <alignment horizontal="right" wrapText="1"/>
    </xf>
    <xf numFmtId="2" fontId="16" fillId="16" borderId="20" xfId="2039" applyNumberFormat="1" applyFont="1" applyFill="1" applyBorder="1" applyAlignment="1">
      <alignment wrapText="1"/>
    </xf>
    <xf numFmtId="1" fontId="16" fillId="16" borderId="20" xfId="2039" applyNumberFormat="1" applyFont="1" applyFill="1" applyBorder="1" applyAlignment="1">
      <alignment wrapText="1"/>
    </xf>
    <xf numFmtId="165" fontId="16" fillId="16" borderId="20" xfId="2039" applyNumberFormat="1" applyFont="1" applyFill="1" applyBorder="1" applyAlignment="1">
      <alignment wrapText="1"/>
    </xf>
    <xf numFmtId="167" fontId="16" fillId="16" borderId="20" xfId="1862" applyNumberFormat="1" applyFont="1" applyFill="1" applyBorder="1"/>
    <xf numFmtId="11" fontId="16" fillId="16" borderId="20" xfId="2039" applyNumberFormat="1" applyFont="1" applyFill="1" applyBorder="1" applyAlignment="1">
      <alignment wrapText="1"/>
    </xf>
    <xf numFmtId="0" fontId="11" fillId="16" borderId="20" xfId="0" applyFont="1" applyFill="1" applyBorder="1"/>
    <xf numFmtId="165" fontId="15" fillId="15" borderId="20" xfId="2040" applyNumberFormat="1" applyBorder="1"/>
    <xf numFmtId="168" fontId="15" fillId="15" borderId="24" xfId="2040" applyNumberFormat="1" applyBorder="1"/>
    <xf numFmtId="0" fontId="4" fillId="0" borderId="0" xfId="0" applyFont="1"/>
    <xf numFmtId="11" fontId="4" fillId="0" borderId="0" xfId="0" applyNumberFormat="1" applyFont="1"/>
    <xf numFmtId="0" fontId="4" fillId="0" borderId="0" xfId="0" applyFont="1" applyAlignment="1">
      <alignment horizontal="center"/>
    </xf>
    <xf numFmtId="0" fontId="4" fillId="2" borderId="25" xfId="0" applyFont="1" applyFill="1" applyBorder="1"/>
    <xf numFmtId="2" fontId="4" fillId="2" borderId="26" xfId="0" applyNumberFormat="1" applyFont="1" applyFill="1" applyBorder="1"/>
    <xf numFmtId="2" fontId="4" fillId="0" borderId="0" xfId="0" applyNumberFormat="1" applyFont="1"/>
    <xf numFmtId="0" fontId="4" fillId="2" borderId="12" xfId="0" applyFont="1" applyFill="1" applyBorder="1"/>
    <xf numFmtId="2" fontId="4" fillId="2" borderId="13" xfId="0" applyNumberFormat="1" applyFont="1" applyFill="1" applyBorder="1"/>
    <xf numFmtId="0" fontId="4" fillId="2" borderId="13" xfId="0" applyFont="1" applyFill="1" applyBorder="1"/>
    <xf numFmtId="0" fontId="4" fillId="0" borderId="0" xfId="0" applyFont="1" applyFill="1"/>
    <xf numFmtId="0" fontId="4" fillId="2" borderId="14" xfId="0" applyFont="1" applyFill="1" applyBorder="1"/>
    <xf numFmtId="164" fontId="4" fillId="2" borderId="15" xfId="0" applyNumberFormat="1" applyFont="1" applyFill="1" applyBorder="1"/>
    <xf numFmtId="0" fontId="11" fillId="3" borderId="4" xfId="0" applyFont="1" applyFill="1" applyBorder="1" applyAlignment="1">
      <alignment horizontal="center" wrapText="1"/>
    </xf>
    <xf numFmtId="0" fontId="4" fillId="3" borderId="4" xfId="0" applyFont="1" applyFill="1" applyBorder="1" applyAlignment="1">
      <alignment wrapText="1"/>
    </xf>
    <xf numFmtId="0" fontId="4" fillId="17" borderId="4" xfId="0" applyFont="1" applyFill="1" applyBorder="1" applyAlignment="1">
      <alignment wrapText="1"/>
    </xf>
    <xf numFmtId="0" fontId="11" fillId="0" borderId="0" xfId="0" applyFont="1" applyAlignment="1">
      <alignment horizontal="left"/>
    </xf>
    <xf numFmtId="0" fontId="0" fillId="17" borderId="0" xfId="0" applyFill="1"/>
    <xf numFmtId="0" fontId="4" fillId="0" borderId="0" xfId="0" applyFont="1" applyAlignment="1">
      <alignment horizontal="left"/>
    </xf>
    <xf numFmtId="0" fontId="11" fillId="0" borderId="0" xfId="0" applyFont="1" applyFill="1" applyAlignment="1">
      <alignment horizontal="left"/>
    </xf>
    <xf numFmtId="0" fontId="0" fillId="18" borderId="0" xfId="0" applyFill="1"/>
    <xf numFmtId="2" fontId="0" fillId="18" borderId="0" xfId="0" applyNumberFormat="1" applyFill="1"/>
    <xf numFmtId="2" fontId="0" fillId="0" borderId="0" xfId="0" applyNumberFormat="1"/>
    <xf numFmtId="0" fontId="0" fillId="19" borderId="0" xfId="0" applyFill="1"/>
    <xf numFmtId="2" fontId="0" fillId="0" borderId="0" xfId="0" applyNumberFormat="1" applyBorder="1"/>
    <xf numFmtId="1" fontId="0" fillId="19" borderId="0" xfId="0" applyNumberFormat="1" applyFill="1"/>
    <xf numFmtId="0" fontId="23" fillId="0" borderId="0" xfId="0" applyFont="1"/>
    <xf numFmtId="0" fontId="0" fillId="0" borderId="0" xfId="0" applyFont="1"/>
    <xf numFmtId="0" fontId="3" fillId="0" borderId="0" xfId="0" applyFont="1" applyFill="1"/>
    <xf numFmtId="0" fontId="0" fillId="0" borderId="0" xfId="0" applyAlignment="1">
      <alignment horizontal="left" wrapText="1"/>
    </xf>
    <xf numFmtId="0" fontId="0" fillId="4" borderId="8" xfId="0" applyFill="1" applyBorder="1" applyAlignment="1">
      <alignment horizontal="center"/>
    </xf>
    <xf numFmtId="0" fontId="0" fillId="4" borderId="9" xfId="0" applyFill="1" applyBorder="1" applyAlignment="1">
      <alignment horizontal="center"/>
    </xf>
    <xf numFmtId="0" fontId="0" fillId="2" borderId="8" xfId="0" applyFill="1" applyBorder="1" applyAlignment="1">
      <alignment horizontal="center"/>
    </xf>
    <xf numFmtId="0" fontId="0" fillId="2" borderId="9" xfId="0" applyFill="1" applyBorder="1" applyAlignment="1">
      <alignment horizontal="center"/>
    </xf>
    <xf numFmtId="0" fontId="0" fillId="20" borderId="0" xfId="0" applyFill="1" applyBorder="1"/>
    <xf numFmtId="168" fontId="22" fillId="20" borderId="0" xfId="1862" applyNumberFormat="1" applyFont="1" applyFill="1" applyBorder="1"/>
    <xf numFmtId="0" fontId="4" fillId="20" borderId="25" xfId="0" applyFont="1" applyFill="1" applyBorder="1" applyAlignment="1">
      <alignment wrapText="1"/>
    </xf>
    <xf numFmtId="0" fontId="4" fillId="20" borderId="5" xfId="0" applyFont="1" applyFill="1" applyBorder="1" applyAlignment="1">
      <alignment wrapText="1"/>
    </xf>
    <xf numFmtId="0" fontId="4" fillId="20" borderId="1" xfId="0" applyFont="1" applyFill="1" applyBorder="1" applyAlignment="1">
      <alignment wrapText="1"/>
    </xf>
    <xf numFmtId="0" fontId="4" fillId="20" borderId="26" xfId="0" applyFont="1" applyFill="1" applyBorder="1" applyAlignment="1">
      <alignment wrapText="1"/>
    </xf>
    <xf numFmtId="0" fontId="0" fillId="20" borderId="12" xfId="0" applyFill="1" applyBorder="1"/>
    <xf numFmtId="43" fontId="6" fillId="20" borderId="0" xfId="0" applyNumberFormat="1" applyFont="1" applyFill="1" applyBorder="1"/>
    <xf numFmtId="11" fontId="0" fillId="20" borderId="13" xfId="0" applyNumberFormat="1" applyFill="1" applyBorder="1"/>
    <xf numFmtId="0" fontId="0" fillId="20" borderId="13" xfId="0" applyFill="1" applyBorder="1"/>
    <xf numFmtId="0" fontId="0" fillId="20" borderId="14" xfId="0" applyFill="1" applyBorder="1"/>
    <xf numFmtId="0" fontId="0" fillId="20" borderId="4" xfId="0" applyFill="1" applyBorder="1"/>
    <xf numFmtId="168" fontId="0" fillId="20" borderId="4" xfId="0" applyNumberFormat="1" applyFill="1" applyBorder="1"/>
    <xf numFmtId="0" fontId="0" fillId="20" borderId="15" xfId="0" applyFill="1" applyBorder="1"/>
    <xf numFmtId="0" fontId="4" fillId="18" borderId="25" xfId="0" applyFont="1" applyFill="1" applyBorder="1" applyAlignment="1">
      <alignment wrapText="1"/>
    </xf>
    <xf numFmtId="0" fontId="4" fillId="18" borderId="5" xfId="0" applyFont="1" applyFill="1" applyBorder="1" applyAlignment="1">
      <alignment wrapText="1"/>
    </xf>
    <xf numFmtId="0" fontId="4" fillId="18" borderId="26" xfId="0" applyFont="1" applyFill="1" applyBorder="1" applyAlignment="1">
      <alignment wrapText="1"/>
    </xf>
    <xf numFmtId="0" fontId="0" fillId="18" borderId="12" xfId="0" applyFill="1" applyBorder="1"/>
    <xf numFmtId="0" fontId="24" fillId="18" borderId="0" xfId="0" applyFont="1" applyFill="1" applyBorder="1"/>
    <xf numFmtId="0" fontId="0" fillId="18" borderId="13" xfId="0" applyFill="1" applyBorder="1"/>
    <xf numFmtId="0" fontId="0" fillId="18" borderId="15" xfId="0" applyFill="1" applyBorder="1"/>
    <xf numFmtId="0" fontId="0" fillId="12" borderId="0" xfId="0" applyFill="1" applyBorder="1" applyAlignment="1">
      <alignment wrapText="1"/>
    </xf>
  </cellXfs>
  <cellStyles count="2075">
    <cellStyle name="Calculation" xfId="2040" builtinId="22"/>
    <cellStyle name="Comma 2" xfId="1862"/>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Followed Hyperlink" xfId="822" builtinId="9" hidden="1"/>
    <cellStyle name="Followed Hyperlink" xfId="824" builtinId="9" hidden="1"/>
    <cellStyle name="Followed Hyperlink" xfId="826" builtinId="9" hidden="1"/>
    <cellStyle name="Followed Hyperlink" xfId="828" builtinId="9" hidden="1"/>
    <cellStyle name="Followed Hyperlink" xfId="830" builtinId="9" hidden="1"/>
    <cellStyle name="Followed Hyperlink" xfId="832" builtinId="9" hidden="1"/>
    <cellStyle name="Followed Hyperlink" xfId="834" builtinId="9" hidden="1"/>
    <cellStyle name="Followed Hyperlink" xfId="836" builtinId="9" hidden="1"/>
    <cellStyle name="Followed Hyperlink" xfId="838" builtinId="9" hidden="1"/>
    <cellStyle name="Followed Hyperlink" xfId="840" builtinId="9" hidden="1"/>
    <cellStyle name="Followed Hyperlink" xfId="842" builtinId="9" hidden="1"/>
    <cellStyle name="Followed Hyperlink" xfId="844" builtinId="9" hidden="1"/>
    <cellStyle name="Followed Hyperlink" xfId="846" builtinId="9" hidden="1"/>
    <cellStyle name="Followed Hyperlink" xfId="848" builtinId="9" hidden="1"/>
    <cellStyle name="Followed Hyperlink" xfId="850" builtinId="9" hidden="1"/>
    <cellStyle name="Followed Hyperlink" xfId="852" builtinId="9" hidden="1"/>
    <cellStyle name="Followed Hyperlink" xfId="854" builtinId="9" hidden="1"/>
    <cellStyle name="Followed Hyperlink" xfId="856" builtinId="9" hidden="1"/>
    <cellStyle name="Followed Hyperlink" xfId="858" builtinId="9" hidden="1"/>
    <cellStyle name="Followed Hyperlink" xfId="860" builtinId="9" hidden="1"/>
    <cellStyle name="Followed Hyperlink" xfId="862" builtinId="9" hidden="1"/>
    <cellStyle name="Followed Hyperlink" xfId="864" builtinId="9" hidden="1"/>
    <cellStyle name="Followed Hyperlink" xfId="866" builtinId="9" hidden="1"/>
    <cellStyle name="Followed Hyperlink" xfId="868" builtinId="9" hidden="1"/>
    <cellStyle name="Followed Hyperlink" xfId="870" builtinId="9" hidden="1"/>
    <cellStyle name="Followed Hyperlink" xfId="872" builtinId="9" hidden="1"/>
    <cellStyle name="Followed Hyperlink" xfId="874" builtinId="9" hidden="1"/>
    <cellStyle name="Followed Hyperlink" xfId="876" builtinId="9" hidden="1"/>
    <cellStyle name="Followed Hyperlink" xfId="878" builtinId="9" hidden="1"/>
    <cellStyle name="Followed Hyperlink" xfId="880" builtinId="9" hidden="1"/>
    <cellStyle name="Followed Hyperlink" xfId="882" builtinId="9" hidden="1"/>
    <cellStyle name="Followed Hyperlink" xfId="884" builtinId="9" hidden="1"/>
    <cellStyle name="Followed Hyperlink" xfId="886" builtinId="9" hidden="1"/>
    <cellStyle name="Followed Hyperlink" xfId="888" builtinId="9" hidden="1"/>
    <cellStyle name="Followed Hyperlink" xfId="890" builtinId="9" hidden="1"/>
    <cellStyle name="Followed Hyperlink" xfId="892" builtinId="9" hidden="1"/>
    <cellStyle name="Followed Hyperlink" xfId="894" builtinId="9" hidden="1"/>
    <cellStyle name="Followed Hyperlink" xfId="896" builtinId="9" hidden="1"/>
    <cellStyle name="Followed Hyperlink" xfId="898" builtinId="9" hidden="1"/>
    <cellStyle name="Followed Hyperlink" xfId="900" builtinId="9" hidden="1"/>
    <cellStyle name="Followed Hyperlink" xfId="902" builtinId="9" hidden="1"/>
    <cellStyle name="Followed Hyperlink" xfId="904" builtinId="9" hidden="1"/>
    <cellStyle name="Followed Hyperlink" xfId="906" builtinId="9" hidden="1"/>
    <cellStyle name="Followed Hyperlink" xfId="908" builtinId="9" hidden="1"/>
    <cellStyle name="Followed Hyperlink" xfId="910" builtinId="9" hidden="1"/>
    <cellStyle name="Followed Hyperlink" xfId="912" builtinId="9" hidden="1"/>
    <cellStyle name="Followed Hyperlink" xfId="914" builtinId="9" hidden="1"/>
    <cellStyle name="Followed Hyperlink" xfId="916" builtinId="9" hidden="1"/>
    <cellStyle name="Followed Hyperlink" xfId="918" builtinId="9" hidden="1"/>
    <cellStyle name="Followed Hyperlink" xfId="920" builtinId="9" hidden="1"/>
    <cellStyle name="Followed Hyperlink" xfId="922" builtinId="9" hidden="1"/>
    <cellStyle name="Followed Hyperlink" xfId="924" builtinId="9" hidden="1"/>
    <cellStyle name="Followed Hyperlink" xfId="926" builtinId="9" hidden="1"/>
    <cellStyle name="Followed Hyperlink" xfId="928" builtinId="9" hidden="1"/>
    <cellStyle name="Followed Hyperlink" xfId="930" builtinId="9" hidden="1"/>
    <cellStyle name="Followed Hyperlink" xfId="932" builtinId="9" hidden="1"/>
    <cellStyle name="Followed Hyperlink" xfId="934" builtinId="9" hidden="1"/>
    <cellStyle name="Followed Hyperlink" xfId="936" builtinId="9" hidden="1"/>
    <cellStyle name="Followed Hyperlink" xfId="938" builtinId="9" hidden="1"/>
    <cellStyle name="Followed Hyperlink" xfId="940" builtinId="9" hidden="1"/>
    <cellStyle name="Followed Hyperlink" xfId="942" builtinId="9" hidden="1"/>
    <cellStyle name="Followed Hyperlink" xfId="944" builtinId="9" hidden="1"/>
    <cellStyle name="Followed Hyperlink" xfId="946" builtinId="9" hidden="1"/>
    <cellStyle name="Followed Hyperlink" xfId="948" builtinId="9" hidden="1"/>
    <cellStyle name="Followed Hyperlink" xfId="950" builtinId="9" hidden="1"/>
    <cellStyle name="Followed Hyperlink" xfId="952" builtinId="9" hidden="1"/>
    <cellStyle name="Followed Hyperlink" xfId="954" builtinId="9" hidden="1"/>
    <cellStyle name="Followed Hyperlink" xfId="956" builtinId="9" hidden="1"/>
    <cellStyle name="Followed Hyperlink" xfId="958" builtinId="9" hidden="1"/>
    <cellStyle name="Followed Hyperlink" xfId="960" builtinId="9" hidden="1"/>
    <cellStyle name="Followed Hyperlink" xfId="962" builtinId="9" hidden="1"/>
    <cellStyle name="Followed Hyperlink" xfId="964" builtinId="9" hidden="1"/>
    <cellStyle name="Followed Hyperlink" xfId="966" builtinId="9" hidden="1"/>
    <cellStyle name="Followed Hyperlink" xfId="968" builtinId="9" hidden="1"/>
    <cellStyle name="Followed Hyperlink" xfId="970" builtinId="9" hidden="1"/>
    <cellStyle name="Followed Hyperlink" xfId="972" builtinId="9" hidden="1"/>
    <cellStyle name="Followed Hyperlink" xfId="974" builtinId="9" hidden="1"/>
    <cellStyle name="Followed Hyperlink" xfId="976" builtinId="9" hidden="1"/>
    <cellStyle name="Followed Hyperlink" xfId="978" builtinId="9" hidden="1"/>
    <cellStyle name="Followed Hyperlink" xfId="980" builtinId="9" hidden="1"/>
    <cellStyle name="Followed Hyperlink" xfId="982" builtinId="9" hidden="1"/>
    <cellStyle name="Followed Hyperlink" xfId="984" builtinId="9" hidden="1"/>
    <cellStyle name="Followed Hyperlink" xfId="986" builtinId="9" hidden="1"/>
    <cellStyle name="Followed Hyperlink" xfId="988" builtinId="9" hidden="1"/>
    <cellStyle name="Followed Hyperlink" xfId="990" builtinId="9" hidden="1"/>
    <cellStyle name="Followed Hyperlink" xfId="992" builtinId="9" hidden="1"/>
    <cellStyle name="Followed Hyperlink" xfId="994" builtinId="9" hidden="1"/>
    <cellStyle name="Followed Hyperlink" xfId="996" builtinId="9" hidden="1"/>
    <cellStyle name="Followed Hyperlink" xfId="998" builtinId="9" hidden="1"/>
    <cellStyle name="Followed Hyperlink" xfId="1000" builtinId="9" hidden="1"/>
    <cellStyle name="Followed Hyperlink" xfId="1002" builtinId="9" hidden="1"/>
    <cellStyle name="Followed Hyperlink" xfId="1004" builtinId="9" hidden="1"/>
    <cellStyle name="Followed Hyperlink" xfId="1006" builtinId="9" hidden="1"/>
    <cellStyle name="Followed Hyperlink" xfId="1008" builtinId="9" hidden="1"/>
    <cellStyle name="Followed Hyperlink" xfId="1010" builtinId="9" hidden="1"/>
    <cellStyle name="Followed Hyperlink" xfId="1012" builtinId="9" hidden="1"/>
    <cellStyle name="Followed Hyperlink" xfId="1014" builtinId="9" hidden="1"/>
    <cellStyle name="Followed Hyperlink" xfId="1016" builtinId="9" hidden="1"/>
    <cellStyle name="Followed Hyperlink" xfId="1018" builtinId="9" hidden="1"/>
    <cellStyle name="Followed Hyperlink" xfId="1020" builtinId="9" hidden="1"/>
    <cellStyle name="Followed Hyperlink" xfId="1022" builtinId="9" hidden="1"/>
    <cellStyle name="Followed Hyperlink" xfId="1024" builtinId="9" hidden="1"/>
    <cellStyle name="Followed Hyperlink" xfId="1026" builtinId="9" hidden="1"/>
    <cellStyle name="Followed Hyperlink" xfId="1028" builtinId="9" hidden="1"/>
    <cellStyle name="Followed Hyperlink" xfId="1030" builtinId="9" hidden="1"/>
    <cellStyle name="Followed Hyperlink" xfId="1032" builtinId="9" hidden="1"/>
    <cellStyle name="Followed Hyperlink" xfId="1034" builtinId="9" hidden="1"/>
    <cellStyle name="Followed Hyperlink" xfId="1036" builtinId="9" hidden="1"/>
    <cellStyle name="Followed Hyperlink" xfId="1038" builtinId="9" hidden="1"/>
    <cellStyle name="Followed Hyperlink" xfId="1040" builtinId="9" hidden="1"/>
    <cellStyle name="Followed Hyperlink" xfId="1042" builtinId="9" hidden="1"/>
    <cellStyle name="Followed Hyperlink" xfId="1044" builtinId="9" hidden="1"/>
    <cellStyle name="Followed Hyperlink" xfId="1046" builtinId="9" hidden="1"/>
    <cellStyle name="Followed Hyperlink" xfId="1048" builtinId="9" hidden="1"/>
    <cellStyle name="Followed Hyperlink" xfId="1050" builtinId="9" hidden="1"/>
    <cellStyle name="Followed Hyperlink" xfId="1052" builtinId="9" hidden="1"/>
    <cellStyle name="Followed Hyperlink" xfId="1054" builtinId="9" hidden="1"/>
    <cellStyle name="Followed Hyperlink" xfId="1056" builtinId="9" hidden="1"/>
    <cellStyle name="Followed Hyperlink" xfId="1058" builtinId="9" hidden="1"/>
    <cellStyle name="Followed Hyperlink" xfId="1060" builtinId="9" hidden="1"/>
    <cellStyle name="Followed Hyperlink" xfId="1062" builtinId="9" hidden="1"/>
    <cellStyle name="Followed Hyperlink" xfId="1064" builtinId="9" hidden="1"/>
    <cellStyle name="Followed Hyperlink" xfId="1066" builtinId="9" hidden="1"/>
    <cellStyle name="Followed Hyperlink" xfId="1068" builtinId="9" hidden="1"/>
    <cellStyle name="Followed Hyperlink" xfId="1070" builtinId="9" hidden="1"/>
    <cellStyle name="Followed Hyperlink" xfId="1072" builtinId="9" hidden="1"/>
    <cellStyle name="Followed Hyperlink" xfId="1074" builtinId="9" hidden="1"/>
    <cellStyle name="Followed Hyperlink" xfId="1076" builtinId="9" hidden="1"/>
    <cellStyle name="Followed Hyperlink" xfId="1078" builtinId="9" hidden="1"/>
    <cellStyle name="Followed Hyperlink" xfId="1080" builtinId="9" hidden="1"/>
    <cellStyle name="Followed Hyperlink" xfId="1082" builtinId="9" hidden="1"/>
    <cellStyle name="Followed Hyperlink" xfId="1084" builtinId="9" hidden="1"/>
    <cellStyle name="Followed Hyperlink" xfId="1086" builtinId="9" hidden="1"/>
    <cellStyle name="Followed Hyperlink" xfId="1088" builtinId="9" hidden="1"/>
    <cellStyle name="Followed Hyperlink" xfId="1090" builtinId="9" hidden="1"/>
    <cellStyle name="Followed Hyperlink" xfId="1092" builtinId="9" hidden="1"/>
    <cellStyle name="Followed Hyperlink" xfId="1094" builtinId="9" hidden="1"/>
    <cellStyle name="Followed Hyperlink" xfId="1096" builtinId="9" hidden="1"/>
    <cellStyle name="Followed Hyperlink" xfId="1098" builtinId="9" hidden="1"/>
    <cellStyle name="Followed Hyperlink" xfId="1100" builtinId="9" hidden="1"/>
    <cellStyle name="Followed Hyperlink" xfId="1102" builtinId="9" hidden="1"/>
    <cellStyle name="Followed Hyperlink" xfId="1104" builtinId="9" hidden="1"/>
    <cellStyle name="Followed Hyperlink" xfId="1106" builtinId="9" hidden="1"/>
    <cellStyle name="Followed Hyperlink" xfId="1108" builtinId="9" hidden="1"/>
    <cellStyle name="Followed Hyperlink" xfId="1110" builtinId="9" hidden="1"/>
    <cellStyle name="Followed Hyperlink" xfId="1112" builtinId="9" hidden="1"/>
    <cellStyle name="Followed Hyperlink" xfId="1114" builtinId="9" hidden="1"/>
    <cellStyle name="Followed Hyperlink" xfId="1116" builtinId="9" hidden="1"/>
    <cellStyle name="Followed Hyperlink" xfId="1118" builtinId="9" hidden="1"/>
    <cellStyle name="Followed Hyperlink" xfId="1120" builtinId="9" hidden="1"/>
    <cellStyle name="Followed Hyperlink" xfId="1122" builtinId="9" hidden="1"/>
    <cellStyle name="Followed Hyperlink" xfId="1124" builtinId="9" hidden="1"/>
    <cellStyle name="Followed Hyperlink" xfId="1126" builtinId="9" hidden="1"/>
    <cellStyle name="Followed Hyperlink" xfId="1128" builtinId="9" hidden="1"/>
    <cellStyle name="Followed Hyperlink" xfId="1130" builtinId="9" hidden="1"/>
    <cellStyle name="Followed Hyperlink" xfId="1132" builtinId="9" hidden="1"/>
    <cellStyle name="Followed Hyperlink" xfId="1134" builtinId="9" hidden="1"/>
    <cellStyle name="Followed Hyperlink" xfId="1136" builtinId="9" hidden="1"/>
    <cellStyle name="Followed Hyperlink" xfId="1138" builtinId="9" hidden="1"/>
    <cellStyle name="Followed Hyperlink" xfId="1140" builtinId="9" hidden="1"/>
    <cellStyle name="Followed Hyperlink" xfId="1142" builtinId="9" hidden="1"/>
    <cellStyle name="Followed Hyperlink" xfId="1144" builtinId="9" hidden="1"/>
    <cellStyle name="Followed Hyperlink" xfId="1146" builtinId="9" hidden="1"/>
    <cellStyle name="Followed Hyperlink" xfId="1148" builtinId="9" hidden="1"/>
    <cellStyle name="Followed Hyperlink" xfId="1150" builtinId="9" hidden="1"/>
    <cellStyle name="Followed Hyperlink" xfId="1152" builtinId="9" hidden="1"/>
    <cellStyle name="Followed Hyperlink" xfId="1154" builtinId="9" hidden="1"/>
    <cellStyle name="Followed Hyperlink" xfId="1156" builtinId="9" hidden="1"/>
    <cellStyle name="Followed Hyperlink" xfId="1158" builtinId="9" hidden="1"/>
    <cellStyle name="Followed Hyperlink" xfId="1160" builtinId="9" hidden="1"/>
    <cellStyle name="Followed Hyperlink" xfId="1162" builtinId="9" hidden="1"/>
    <cellStyle name="Followed Hyperlink" xfId="1164" builtinId="9" hidden="1"/>
    <cellStyle name="Followed Hyperlink" xfId="1166" builtinId="9" hidden="1"/>
    <cellStyle name="Followed Hyperlink" xfId="1168" builtinId="9" hidden="1"/>
    <cellStyle name="Followed Hyperlink" xfId="1170" builtinId="9" hidden="1"/>
    <cellStyle name="Followed Hyperlink" xfId="1172" builtinId="9" hidden="1"/>
    <cellStyle name="Followed Hyperlink" xfId="1174" builtinId="9" hidden="1"/>
    <cellStyle name="Followed Hyperlink" xfId="1176" builtinId="9" hidden="1"/>
    <cellStyle name="Followed Hyperlink" xfId="1178" builtinId="9" hidden="1"/>
    <cellStyle name="Followed Hyperlink" xfId="1180" builtinId="9" hidden="1"/>
    <cellStyle name="Followed Hyperlink" xfId="1182" builtinId="9" hidden="1"/>
    <cellStyle name="Followed Hyperlink" xfId="1184" builtinId="9" hidden="1"/>
    <cellStyle name="Followed Hyperlink" xfId="1186" builtinId="9" hidden="1"/>
    <cellStyle name="Followed Hyperlink" xfId="1188" builtinId="9" hidden="1"/>
    <cellStyle name="Followed Hyperlink" xfId="1190" builtinId="9" hidden="1"/>
    <cellStyle name="Followed Hyperlink" xfId="1192" builtinId="9" hidden="1"/>
    <cellStyle name="Followed Hyperlink" xfId="1194" builtinId="9" hidden="1"/>
    <cellStyle name="Followed Hyperlink" xfId="1196" builtinId="9" hidden="1"/>
    <cellStyle name="Followed Hyperlink" xfId="1198" builtinId="9" hidden="1"/>
    <cellStyle name="Followed Hyperlink" xfId="1200" builtinId="9" hidden="1"/>
    <cellStyle name="Followed Hyperlink" xfId="1202" builtinId="9" hidden="1"/>
    <cellStyle name="Followed Hyperlink" xfId="1204" builtinId="9" hidden="1"/>
    <cellStyle name="Followed Hyperlink" xfId="1206" builtinId="9" hidden="1"/>
    <cellStyle name="Followed Hyperlink" xfId="1208" builtinId="9" hidden="1"/>
    <cellStyle name="Followed Hyperlink" xfId="1210" builtinId="9" hidden="1"/>
    <cellStyle name="Followed Hyperlink" xfId="1212" builtinId="9" hidden="1"/>
    <cellStyle name="Followed Hyperlink" xfId="1214" builtinId="9" hidden="1"/>
    <cellStyle name="Followed Hyperlink" xfId="1216" builtinId="9" hidden="1"/>
    <cellStyle name="Followed Hyperlink" xfId="1218" builtinId="9" hidden="1"/>
    <cellStyle name="Followed Hyperlink" xfId="1220" builtinId="9" hidden="1"/>
    <cellStyle name="Followed Hyperlink" xfId="1222" builtinId="9" hidden="1"/>
    <cellStyle name="Followed Hyperlink" xfId="1224" builtinId="9" hidden="1"/>
    <cellStyle name="Followed Hyperlink" xfId="1226" builtinId="9" hidden="1"/>
    <cellStyle name="Followed Hyperlink" xfId="1228" builtinId="9" hidden="1"/>
    <cellStyle name="Followed Hyperlink" xfId="1230" builtinId="9" hidden="1"/>
    <cellStyle name="Followed Hyperlink" xfId="1232" builtinId="9" hidden="1"/>
    <cellStyle name="Followed Hyperlink" xfId="1234" builtinId="9" hidden="1"/>
    <cellStyle name="Followed Hyperlink" xfId="1236" builtinId="9" hidden="1"/>
    <cellStyle name="Followed Hyperlink" xfId="1238" builtinId="9" hidden="1"/>
    <cellStyle name="Followed Hyperlink" xfId="1240" builtinId="9" hidden="1"/>
    <cellStyle name="Followed Hyperlink" xfId="1242" builtinId="9" hidden="1"/>
    <cellStyle name="Followed Hyperlink" xfId="1244" builtinId="9" hidden="1"/>
    <cellStyle name="Followed Hyperlink" xfId="1246" builtinId="9" hidden="1"/>
    <cellStyle name="Followed Hyperlink" xfId="1248" builtinId="9" hidden="1"/>
    <cellStyle name="Followed Hyperlink" xfId="1250" builtinId="9" hidden="1"/>
    <cellStyle name="Followed Hyperlink" xfId="1252" builtinId="9" hidden="1"/>
    <cellStyle name="Followed Hyperlink" xfId="1254" builtinId="9" hidden="1"/>
    <cellStyle name="Followed Hyperlink" xfId="1256" builtinId="9" hidden="1"/>
    <cellStyle name="Followed Hyperlink" xfId="1258" builtinId="9" hidden="1"/>
    <cellStyle name="Followed Hyperlink" xfId="1260" builtinId="9" hidden="1"/>
    <cellStyle name="Followed Hyperlink" xfId="1262" builtinId="9" hidden="1"/>
    <cellStyle name="Followed Hyperlink" xfId="1264" builtinId="9" hidden="1"/>
    <cellStyle name="Followed Hyperlink" xfId="1266" builtinId="9" hidden="1"/>
    <cellStyle name="Followed Hyperlink" xfId="1268" builtinId="9" hidden="1"/>
    <cellStyle name="Followed Hyperlink" xfId="1270" builtinId="9" hidden="1"/>
    <cellStyle name="Followed Hyperlink" xfId="1272" builtinId="9" hidden="1"/>
    <cellStyle name="Followed Hyperlink" xfId="1274" builtinId="9" hidden="1"/>
    <cellStyle name="Followed Hyperlink" xfId="1276" builtinId="9" hidden="1"/>
    <cellStyle name="Followed Hyperlink" xfId="1278" builtinId="9" hidden="1"/>
    <cellStyle name="Followed Hyperlink" xfId="1280" builtinId="9" hidden="1"/>
    <cellStyle name="Followed Hyperlink" xfId="1282" builtinId="9" hidden="1"/>
    <cellStyle name="Followed Hyperlink" xfId="1284" builtinId="9" hidden="1"/>
    <cellStyle name="Followed Hyperlink" xfId="1286" builtinId="9" hidden="1"/>
    <cellStyle name="Followed Hyperlink" xfId="1288" builtinId="9" hidden="1"/>
    <cellStyle name="Followed Hyperlink" xfId="1290" builtinId="9" hidden="1"/>
    <cellStyle name="Followed Hyperlink" xfId="1292" builtinId="9" hidden="1"/>
    <cellStyle name="Followed Hyperlink" xfId="1294" builtinId="9" hidden="1"/>
    <cellStyle name="Followed Hyperlink" xfId="1296" builtinId="9" hidden="1"/>
    <cellStyle name="Followed Hyperlink" xfId="1298" builtinId="9" hidden="1"/>
    <cellStyle name="Followed Hyperlink" xfId="1300" builtinId="9" hidden="1"/>
    <cellStyle name="Followed Hyperlink" xfId="1302" builtinId="9" hidden="1"/>
    <cellStyle name="Followed Hyperlink" xfId="1304" builtinId="9" hidden="1"/>
    <cellStyle name="Followed Hyperlink" xfId="1306" builtinId="9" hidden="1"/>
    <cellStyle name="Followed Hyperlink" xfId="1308" builtinId="9" hidden="1"/>
    <cellStyle name="Followed Hyperlink" xfId="1310" builtinId="9" hidden="1"/>
    <cellStyle name="Followed Hyperlink" xfId="1312" builtinId="9" hidden="1"/>
    <cellStyle name="Followed Hyperlink" xfId="1314" builtinId="9" hidden="1"/>
    <cellStyle name="Followed Hyperlink" xfId="1316" builtinId="9" hidden="1"/>
    <cellStyle name="Followed Hyperlink" xfId="1318" builtinId="9" hidden="1"/>
    <cellStyle name="Followed Hyperlink" xfId="1320" builtinId="9" hidden="1"/>
    <cellStyle name="Followed Hyperlink" xfId="1322" builtinId="9" hidden="1"/>
    <cellStyle name="Followed Hyperlink" xfId="1324" builtinId="9" hidden="1"/>
    <cellStyle name="Followed Hyperlink" xfId="1326" builtinId="9" hidden="1"/>
    <cellStyle name="Followed Hyperlink" xfId="1328" builtinId="9" hidden="1"/>
    <cellStyle name="Followed Hyperlink" xfId="1330" builtinId="9" hidden="1"/>
    <cellStyle name="Followed Hyperlink" xfId="1332" builtinId="9" hidden="1"/>
    <cellStyle name="Followed Hyperlink" xfId="1334" builtinId="9" hidden="1"/>
    <cellStyle name="Followed Hyperlink" xfId="1336" builtinId="9" hidden="1"/>
    <cellStyle name="Followed Hyperlink" xfId="1338" builtinId="9" hidden="1"/>
    <cellStyle name="Followed Hyperlink" xfId="1340" builtinId="9" hidden="1"/>
    <cellStyle name="Followed Hyperlink" xfId="1342" builtinId="9" hidden="1"/>
    <cellStyle name="Followed Hyperlink" xfId="1344" builtinId="9" hidden="1"/>
    <cellStyle name="Followed Hyperlink" xfId="1346" builtinId="9" hidden="1"/>
    <cellStyle name="Followed Hyperlink" xfId="1348" builtinId="9" hidden="1"/>
    <cellStyle name="Followed Hyperlink" xfId="1350" builtinId="9" hidden="1"/>
    <cellStyle name="Followed Hyperlink" xfId="1352" builtinId="9" hidden="1"/>
    <cellStyle name="Followed Hyperlink" xfId="1354" builtinId="9" hidden="1"/>
    <cellStyle name="Followed Hyperlink" xfId="1356" builtinId="9" hidden="1"/>
    <cellStyle name="Followed Hyperlink" xfId="1358" builtinId="9" hidden="1"/>
    <cellStyle name="Followed Hyperlink" xfId="1360" builtinId="9" hidden="1"/>
    <cellStyle name="Followed Hyperlink" xfId="1362" builtinId="9" hidden="1"/>
    <cellStyle name="Followed Hyperlink" xfId="1364" builtinId="9" hidden="1"/>
    <cellStyle name="Followed Hyperlink" xfId="1366" builtinId="9" hidden="1"/>
    <cellStyle name="Followed Hyperlink" xfId="1368" builtinId="9" hidden="1"/>
    <cellStyle name="Followed Hyperlink" xfId="1370" builtinId="9" hidden="1"/>
    <cellStyle name="Followed Hyperlink" xfId="1372" builtinId="9" hidden="1"/>
    <cellStyle name="Followed Hyperlink" xfId="1374" builtinId="9" hidden="1"/>
    <cellStyle name="Followed Hyperlink" xfId="1376" builtinId="9" hidden="1"/>
    <cellStyle name="Followed Hyperlink" xfId="1378" builtinId="9" hidden="1"/>
    <cellStyle name="Followed Hyperlink" xfId="1380" builtinId="9" hidden="1"/>
    <cellStyle name="Followed Hyperlink" xfId="1382" builtinId="9" hidden="1"/>
    <cellStyle name="Followed Hyperlink" xfId="1384" builtinId="9" hidden="1"/>
    <cellStyle name="Followed Hyperlink" xfId="1386" builtinId="9" hidden="1"/>
    <cellStyle name="Followed Hyperlink" xfId="1388" builtinId="9" hidden="1"/>
    <cellStyle name="Followed Hyperlink" xfId="1390" builtinId="9" hidden="1"/>
    <cellStyle name="Followed Hyperlink" xfId="1392" builtinId="9" hidden="1"/>
    <cellStyle name="Followed Hyperlink" xfId="1394" builtinId="9" hidden="1"/>
    <cellStyle name="Followed Hyperlink" xfId="1396" builtinId="9" hidden="1"/>
    <cellStyle name="Followed Hyperlink" xfId="1398" builtinId="9" hidden="1"/>
    <cellStyle name="Followed Hyperlink" xfId="1400" builtinId="9" hidden="1"/>
    <cellStyle name="Followed Hyperlink" xfId="1402" builtinId="9" hidden="1"/>
    <cellStyle name="Followed Hyperlink" xfId="1404" builtinId="9" hidden="1"/>
    <cellStyle name="Followed Hyperlink" xfId="1406" builtinId="9" hidden="1"/>
    <cellStyle name="Followed Hyperlink" xfId="1408" builtinId="9" hidden="1"/>
    <cellStyle name="Followed Hyperlink" xfId="1410" builtinId="9" hidden="1"/>
    <cellStyle name="Followed Hyperlink" xfId="1412" builtinId="9" hidden="1"/>
    <cellStyle name="Followed Hyperlink" xfId="1414" builtinId="9" hidden="1"/>
    <cellStyle name="Followed Hyperlink" xfId="1416" builtinId="9" hidden="1"/>
    <cellStyle name="Followed Hyperlink" xfId="1418" builtinId="9" hidden="1"/>
    <cellStyle name="Followed Hyperlink" xfId="1420" builtinId="9" hidden="1"/>
    <cellStyle name="Followed Hyperlink" xfId="1422" builtinId="9" hidden="1"/>
    <cellStyle name="Followed Hyperlink" xfId="1424" builtinId="9" hidden="1"/>
    <cellStyle name="Followed Hyperlink" xfId="1426" builtinId="9" hidden="1"/>
    <cellStyle name="Followed Hyperlink" xfId="1428" builtinId="9" hidden="1"/>
    <cellStyle name="Followed Hyperlink" xfId="1430" builtinId="9" hidden="1"/>
    <cellStyle name="Followed Hyperlink" xfId="1432" builtinId="9" hidden="1"/>
    <cellStyle name="Followed Hyperlink" xfId="1434" builtinId="9" hidden="1"/>
    <cellStyle name="Followed Hyperlink" xfId="1436" builtinId="9" hidden="1"/>
    <cellStyle name="Followed Hyperlink" xfId="1438" builtinId="9" hidden="1"/>
    <cellStyle name="Followed Hyperlink" xfId="1440" builtinId="9" hidden="1"/>
    <cellStyle name="Followed Hyperlink" xfId="1442" builtinId="9" hidden="1"/>
    <cellStyle name="Followed Hyperlink" xfId="1444" builtinId="9" hidden="1"/>
    <cellStyle name="Followed Hyperlink" xfId="1446" builtinId="9" hidden="1"/>
    <cellStyle name="Followed Hyperlink" xfId="1448" builtinId="9" hidden="1"/>
    <cellStyle name="Followed Hyperlink" xfId="1450" builtinId="9" hidden="1"/>
    <cellStyle name="Followed Hyperlink" xfId="1452" builtinId="9" hidden="1"/>
    <cellStyle name="Followed Hyperlink" xfId="1454" builtinId="9" hidden="1"/>
    <cellStyle name="Followed Hyperlink" xfId="1456" builtinId="9" hidden="1"/>
    <cellStyle name="Followed Hyperlink" xfId="1458" builtinId="9" hidden="1"/>
    <cellStyle name="Followed Hyperlink" xfId="1460" builtinId="9" hidden="1"/>
    <cellStyle name="Followed Hyperlink" xfId="1462" builtinId="9" hidden="1"/>
    <cellStyle name="Followed Hyperlink" xfId="1464" builtinId="9" hidden="1"/>
    <cellStyle name="Followed Hyperlink" xfId="1466" builtinId="9" hidden="1"/>
    <cellStyle name="Followed Hyperlink" xfId="1468" builtinId="9" hidden="1"/>
    <cellStyle name="Followed Hyperlink" xfId="1470" builtinId="9" hidden="1"/>
    <cellStyle name="Followed Hyperlink" xfId="1472" builtinId="9" hidden="1"/>
    <cellStyle name="Followed Hyperlink" xfId="1474" builtinId="9" hidden="1"/>
    <cellStyle name="Followed Hyperlink" xfId="1476" builtinId="9" hidden="1"/>
    <cellStyle name="Followed Hyperlink" xfId="1478" builtinId="9" hidden="1"/>
    <cellStyle name="Followed Hyperlink" xfId="1480" builtinId="9" hidden="1"/>
    <cellStyle name="Followed Hyperlink" xfId="1482" builtinId="9" hidden="1"/>
    <cellStyle name="Followed Hyperlink" xfId="1484" builtinId="9" hidden="1"/>
    <cellStyle name="Followed Hyperlink" xfId="1486" builtinId="9" hidden="1"/>
    <cellStyle name="Followed Hyperlink" xfId="1488" builtinId="9" hidden="1"/>
    <cellStyle name="Followed Hyperlink" xfId="1490" builtinId="9" hidden="1"/>
    <cellStyle name="Followed Hyperlink" xfId="1492" builtinId="9" hidden="1"/>
    <cellStyle name="Followed Hyperlink" xfId="1494" builtinId="9" hidden="1"/>
    <cellStyle name="Followed Hyperlink" xfId="1496" builtinId="9" hidden="1"/>
    <cellStyle name="Followed Hyperlink" xfId="1498" builtinId="9" hidden="1"/>
    <cellStyle name="Followed Hyperlink" xfId="1500" builtinId="9" hidden="1"/>
    <cellStyle name="Followed Hyperlink" xfId="1502" builtinId="9" hidden="1"/>
    <cellStyle name="Followed Hyperlink" xfId="1504" builtinId="9" hidden="1"/>
    <cellStyle name="Followed Hyperlink" xfId="1506" builtinId="9" hidden="1"/>
    <cellStyle name="Followed Hyperlink" xfId="1508" builtinId="9" hidden="1"/>
    <cellStyle name="Followed Hyperlink" xfId="1510" builtinId="9" hidden="1"/>
    <cellStyle name="Followed Hyperlink" xfId="1512" builtinId="9" hidden="1"/>
    <cellStyle name="Followed Hyperlink" xfId="1514" builtinId="9" hidden="1"/>
    <cellStyle name="Followed Hyperlink" xfId="1516" builtinId="9" hidden="1"/>
    <cellStyle name="Followed Hyperlink" xfId="1518" builtinId="9" hidden="1"/>
    <cellStyle name="Followed Hyperlink" xfId="1520" builtinId="9" hidden="1"/>
    <cellStyle name="Followed Hyperlink" xfId="1522" builtinId="9" hidden="1"/>
    <cellStyle name="Followed Hyperlink" xfId="1524" builtinId="9" hidden="1"/>
    <cellStyle name="Followed Hyperlink" xfId="1526" builtinId="9" hidden="1"/>
    <cellStyle name="Followed Hyperlink" xfId="1528" builtinId="9" hidden="1"/>
    <cellStyle name="Followed Hyperlink" xfId="1530" builtinId="9" hidden="1"/>
    <cellStyle name="Followed Hyperlink" xfId="1532" builtinId="9" hidden="1"/>
    <cellStyle name="Followed Hyperlink" xfId="1534" builtinId="9" hidden="1"/>
    <cellStyle name="Followed Hyperlink" xfId="1536" builtinId="9" hidden="1"/>
    <cellStyle name="Followed Hyperlink" xfId="1538" builtinId="9" hidden="1"/>
    <cellStyle name="Followed Hyperlink" xfId="1540" builtinId="9" hidden="1"/>
    <cellStyle name="Followed Hyperlink" xfId="1542" builtinId="9" hidden="1"/>
    <cellStyle name="Followed Hyperlink" xfId="1544" builtinId="9" hidden="1"/>
    <cellStyle name="Followed Hyperlink" xfId="1546" builtinId="9" hidden="1"/>
    <cellStyle name="Followed Hyperlink" xfId="1548" builtinId="9" hidden="1"/>
    <cellStyle name="Followed Hyperlink" xfId="1550" builtinId="9" hidden="1"/>
    <cellStyle name="Followed Hyperlink" xfId="1552" builtinId="9" hidden="1"/>
    <cellStyle name="Followed Hyperlink" xfId="1554" builtinId="9" hidden="1"/>
    <cellStyle name="Followed Hyperlink" xfId="1556" builtinId="9" hidden="1"/>
    <cellStyle name="Followed Hyperlink" xfId="1558" builtinId="9" hidden="1"/>
    <cellStyle name="Followed Hyperlink" xfId="1560" builtinId="9" hidden="1"/>
    <cellStyle name="Followed Hyperlink" xfId="1562" builtinId="9" hidden="1"/>
    <cellStyle name="Followed Hyperlink" xfId="1564" builtinId="9" hidden="1"/>
    <cellStyle name="Followed Hyperlink" xfId="1566" builtinId="9" hidden="1"/>
    <cellStyle name="Followed Hyperlink" xfId="1568" builtinId="9" hidden="1"/>
    <cellStyle name="Followed Hyperlink" xfId="1570" builtinId="9" hidden="1"/>
    <cellStyle name="Followed Hyperlink" xfId="1572" builtinId="9" hidden="1"/>
    <cellStyle name="Followed Hyperlink" xfId="1574" builtinId="9" hidden="1"/>
    <cellStyle name="Followed Hyperlink" xfId="1576" builtinId="9" hidden="1"/>
    <cellStyle name="Followed Hyperlink" xfId="1578" builtinId="9" hidden="1"/>
    <cellStyle name="Followed Hyperlink" xfId="1580" builtinId="9" hidden="1"/>
    <cellStyle name="Followed Hyperlink" xfId="1582" builtinId="9" hidden="1"/>
    <cellStyle name="Followed Hyperlink" xfId="1584" builtinId="9" hidden="1"/>
    <cellStyle name="Followed Hyperlink" xfId="1586" builtinId="9" hidden="1"/>
    <cellStyle name="Followed Hyperlink" xfId="1588" builtinId="9" hidden="1"/>
    <cellStyle name="Followed Hyperlink" xfId="1590" builtinId="9" hidden="1"/>
    <cellStyle name="Followed Hyperlink" xfId="1592" builtinId="9" hidden="1"/>
    <cellStyle name="Followed Hyperlink" xfId="1594" builtinId="9" hidden="1"/>
    <cellStyle name="Followed Hyperlink" xfId="1596" builtinId="9" hidden="1"/>
    <cellStyle name="Followed Hyperlink" xfId="1598" builtinId="9" hidden="1"/>
    <cellStyle name="Followed Hyperlink" xfId="1600" builtinId="9" hidden="1"/>
    <cellStyle name="Followed Hyperlink" xfId="1602" builtinId="9" hidden="1"/>
    <cellStyle name="Followed Hyperlink" xfId="1604" builtinId="9" hidden="1"/>
    <cellStyle name="Followed Hyperlink" xfId="1606" builtinId="9" hidden="1"/>
    <cellStyle name="Followed Hyperlink" xfId="1608" builtinId="9" hidden="1"/>
    <cellStyle name="Followed Hyperlink" xfId="1610" builtinId="9" hidden="1"/>
    <cellStyle name="Followed Hyperlink" xfId="1612" builtinId="9" hidden="1"/>
    <cellStyle name="Followed Hyperlink" xfId="1614" builtinId="9" hidden="1"/>
    <cellStyle name="Followed Hyperlink" xfId="1616" builtinId="9" hidden="1"/>
    <cellStyle name="Followed Hyperlink" xfId="1618" builtinId="9" hidden="1"/>
    <cellStyle name="Followed Hyperlink" xfId="1620" builtinId="9" hidden="1"/>
    <cellStyle name="Followed Hyperlink" xfId="1622" builtinId="9" hidden="1"/>
    <cellStyle name="Followed Hyperlink" xfId="1624" builtinId="9" hidden="1"/>
    <cellStyle name="Followed Hyperlink" xfId="1626" builtinId="9" hidden="1"/>
    <cellStyle name="Followed Hyperlink" xfId="1628" builtinId="9" hidden="1"/>
    <cellStyle name="Followed Hyperlink" xfId="1630" builtinId="9" hidden="1"/>
    <cellStyle name="Followed Hyperlink" xfId="1632" builtinId="9" hidden="1"/>
    <cellStyle name="Followed Hyperlink" xfId="1634" builtinId="9" hidden="1"/>
    <cellStyle name="Followed Hyperlink" xfId="1636" builtinId="9" hidden="1"/>
    <cellStyle name="Followed Hyperlink" xfId="1638" builtinId="9" hidden="1"/>
    <cellStyle name="Followed Hyperlink" xfId="1640" builtinId="9" hidden="1"/>
    <cellStyle name="Followed Hyperlink" xfId="1642" builtinId="9" hidden="1"/>
    <cellStyle name="Followed Hyperlink" xfId="1644" builtinId="9" hidden="1"/>
    <cellStyle name="Followed Hyperlink" xfId="1646" builtinId="9" hidden="1"/>
    <cellStyle name="Followed Hyperlink" xfId="1648" builtinId="9" hidden="1"/>
    <cellStyle name="Followed Hyperlink" xfId="1650" builtinId="9" hidden="1"/>
    <cellStyle name="Followed Hyperlink" xfId="1652" builtinId="9" hidden="1"/>
    <cellStyle name="Followed Hyperlink" xfId="1654" builtinId="9" hidden="1"/>
    <cellStyle name="Followed Hyperlink" xfId="1656" builtinId="9" hidden="1"/>
    <cellStyle name="Followed Hyperlink" xfId="1658" builtinId="9" hidden="1"/>
    <cellStyle name="Followed Hyperlink" xfId="1660" builtinId="9" hidden="1"/>
    <cellStyle name="Followed Hyperlink" xfId="1662" builtinId="9" hidden="1"/>
    <cellStyle name="Followed Hyperlink" xfId="1664" builtinId="9" hidden="1"/>
    <cellStyle name="Followed Hyperlink" xfId="1666" builtinId="9" hidden="1"/>
    <cellStyle name="Followed Hyperlink" xfId="1668" builtinId="9" hidden="1"/>
    <cellStyle name="Followed Hyperlink" xfId="1670" builtinId="9" hidden="1"/>
    <cellStyle name="Followed Hyperlink" xfId="1672" builtinId="9" hidden="1"/>
    <cellStyle name="Followed Hyperlink" xfId="1674" builtinId="9" hidden="1"/>
    <cellStyle name="Followed Hyperlink" xfId="1676" builtinId="9" hidden="1"/>
    <cellStyle name="Followed Hyperlink" xfId="1678" builtinId="9" hidden="1"/>
    <cellStyle name="Followed Hyperlink" xfId="1680" builtinId="9" hidden="1"/>
    <cellStyle name="Followed Hyperlink" xfId="1682" builtinId="9" hidden="1"/>
    <cellStyle name="Followed Hyperlink" xfId="1684" builtinId="9" hidden="1"/>
    <cellStyle name="Followed Hyperlink" xfId="1686" builtinId="9" hidden="1"/>
    <cellStyle name="Followed Hyperlink" xfId="1688" builtinId="9" hidden="1"/>
    <cellStyle name="Followed Hyperlink" xfId="1690" builtinId="9" hidden="1"/>
    <cellStyle name="Followed Hyperlink" xfId="1692" builtinId="9" hidden="1"/>
    <cellStyle name="Followed Hyperlink" xfId="1694" builtinId="9" hidden="1"/>
    <cellStyle name="Followed Hyperlink" xfId="1696" builtinId="9" hidden="1"/>
    <cellStyle name="Followed Hyperlink" xfId="1698" builtinId="9" hidden="1"/>
    <cellStyle name="Followed Hyperlink" xfId="1700" builtinId="9" hidden="1"/>
    <cellStyle name="Followed Hyperlink" xfId="1702" builtinId="9" hidden="1"/>
    <cellStyle name="Followed Hyperlink" xfId="1704" builtinId="9" hidden="1"/>
    <cellStyle name="Followed Hyperlink" xfId="1706" builtinId="9" hidden="1"/>
    <cellStyle name="Followed Hyperlink" xfId="1708" builtinId="9" hidden="1"/>
    <cellStyle name="Followed Hyperlink" xfId="1710" builtinId="9" hidden="1"/>
    <cellStyle name="Followed Hyperlink" xfId="1712" builtinId="9" hidden="1"/>
    <cellStyle name="Followed Hyperlink" xfId="1714" builtinId="9" hidden="1"/>
    <cellStyle name="Followed Hyperlink" xfId="1716" builtinId="9" hidden="1"/>
    <cellStyle name="Followed Hyperlink" xfId="1718" builtinId="9" hidden="1"/>
    <cellStyle name="Followed Hyperlink" xfId="1720" builtinId="9" hidden="1"/>
    <cellStyle name="Followed Hyperlink" xfId="1722" builtinId="9" hidden="1"/>
    <cellStyle name="Followed Hyperlink" xfId="1724" builtinId="9" hidden="1"/>
    <cellStyle name="Followed Hyperlink" xfId="1726" builtinId="9" hidden="1"/>
    <cellStyle name="Followed Hyperlink" xfId="1728" builtinId="9" hidden="1"/>
    <cellStyle name="Followed Hyperlink" xfId="1730" builtinId="9" hidden="1"/>
    <cellStyle name="Followed Hyperlink" xfId="1732" builtinId="9" hidden="1"/>
    <cellStyle name="Followed Hyperlink" xfId="1734" builtinId="9" hidden="1"/>
    <cellStyle name="Followed Hyperlink" xfId="1736" builtinId="9" hidden="1"/>
    <cellStyle name="Followed Hyperlink" xfId="1738" builtinId="9" hidden="1"/>
    <cellStyle name="Followed Hyperlink" xfId="1740" builtinId="9" hidden="1"/>
    <cellStyle name="Followed Hyperlink" xfId="1742" builtinId="9" hidden="1"/>
    <cellStyle name="Followed Hyperlink" xfId="1744" builtinId="9" hidden="1"/>
    <cellStyle name="Followed Hyperlink" xfId="1746" builtinId="9" hidden="1"/>
    <cellStyle name="Followed Hyperlink" xfId="1748" builtinId="9" hidden="1"/>
    <cellStyle name="Followed Hyperlink" xfId="1750" builtinId="9" hidden="1"/>
    <cellStyle name="Followed Hyperlink" xfId="1752" builtinId="9" hidden="1"/>
    <cellStyle name="Followed Hyperlink" xfId="1754" builtinId="9" hidden="1"/>
    <cellStyle name="Followed Hyperlink" xfId="1756" builtinId="9" hidden="1"/>
    <cellStyle name="Followed Hyperlink" xfId="1758" builtinId="9" hidden="1"/>
    <cellStyle name="Followed Hyperlink" xfId="1760" builtinId="9" hidden="1"/>
    <cellStyle name="Followed Hyperlink" xfId="1762" builtinId="9" hidden="1"/>
    <cellStyle name="Followed Hyperlink" xfId="1764" builtinId="9" hidden="1"/>
    <cellStyle name="Followed Hyperlink" xfId="1766" builtinId="9" hidden="1"/>
    <cellStyle name="Followed Hyperlink" xfId="1768" builtinId="9" hidden="1"/>
    <cellStyle name="Followed Hyperlink" xfId="1770" builtinId="9" hidden="1"/>
    <cellStyle name="Followed Hyperlink" xfId="1772" builtinId="9" hidden="1"/>
    <cellStyle name="Followed Hyperlink" xfId="1774" builtinId="9" hidden="1"/>
    <cellStyle name="Followed Hyperlink" xfId="1776" builtinId="9" hidden="1"/>
    <cellStyle name="Followed Hyperlink" xfId="1778" builtinId="9" hidden="1"/>
    <cellStyle name="Followed Hyperlink" xfId="1780" builtinId="9" hidden="1"/>
    <cellStyle name="Followed Hyperlink" xfId="1782" builtinId="9" hidden="1"/>
    <cellStyle name="Followed Hyperlink" xfId="1784" builtinId="9" hidden="1"/>
    <cellStyle name="Followed Hyperlink" xfId="1786" builtinId="9" hidden="1"/>
    <cellStyle name="Followed Hyperlink" xfId="1788" builtinId="9" hidden="1"/>
    <cellStyle name="Followed Hyperlink" xfId="1790" builtinId="9" hidden="1"/>
    <cellStyle name="Followed Hyperlink" xfId="1792" builtinId="9" hidden="1"/>
    <cellStyle name="Followed Hyperlink" xfId="1794" builtinId="9" hidden="1"/>
    <cellStyle name="Followed Hyperlink" xfId="1796" builtinId="9" hidden="1"/>
    <cellStyle name="Followed Hyperlink" xfId="1798" builtinId="9" hidden="1"/>
    <cellStyle name="Followed Hyperlink" xfId="1800" builtinId="9" hidden="1"/>
    <cellStyle name="Followed Hyperlink" xfId="1802" builtinId="9" hidden="1"/>
    <cellStyle name="Followed Hyperlink" xfId="1804" builtinId="9" hidden="1"/>
    <cellStyle name="Followed Hyperlink" xfId="1806" builtinId="9" hidden="1"/>
    <cellStyle name="Followed Hyperlink" xfId="1808" builtinId="9" hidden="1"/>
    <cellStyle name="Followed Hyperlink" xfId="1810" builtinId="9" hidden="1"/>
    <cellStyle name="Followed Hyperlink" xfId="1812" builtinId="9" hidden="1"/>
    <cellStyle name="Followed Hyperlink" xfId="1814" builtinId="9" hidden="1"/>
    <cellStyle name="Followed Hyperlink" xfId="1816" builtinId="9" hidden="1"/>
    <cellStyle name="Followed Hyperlink" xfId="1818" builtinId="9" hidden="1"/>
    <cellStyle name="Followed Hyperlink" xfId="1820" builtinId="9" hidden="1"/>
    <cellStyle name="Followed Hyperlink" xfId="1822" builtinId="9" hidden="1"/>
    <cellStyle name="Followed Hyperlink" xfId="1824" builtinId="9" hidden="1"/>
    <cellStyle name="Followed Hyperlink" xfId="1826" builtinId="9" hidden="1"/>
    <cellStyle name="Followed Hyperlink" xfId="1828" builtinId="9" hidden="1"/>
    <cellStyle name="Followed Hyperlink" xfId="1830" builtinId="9" hidden="1"/>
    <cellStyle name="Followed Hyperlink" xfId="1832" builtinId="9" hidden="1"/>
    <cellStyle name="Followed Hyperlink" xfId="1834" builtinId="9" hidden="1"/>
    <cellStyle name="Followed Hyperlink" xfId="1836" builtinId="9" hidden="1"/>
    <cellStyle name="Followed Hyperlink" xfId="1838" builtinId="9" hidden="1"/>
    <cellStyle name="Followed Hyperlink" xfId="1840" builtinId="9" hidden="1"/>
    <cellStyle name="Followed Hyperlink" xfId="1842" builtinId="9" hidden="1"/>
    <cellStyle name="Followed Hyperlink" xfId="1844" builtinId="9" hidden="1"/>
    <cellStyle name="Followed Hyperlink" xfId="1846" builtinId="9" hidden="1"/>
    <cellStyle name="Followed Hyperlink" xfId="1848" builtinId="9" hidden="1"/>
    <cellStyle name="Followed Hyperlink" xfId="1850" builtinId="9" hidden="1"/>
    <cellStyle name="Followed Hyperlink" xfId="1852" builtinId="9" hidden="1"/>
    <cellStyle name="Followed Hyperlink" xfId="1854" builtinId="9" hidden="1"/>
    <cellStyle name="Followed Hyperlink" xfId="1856" builtinId="9" hidden="1"/>
    <cellStyle name="Followed Hyperlink" xfId="1858" builtinId="9" hidden="1"/>
    <cellStyle name="Followed Hyperlink" xfId="1860" builtinId="9" hidden="1"/>
    <cellStyle name="Followed Hyperlink" xfId="1864" builtinId="9" hidden="1"/>
    <cellStyle name="Followed Hyperlink" xfId="1866" builtinId="9" hidden="1"/>
    <cellStyle name="Followed Hyperlink" xfId="1868" builtinId="9" hidden="1"/>
    <cellStyle name="Followed Hyperlink" xfId="1870" builtinId="9" hidden="1"/>
    <cellStyle name="Followed Hyperlink" xfId="1872" builtinId="9" hidden="1"/>
    <cellStyle name="Followed Hyperlink" xfId="1874" builtinId="9" hidden="1"/>
    <cellStyle name="Followed Hyperlink" xfId="1876" builtinId="9" hidden="1"/>
    <cellStyle name="Followed Hyperlink" xfId="1878" builtinId="9" hidden="1"/>
    <cellStyle name="Followed Hyperlink" xfId="1880" builtinId="9" hidden="1"/>
    <cellStyle name="Followed Hyperlink" xfId="1882" builtinId="9" hidden="1"/>
    <cellStyle name="Followed Hyperlink" xfId="1884" builtinId="9" hidden="1"/>
    <cellStyle name="Followed Hyperlink" xfId="1886" builtinId="9" hidden="1"/>
    <cellStyle name="Followed Hyperlink" xfId="1888" builtinId="9" hidden="1"/>
    <cellStyle name="Followed Hyperlink" xfId="1890" builtinId="9" hidden="1"/>
    <cellStyle name="Followed Hyperlink" xfId="1892" builtinId="9" hidden="1"/>
    <cellStyle name="Followed Hyperlink" xfId="1894" builtinId="9" hidden="1"/>
    <cellStyle name="Followed Hyperlink" xfId="1896" builtinId="9" hidden="1"/>
    <cellStyle name="Followed Hyperlink" xfId="1898" builtinId="9" hidden="1"/>
    <cellStyle name="Followed Hyperlink" xfId="1900" builtinId="9" hidden="1"/>
    <cellStyle name="Followed Hyperlink" xfId="1902" builtinId="9" hidden="1"/>
    <cellStyle name="Followed Hyperlink" xfId="1904" builtinId="9" hidden="1"/>
    <cellStyle name="Followed Hyperlink" xfId="1906" builtinId="9" hidden="1"/>
    <cellStyle name="Followed Hyperlink" xfId="1908" builtinId="9" hidden="1"/>
    <cellStyle name="Followed Hyperlink" xfId="1910" builtinId="9" hidden="1"/>
    <cellStyle name="Followed Hyperlink" xfId="1912" builtinId="9" hidden="1"/>
    <cellStyle name="Followed Hyperlink" xfId="1914" builtinId="9" hidden="1"/>
    <cellStyle name="Followed Hyperlink" xfId="1916" builtinId="9" hidden="1"/>
    <cellStyle name="Followed Hyperlink" xfId="1918" builtinId="9" hidden="1"/>
    <cellStyle name="Followed Hyperlink" xfId="1920" builtinId="9" hidden="1"/>
    <cellStyle name="Followed Hyperlink" xfId="1922" builtinId="9" hidden="1"/>
    <cellStyle name="Followed Hyperlink" xfId="1924" builtinId="9" hidden="1"/>
    <cellStyle name="Followed Hyperlink" xfId="1926" builtinId="9" hidden="1"/>
    <cellStyle name="Followed Hyperlink" xfId="1928" builtinId="9" hidden="1"/>
    <cellStyle name="Followed Hyperlink" xfId="1930" builtinId="9" hidden="1"/>
    <cellStyle name="Followed Hyperlink" xfId="1932" builtinId="9" hidden="1"/>
    <cellStyle name="Followed Hyperlink" xfId="1934" builtinId="9" hidden="1"/>
    <cellStyle name="Followed Hyperlink" xfId="1936" builtinId="9" hidden="1"/>
    <cellStyle name="Followed Hyperlink" xfId="1938" builtinId="9" hidden="1"/>
    <cellStyle name="Followed Hyperlink" xfId="1940" builtinId="9" hidden="1"/>
    <cellStyle name="Followed Hyperlink" xfId="1942" builtinId="9" hidden="1"/>
    <cellStyle name="Followed Hyperlink" xfId="1944" builtinId="9" hidden="1"/>
    <cellStyle name="Followed Hyperlink" xfId="1946" builtinId="9" hidden="1"/>
    <cellStyle name="Followed Hyperlink" xfId="1948" builtinId="9" hidden="1"/>
    <cellStyle name="Followed Hyperlink" xfId="1950" builtinId="9" hidden="1"/>
    <cellStyle name="Followed Hyperlink" xfId="1952" builtinId="9" hidden="1"/>
    <cellStyle name="Followed Hyperlink" xfId="1954" builtinId="9" hidden="1"/>
    <cellStyle name="Followed Hyperlink" xfId="1956" builtinId="9" hidden="1"/>
    <cellStyle name="Followed Hyperlink" xfId="1958" builtinId="9" hidden="1"/>
    <cellStyle name="Followed Hyperlink" xfId="1960" builtinId="9" hidden="1"/>
    <cellStyle name="Followed Hyperlink" xfId="1962" builtinId="9" hidden="1"/>
    <cellStyle name="Followed Hyperlink" xfId="1964" builtinId="9" hidden="1"/>
    <cellStyle name="Followed Hyperlink" xfId="1966" builtinId="9" hidden="1"/>
    <cellStyle name="Followed Hyperlink" xfId="1968" builtinId="9" hidden="1"/>
    <cellStyle name="Followed Hyperlink" xfId="1970" builtinId="9" hidden="1"/>
    <cellStyle name="Followed Hyperlink" xfId="1972" builtinId="9" hidden="1"/>
    <cellStyle name="Followed Hyperlink" xfId="1974" builtinId="9" hidden="1"/>
    <cellStyle name="Followed Hyperlink" xfId="1976" builtinId="9" hidden="1"/>
    <cellStyle name="Followed Hyperlink" xfId="1978" builtinId="9" hidden="1"/>
    <cellStyle name="Followed Hyperlink" xfId="1980" builtinId="9" hidden="1"/>
    <cellStyle name="Followed Hyperlink" xfId="1982" builtinId="9" hidden="1"/>
    <cellStyle name="Followed Hyperlink" xfId="1984" builtinId="9" hidden="1"/>
    <cellStyle name="Followed Hyperlink" xfId="1986" builtinId="9" hidden="1"/>
    <cellStyle name="Followed Hyperlink" xfId="1988" builtinId="9" hidden="1"/>
    <cellStyle name="Followed Hyperlink" xfId="1990" builtinId="9" hidden="1"/>
    <cellStyle name="Followed Hyperlink" xfId="1992" builtinId="9" hidden="1"/>
    <cellStyle name="Followed Hyperlink" xfId="1994" builtinId="9" hidden="1"/>
    <cellStyle name="Followed Hyperlink" xfId="1996" builtinId="9" hidden="1"/>
    <cellStyle name="Followed Hyperlink" xfId="1998" builtinId="9" hidden="1"/>
    <cellStyle name="Followed Hyperlink" xfId="2000" builtinId="9" hidden="1"/>
    <cellStyle name="Followed Hyperlink" xfId="2002" builtinId="9" hidden="1"/>
    <cellStyle name="Followed Hyperlink" xfId="2004" builtinId="9" hidden="1"/>
    <cellStyle name="Followed Hyperlink" xfId="2006" builtinId="9" hidden="1"/>
    <cellStyle name="Followed Hyperlink" xfId="2008" builtinId="9" hidden="1"/>
    <cellStyle name="Followed Hyperlink" xfId="2010" builtinId="9" hidden="1"/>
    <cellStyle name="Followed Hyperlink" xfId="2012" builtinId="9" hidden="1"/>
    <cellStyle name="Followed Hyperlink" xfId="2014" builtinId="9" hidden="1"/>
    <cellStyle name="Followed Hyperlink" xfId="2016" builtinId="9" hidden="1"/>
    <cellStyle name="Followed Hyperlink" xfId="2018" builtinId="9" hidden="1"/>
    <cellStyle name="Followed Hyperlink" xfId="2020" builtinId="9" hidden="1"/>
    <cellStyle name="Followed Hyperlink" xfId="2022" builtinId="9" hidden="1"/>
    <cellStyle name="Followed Hyperlink" xfId="2024" builtinId="9" hidden="1"/>
    <cellStyle name="Followed Hyperlink" xfId="2026" builtinId="9" hidden="1"/>
    <cellStyle name="Followed Hyperlink" xfId="2028" builtinId="9" hidden="1"/>
    <cellStyle name="Followed Hyperlink" xfId="2030" builtinId="9" hidden="1"/>
    <cellStyle name="Followed Hyperlink" xfId="2032" builtinId="9" hidden="1"/>
    <cellStyle name="Followed Hyperlink" xfId="2034" builtinId="9" hidden="1"/>
    <cellStyle name="Followed Hyperlink" xfId="2036" builtinId="9" hidden="1"/>
    <cellStyle name="Followed Hyperlink" xfId="2038" builtinId="9" hidden="1"/>
    <cellStyle name="Followed Hyperlink" xfId="2042" builtinId="9" hidden="1"/>
    <cellStyle name="Followed Hyperlink" xfId="2044" builtinId="9" hidden="1"/>
    <cellStyle name="Followed Hyperlink" xfId="2046" builtinId="9" hidden="1"/>
    <cellStyle name="Followed Hyperlink" xfId="2048" builtinId="9" hidden="1"/>
    <cellStyle name="Followed Hyperlink" xfId="2050" builtinId="9" hidden="1"/>
    <cellStyle name="Followed Hyperlink" xfId="2052" builtinId="9" hidden="1"/>
    <cellStyle name="Followed Hyperlink" xfId="2054" builtinId="9" hidden="1"/>
    <cellStyle name="Followed Hyperlink" xfId="2056" builtinId="9" hidden="1"/>
    <cellStyle name="Followed Hyperlink" xfId="2058" builtinId="9" hidden="1"/>
    <cellStyle name="Followed Hyperlink" xfId="2060" builtinId="9" hidden="1"/>
    <cellStyle name="Followed Hyperlink" xfId="2062" builtinId="9" hidden="1"/>
    <cellStyle name="Followed Hyperlink" xfId="2064" builtinId="9" hidden="1"/>
    <cellStyle name="Followed Hyperlink" xfId="2066" builtinId="9" hidden="1"/>
    <cellStyle name="Followed Hyperlink" xfId="2068" builtinId="9" hidden="1"/>
    <cellStyle name="Followed Hyperlink" xfId="2070" builtinId="9" hidden="1"/>
    <cellStyle name="Followed Hyperlink" xfId="2072" builtinId="9" hidden="1"/>
    <cellStyle name="Followed Hyperlink" xfId="2074" builtinId="9" hidden="1"/>
    <cellStyle name="Good" xfId="2039" builtinId="26"/>
    <cellStyle name="Good 2" xfId="186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Hyperlink" xfId="821" builtinId="8" hidden="1"/>
    <cellStyle name="Hyperlink" xfId="823" builtinId="8" hidden="1"/>
    <cellStyle name="Hyperlink" xfId="825" builtinId="8" hidden="1"/>
    <cellStyle name="Hyperlink" xfId="827" builtinId="8" hidden="1"/>
    <cellStyle name="Hyperlink" xfId="829" builtinId="8" hidden="1"/>
    <cellStyle name="Hyperlink" xfId="831" builtinId="8" hidden="1"/>
    <cellStyle name="Hyperlink" xfId="833" builtinId="8" hidden="1"/>
    <cellStyle name="Hyperlink" xfId="835" builtinId="8" hidden="1"/>
    <cellStyle name="Hyperlink" xfId="837" builtinId="8" hidden="1"/>
    <cellStyle name="Hyperlink" xfId="839" builtinId="8" hidden="1"/>
    <cellStyle name="Hyperlink" xfId="841" builtinId="8" hidden="1"/>
    <cellStyle name="Hyperlink" xfId="843" builtinId="8" hidden="1"/>
    <cellStyle name="Hyperlink" xfId="845" builtinId="8" hidden="1"/>
    <cellStyle name="Hyperlink" xfId="847" builtinId="8" hidden="1"/>
    <cellStyle name="Hyperlink" xfId="849" builtinId="8" hidden="1"/>
    <cellStyle name="Hyperlink" xfId="851" builtinId="8" hidden="1"/>
    <cellStyle name="Hyperlink" xfId="853" builtinId="8" hidden="1"/>
    <cellStyle name="Hyperlink" xfId="855" builtinId="8" hidden="1"/>
    <cellStyle name="Hyperlink" xfId="857" builtinId="8" hidden="1"/>
    <cellStyle name="Hyperlink" xfId="859" builtinId="8" hidden="1"/>
    <cellStyle name="Hyperlink" xfId="861" builtinId="8" hidden="1"/>
    <cellStyle name="Hyperlink" xfId="863" builtinId="8" hidden="1"/>
    <cellStyle name="Hyperlink" xfId="865" builtinId="8" hidden="1"/>
    <cellStyle name="Hyperlink" xfId="867" builtinId="8" hidden="1"/>
    <cellStyle name="Hyperlink" xfId="869" builtinId="8" hidden="1"/>
    <cellStyle name="Hyperlink" xfId="871" builtinId="8" hidden="1"/>
    <cellStyle name="Hyperlink" xfId="873" builtinId="8" hidden="1"/>
    <cellStyle name="Hyperlink" xfId="875" builtinId="8" hidden="1"/>
    <cellStyle name="Hyperlink" xfId="877" builtinId="8" hidden="1"/>
    <cellStyle name="Hyperlink" xfId="879" builtinId="8" hidden="1"/>
    <cellStyle name="Hyperlink" xfId="881" builtinId="8" hidden="1"/>
    <cellStyle name="Hyperlink" xfId="883" builtinId="8" hidden="1"/>
    <cellStyle name="Hyperlink" xfId="885" builtinId="8" hidden="1"/>
    <cellStyle name="Hyperlink" xfId="887" builtinId="8" hidden="1"/>
    <cellStyle name="Hyperlink" xfId="889" builtinId="8" hidden="1"/>
    <cellStyle name="Hyperlink" xfId="891" builtinId="8" hidden="1"/>
    <cellStyle name="Hyperlink" xfId="893" builtinId="8" hidden="1"/>
    <cellStyle name="Hyperlink" xfId="895" builtinId="8" hidden="1"/>
    <cellStyle name="Hyperlink" xfId="897" builtinId="8" hidden="1"/>
    <cellStyle name="Hyperlink" xfId="899" builtinId="8" hidden="1"/>
    <cellStyle name="Hyperlink" xfId="901" builtinId="8" hidden="1"/>
    <cellStyle name="Hyperlink" xfId="903" builtinId="8" hidden="1"/>
    <cellStyle name="Hyperlink" xfId="905" builtinId="8" hidden="1"/>
    <cellStyle name="Hyperlink" xfId="907" builtinId="8" hidden="1"/>
    <cellStyle name="Hyperlink" xfId="909" builtinId="8" hidden="1"/>
    <cellStyle name="Hyperlink" xfId="911" builtinId="8" hidden="1"/>
    <cellStyle name="Hyperlink" xfId="913" builtinId="8" hidden="1"/>
    <cellStyle name="Hyperlink" xfId="915" builtinId="8" hidden="1"/>
    <cellStyle name="Hyperlink" xfId="917" builtinId="8" hidden="1"/>
    <cellStyle name="Hyperlink" xfId="919" builtinId="8" hidden="1"/>
    <cellStyle name="Hyperlink" xfId="921" builtinId="8" hidden="1"/>
    <cellStyle name="Hyperlink" xfId="923" builtinId="8" hidden="1"/>
    <cellStyle name="Hyperlink" xfId="925" builtinId="8" hidden="1"/>
    <cellStyle name="Hyperlink" xfId="927" builtinId="8" hidden="1"/>
    <cellStyle name="Hyperlink" xfId="929" builtinId="8" hidden="1"/>
    <cellStyle name="Hyperlink" xfId="931" builtinId="8" hidden="1"/>
    <cellStyle name="Hyperlink" xfId="933" builtinId="8" hidden="1"/>
    <cellStyle name="Hyperlink" xfId="935" builtinId="8" hidden="1"/>
    <cellStyle name="Hyperlink" xfId="937" builtinId="8" hidden="1"/>
    <cellStyle name="Hyperlink" xfId="939" builtinId="8" hidden="1"/>
    <cellStyle name="Hyperlink" xfId="941" builtinId="8" hidden="1"/>
    <cellStyle name="Hyperlink" xfId="943" builtinId="8" hidden="1"/>
    <cellStyle name="Hyperlink" xfId="945" builtinId="8" hidden="1"/>
    <cellStyle name="Hyperlink" xfId="947" builtinId="8" hidden="1"/>
    <cellStyle name="Hyperlink" xfId="949" builtinId="8" hidden="1"/>
    <cellStyle name="Hyperlink" xfId="951" builtinId="8" hidden="1"/>
    <cellStyle name="Hyperlink" xfId="953" builtinId="8" hidden="1"/>
    <cellStyle name="Hyperlink" xfId="955" builtinId="8" hidden="1"/>
    <cellStyle name="Hyperlink" xfId="957" builtinId="8" hidden="1"/>
    <cellStyle name="Hyperlink" xfId="959" builtinId="8" hidden="1"/>
    <cellStyle name="Hyperlink" xfId="961" builtinId="8" hidden="1"/>
    <cellStyle name="Hyperlink" xfId="963" builtinId="8" hidden="1"/>
    <cellStyle name="Hyperlink" xfId="965" builtinId="8" hidden="1"/>
    <cellStyle name="Hyperlink" xfId="967" builtinId="8" hidden="1"/>
    <cellStyle name="Hyperlink" xfId="969" builtinId="8" hidden="1"/>
    <cellStyle name="Hyperlink" xfId="971" builtinId="8" hidden="1"/>
    <cellStyle name="Hyperlink" xfId="973" builtinId="8" hidden="1"/>
    <cellStyle name="Hyperlink" xfId="975" builtinId="8" hidden="1"/>
    <cellStyle name="Hyperlink" xfId="977" builtinId="8" hidden="1"/>
    <cellStyle name="Hyperlink" xfId="979" builtinId="8" hidden="1"/>
    <cellStyle name="Hyperlink" xfId="981" builtinId="8" hidden="1"/>
    <cellStyle name="Hyperlink" xfId="983" builtinId="8" hidden="1"/>
    <cellStyle name="Hyperlink" xfId="985" builtinId="8" hidden="1"/>
    <cellStyle name="Hyperlink" xfId="987" builtinId="8" hidden="1"/>
    <cellStyle name="Hyperlink" xfId="989" builtinId="8" hidden="1"/>
    <cellStyle name="Hyperlink" xfId="991" builtinId="8" hidden="1"/>
    <cellStyle name="Hyperlink" xfId="993" builtinId="8" hidden="1"/>
    <cellStyle name="Hyperlink" xfId="995" builtinId="8" hidden="1"/>
    <cellStyle name="Hyperlink" xfId="997" builtinId="8" hidden="1"/>
    <cellStyle name="Hyperlink" xfId="999" builtinId="8" hidden="1"/>
    <cellStyle name="Hyperlink" xfId="1001" builtinId="8" hidden="1"/>
    <cellStyle name="Hyperlink" xfId="1003" builtinId="8" hidden="1"/>
    <cellStyle name="Hyperlink" xfId="1005" builtinId="8" hidden="1"/>
    <cellStyle name="Hyperlink" xfId="1007" builtinId="8" hidden="1"/>
    <cellStyle name="Hyperlink" xfId="1009" builtinId="8" hidden="1"/>
    <cellStyle name="Hyperlink" xfId="1011" builtinId="8" hidden="1"/>
    <cellStyle name="Hyperlink" xfId="1013" builtinId="8" hidden="1"/>
    <cellStyle name="Hyperlink" xfId="1015" builtinId="8" hidden="1"/>
    <cellStyle name="Hyperlink" xfId="1017" builtinId="8" hidden="1"/>
    <cellStyle name="Hyperlink" xfId="1019" builtinId="8" hidden="1"/>
    <cellStyle name="Hyperlink" xfId="1021" builtinId="8" hidden="1"/>
    <cellStyle name="Hyperlink" xfId="1023" builtinId="8" hidden="1"/>
    <cellStyle name="Hyperlink" xfId="1025" builtinId="8" hidden="1"/>
    <cellStyle name="Hyperlink" xfId="1027" builtinId="8" hidden="1"/>
    <cellStyle name="Hyperlink" xfId="1029" builtinId="8" hidden="1"/>
    <cellStyle name="Hyperlink" xfId="1031" builtinId="8" hidden="1"/>
    <cellStyle name="Hyperlink" xfId="1033" builtinId="8" hidden="1"/>
    <cellStyle name="Hyperlink" xfId="1035" builtinId="8" hidden="1"/>
    <cellStyle name="Hyperlink" xfId="1037" builtinId="8" hidden="1"/>
    <cellStyle name="Hyperlink" xfId="1039" builtinId="8" hidden="1"/>
    <cellStyle name="Hyperlink" xfId="1041" builtinId="8" hidden="1"/>
    <cellStyle name="Hyperlink" xfId="1043" builtinId="8" hidden="1"/>
    <cellStyle name="Hyperlink" xfId="1045" builtinId="8" hidden="1"/>
    <cellStyle name="Hyperlink" xfId="1047" builtinId="8" hidden="1"/>
    <cellStyle name="Hyperlink" xfId="1049" builtinId="8" hidden="1"/>
    <cellStyle name="Hyperlink" xfId="1051" builtinId="8" hidden="1"/>
    <cellStyle name="Hyperlink" xfId="1053" builtinId="8" hidden="1"/>
    <cellStyle name="Hyperlink" xfId="1055" builtinId="8" hidden="1"/>
    <cellStyle name="Hyperlink" xfId="1057" builtinId="8" hidden="1"/>
    <cellStyle name="Hyperlink" xfId="1059" builtinId="8" hidden="1"/>
    <cellStyle name="Hyperlink" xfId="1061" builtinId="8" hidden="1"/>
    <cellStyle name="Hyperlink" xfId="1063" builtinId="8" hidden="1"/>
    <cellStyle name="Hyperlink" xfId="1065" builtinId="8" hidden="1"/>
    <cellStyle name="Hyperlink" xfId="1067" builtinId="8" hidden="1"/>
    <cellStyle name="Hyperlink" xfId="1069" builtinId="8" hidden="1"/>
    <cellStyle name="Hyperlink" xfId="1071" builtinId="8" hidden="1"/>
    <cellStyle name="Hyperlink" xfId="1073" builtinId="8" hidden="1"/>
    <cellStyle name="Hyperlink" xfId="1075" builtinId="8" hidden="1"/>
    <cellStyle name="Hyperlink" xfId="1077" builtinId="8" hidden="1"/>
    <cellStyle name="Hyperlink" xfId="1079" builtinId="8" hidden="1"/>
    <cellStyle name="Hyperlink" xfId="1081" builtinId="8" hidden="1"/>
    <cellStyle name="Hyperlink" xfId="1083" builtinId="8" hidden="1"/>
    <cellStyle name="Hyperlink" xfId="1085" builtinId="8" hidden="1"/>
    <cellStyle name="Hyperlink" xfId="1087" builtinId="8" hidden="1"/>
    <cellStyle name="Hyperlink" xfId="1089" builtinId="8" hidden="1"/>
    <cellStyle name="Hyperlink" xfId="1091" builtinId="8" hidden="1"/>
    <cellStyle name="Hyperlink" xfId="1093" builtinId="8" hidden="1"/>
    <cellStyle name="Hyperlink" xfId="1095" builtinId="8" hidden="1"/>
    <cellStyle name="Hyperlink" xfId="1097" builtinId="8" hidden="1"/>
    <cellStyle name="Hyperlink" xfId="1099" builtinId="8" hidden="1"/>
    <cellStyle name="Hyperlink" xfId="1101" builtinId="8" hidden="1"/>
    <cellStyle name="Hyperlink" xfId="1103" builtinId="8" hidden="1"/>
    <cellStyle name="Hyperlink" xfId="1105" builtinId="8" hidden="1"/>
    <cellStyle name="Hyperlink" xfId="1107" builtinId="8" hidden="1"/>
    <cellStyle name="Hyperlink" xfId="1109" builtinId="8" hidden="1"/>
    <cellStyle name="Hyperlink" xfId="1111" builtinId="8" hidden="1"/>
    <cellStyle name="Hyperlink" xfId="1113" builtinId="8" hidden="1"/>
    <cellStyle name="Hyperlink" xfId="1115" builtinId="8" hidden="1"/>
    <cellStyle name="Hyperlink" xfId="1117" builtinId="8" hidden="1"/>
    <cellStyle name="Hyperlink" xfId="1119" builtinId="8" hidden="1"/>
    <cellStyle name="Hyperlink" xfId="1121" builtinId="8" hidden="1"/>
    <cellStyle name="Hyperlink" xfId="1123" builtinId="8" hidden="1"/>
    <cellStyle name="Hyperlink" xfId="1125" builtinId="8" hidden="1"/>
    <cellStyle name="Hyperlink" xfId="1127" builtinId="8" hidden="1"/>
    <cellStyle name="Hyperlink" xfId="1129" builtinId="8" hidden="1"/>
    <cellStyle name="Hyperlink" xfId="1131" builtinId="8" hidden="1"/>
    <cellStyle name="Hyperlink" xfId="1133" builtinId="8" hidden="1"/>
    <cellStyle name="Hyperlink" xfId="1135" builtinId="8" hidden="1"/>
    <cellStyle name="Hyperlink" xfId="1137" builtinId="8" hidden="1"/>
    <cellStyle name="Hyperlink" xfId="1139" builtinId="8" hidden="1"/>
    <cellStyle name="Hyperlink" xfId="1141" builtinId="8" hidden="1"/>
    <cellStyle name="Hyperlink" xfId="1143" builtinId="8" hidden="1"/>
    <cellStyle name="Hyperlink" xfId="1145" builtinId="8" hidden="1"/>
    <cellStyle name="Hyperlink" xfId="1147" builtinId="8" hidden="1"/>
    <cellStyle name="Hyperlink" xfId="1149" builtinId="8" hidden="1"/>
    <cellStyle name="Hyperlink" xfId="1151" builtinId="8" hidden="1"/>
    <cellStyle name="Hyperlink" xfId="1153" builtinId="8" hidden="1"/>
    <cellStyle name="Hyperlink" xfId="1155" builtinId="8" hidden="1"/>
    <cellStyle name="Hyperlink" xfId="1157" builtinId="8" hidden="1"/>
    <cellStyle name="Hyperlink" xfId="1159" builtinId="8" hidden="1"/>
    <cellStyle name="Hyperlink" xfId="1161" builtinId="8" hidden="1"/>
    <cellStyle name="Hyperlink" xfId="1163" builtinId="8" hidden="1"/>
    <cellStyle name="Hyperlink" xfId="1165" builtinId="8" hidden="1"/>
    <cellStyle name="Hyperlink" xfId="1167" builtinId="8" hidden="1"/>
    <cellStyle name="Hyperlink" xfId="1169" builtinId="8" hidden="1"/>
    <cellStyle name="Hyperlink" xfId="1171" builtinId="8" hidden="1"/>
    <cellStyle name="Hyperlink" xfId="1173" builtinId="8" hidden="1"/>
    <cellStyle name="Hyperlink" xfId="1175" builtinId="8" hidden="1"/>
    <cellStyle name="Hyperlink" xfId="1177" builtinId="8" hidden="1"/>
    <cellStyle name="Hyperlink" xfId="1179" builtinId="8" hidden="1"/>
    <cellStyle name="Hyperlink" xfId="1181" builtinId="8" hidden="1"/>
    <cellStyle name="Hyperlink" xfId="1183" builtinId="8" hidden="1"/>
    <cellStyle name="Hyperlink" xfId="1185" builtinId="8" hidden="1"/>
    <cellStyle name="Hyperlink" xfId="1187" builtinId="8" hidden="1"/>
    <cellStyle name="Hyperlink" xfId="1189" builtinId="8" hidden="1"/>
    <cellStyle name="Hyperlink" xfId="1191" builtinId="8" hidden="1"/>
    <cellStyle name="Hyperlink" xfId="1193" builtinId="8" hidden="1"/>
    <cellStyle name="Hyperlink" xfId="1195" builtinId="8" hidden="1"/>
    <cellStyle name="Hyperlink" xfId="1197" builtinId="8" hidden="1"/>
    <cellStyle name="Hyperlink" xfId="1199" builtinId="8" hidden="1"/>
    <cellStyle name="Hyperlink" xfId="1201" builtinId="8" hidden="1"/>
    <cellStyle name="Hyperlink" xfId="1203" builtinId="8" hidden="1"/>
    <cellStyle name="Hyperlink" xfId="1205" builtinId="8" hidden="1"/>
    <cellStyle name="Hyperlink" xfId="1207" builtinId="8" hidden="1"/>
    <cellStyle name="Hyperlink" xfId="1209" builtinId="8" hidden="1"/>
    <cellStyle name="Hyperlink" xfId="1211" builtinId="8" hidden="1"/>
    <cellStyle name="Hyperlink" xfId="1213" builtinId="8" hidden="1"/>
    <cellStyle name="Hyperlink" xfId="1215" builtinId="8" hidden="1"/>
    <cellStyle name="Hyperlink" xfId="1217" builtinId="8" hidden="1"/>
    <cellStyle name="Hyperlink" xfId="1219" builtinId="8" hidden="1"/>
    <cellStyle name="Hyperlink" xfId="1221" builtinId="8" hidden="1"/>
    <cellStyle name="Hyperlink" xfId="1223" builtinId="8" hidden="1"/>
    <cellStyle name="Hyperlink" xfId="1225" builtinId="8" hidden="1"/>
    <cellStyle name="Hyperlink" xfId="1227" builtinId="8" hidden="1"/>
    <cellStyle name="Hyperlink" xfId="1229" builtinId="8" hidden="1"/>
    <cellStyle name="Hyperlink" xfId="1231" builtinId="8" hidden="1"/>
    <cellStyle name="Hyperlink" xfId="1233" builtinId="8" hidden="1"/>
    <cellStyle name="Hyperlink" xfId="1235" builtinId="8" hidden="1"/>
    <cellStyle name="Hyperlink" xfId="1237" builtinId="8" hidden="1"/>
    <cellStyle name="Hyperlink" xfId="1239" builtinId="8" hidden="1"/>
    <cellStyle name="Hyperlink" xfId="1241" builtinId="8" hidden="1"/>
    <cellStyle name="Hyperlink" xfId="1243" builtinId="8" hidden="1"/>
    <cellStyle name="Hyperlink" xfId="1245" builtinId="8" hidden="1"/>
    <cellStyle name="Hyperlink" xfId="1247" builtinId="8" hidden="1"/>
    <cellStyle name="Hyperlink" xfId="1249" builtinId="8" hidden="1"/>
    <cellStyle name="Hyperlink" xfId="1251" builtinId="8" hidden="1"/>
    <cellStyle name="Hyperlink" xfId="1253" builtinId="8" hidden="1"/>
    <cellStyle name="Hyperlink" xfId="1255" builtinId="8" hidden="1"/>
    <cellStyle name="Hyperlink" xfId="1257" builtinId="8" hidden="1"/>
    <cellStyle name="Hyperlink" xfId="1259" builtinId="8" hidden="1"/>
    <cellStyle name="Hyperlink" xfId="1261" builtinId="8" hidden="1"/>
    <cellStyle name="Hyperlink" xfId="1263" builtinId="8" hidden="1"/>
    <cellStyle name="Hyperlink" xfId="1265" builtinId="8" hidden="1"/>
    <cellStyle name="Hyperlink" xfId="1267" builtinId="8" hidden="1"/>
    <cellStyle name="Hyperlink" xfId="1269" builtinId="8" hidden="1"/>
    <cellStyle name="Hyperlink" xfId="1271" builtinId="8" hidden="1"/>
    <cellStyle name="Hyperlink" xfId="1273" builtinId="8" hidden="1"/>
    <cellStyle name="Hyperlink" xfId="1275" builtinId="8" hidden="1"/>
    <cellStyle name="Hyperlink" xfId="1277" builtinId="8" hidden="1"/>
    <cellStyle name="Hyperlink" xfId="1279" builtinId="8" hidden="1"/>
    <cellStyle name="Hyperlink" xfId="1281" builtinId="8" hidden="1"/>
    <cellStyle name="Hyperlink" xfId="1283" builtinId="8" hidden="1"/>
    <cellStyle name="Hyperlink" xfId="1285" builtinId="8" hidden="1"/>
    <cellStyle name="Hyperlink" xfId="1287" builtinId="8" hidden="1"/>
    <cellStyle name="Hyperlink" xfId="1289" builtinId="8" hidden="1"/>
    <cellStyle name="Hyperlink" xfId="1291" builtinId="8" hidden="1"/>
    <cellStyle name="Hyperlink" xfId="1293" builtinId="8" hidden="1"/>
    <cellStyle name="Hyperlink" xfId="1295" builtinId="8" hidden="1"/>
    <cellStyle name="Hyperlink" xfId="1297" builtinId="8" hidden="1"/>
    <cellStyle name="Hyperlink" xfId="1299" builtinId="8" hidden="1"/>
    <cellStyle name="Hyperlink" xfId="1301" builtinId="8" hidden="1"/>
    <cellStyle name="Hyperlink" xfId="1303" builtinId="8" hidden="1"/>
    <cellStyle name="Hyperlink" xfId="1305" builtinId="8" hidden="1"/>
    <cellStyle name="Hyperlink" xfId="1307" builtinId="8" hidden="1"/>
    <cellStyle name="Hyperlink" xfId="1309" builtinId="8" hidden="1"/>
    <cellStyle name="Hyperlink" xfId="1311" builtinId="8" hidden="1"/>
    <cellStyle name="Hyperlink" xfId="1313" builtinId="8" hidden="1"/>
    <cellStyle name="Hyperlink" xfId="1315" builtinId="8" hidden="1"/>
    <cellStyle name="Hyperlink" xfId="1317" builtinId="8" hidden="1"/>
    <cellStyle name="Hyperlink" xfId="1319" builtinId="8" hidden="1"/>
    <cellStyle name="Hyperlink" xfId="1321" builtinId="8" hidden="1"/>
    <cellStyle name="Hyperlink" xfId="1323" builtinId="8" hidden="1"/>
    <cellStyle name="Hyperlink" xfId="1325" builtinId="8" hidden="1"/>
    <cellStyle name="Hyperlink" xfId="1327" builtinId="8" hidden="1"/>
    <cellStyle name="Hyperlink" xfId="1329" builtinId="8" hidden="1"/>
    <cellStyle name="Hyperlink" xfId="1331" builtinId="8" hidden="1"/>
    <cellStyle name="Hyperlink" xfId="1333" builtinId="8" hidden="1"/>
    <cellStyle name="Hyperlink" xfId="1335" builtinId="8" hidden="1"/>
    <cellStyle name="Hyperlink" xfId="1337" builtinId="8" hidden="1"/>
    <cellStyle name="Hyperlink" xfId="1339" builtinId="8" hidden="1"/>
    <cellStyle name="Hyperlink" xfId="1341" builtinId="8" hidden="1"/>
    <cellStyle name="Hyperlink" xfId="1343" builtinId="8" hidden="1"/>
    <cellStyle name="Hyperlink" xfId="1345" builtinId="8" hidden="1"/>
    <cellStyle name="Hyperlink" xfId="1347" builtinId="8" hidden="1"/>
    <cellStyle name="Hyperlink" xfId="1349" builtinId="8" hidden="1"/>
    <cellStyle name="Hyperlink" xfId="1351" builtinId="8" hidden="1"/>
    <cellStyle name="Hyperlink" xfId="1353" builtinId="8" hidden="1"/>
    <cellStyle name="Hyperlink" xfId="1355" builtinId="8" hidden="1"/>
    <cellStyle name="Hyperlink" xfId="1357" builtinId="8" hidden="1"/>
    <cellStyle name="Hyperlink" xfId="1359" builtinId="8" hidden="1"/>
    <cellStyle name="Hyperlink" xfId="1361" builtinId="8" hidden="1"/>
    <cellStyle name="Hyperlink" xfId="1363" builtinId="8" hidden="1"/>
    <cellStyle name="Hyperlink" xfId="1365" builtinId="8" hidden="1"/>
    <cellStyle name="Hyperlink" xfId="1367" builtinId="8" hidden="1"/>
    <cellStyle name="Hyperlink" xfId="1369" builtinId="8" hidden="1"/>
    <cellStyle name="Hyperlink" xfId="1371" builtinId="8" hidden="1"/>
    <cellStyle name="Hyperlink" xfId="1373" builtinId="8" hidden="1"/>
    <cellStyle name="Hyperlink" xfId="1375" builtinId="8" hidden="1"/>
    <cellStyle name="Hyperlink" xfId="1377" builtinId="8" hidden="1"/>
    <cellStyle name="Hyperlink" xfId="1379" builtinId="8" hidden="1"/>
    <cellStyle name="Hyperlink" xfId="1381" builtinId="8" hidden="1"/>
    <cellStyle name="Hyperlink" xfId="1383" builtinId="8" hidden="1"/>
    <cellStyle name="Hyperlink" xfId="1385" builtinId="8" hidden="1"/>
    <cellStyle name="Hyperlink" xfId="1387" builtinId="8" hidden="1"/>
    <cellStyle name="Hyperlink" xfId="1389" builtinId="8" hidden="1"/>
    <cellStyle name="Hyperlink" xfId="1391" builtinId="8" hidden="1"/>
    <cellStyle name="Hyperlink" xfId="1393" builtinId="8" hidden="1"/>
    <cellStyle name="Hyperlink" xfId="1395" builtinId="8" hidden="1"/>
    <cellStyle name="Hyperlink" xfId="1397" builtinId="8" hidden="1"/>
    <cellStyle name="Hyperlink" xfId="1399" builtinId="8" hidden="1"/>
    <cellStyle name="Hyperlink" xfId="1401" builtinId="8" hidden="1"/>
    <cellStyle name="Hyperlink" xfId="1403" builtinId="8" hidden="1"/>
    <cellStyle name="Hyperlink" xfId="1405" builtinId="8" hidden="1"/>
    <cellStyle name="Hyperlink" xfId="1407" builtinId="8" hidden="1"/>
    <cellStyle name="Hyperlink" xfId="1409" builtinId="8" hidden="1"/>
    <cellStyle name="Hyperlink" xfId="1411" builtinId="8" hidden="1"/>
    <cellStyle name="Hyperlink" xfId="1413" builtinId="8" hidden="1"/>
    <cellStyle name="Hyperlink" xfId="1415" builtinId="8" hidden="1"/>
    <cellStyle name="Hyperlink" xfId="1417" builtinId="8" hidden="1"/>
    <cellStyle name="Hyperlink" xfId="1419" builtinId="8" hidden="1"/>
    <cellStyle name="Hyperlink" xfId="1421" builtinId="8" hidden="1"/>
    <cellStyle name="Hyperlink" xfId="1423" builtinId="8" hidden="1"/>
    <cellStyle name="Hyperlink" xfId="1425" builtinId="8" hidden="1"/>
    <cellStyle name="Hyperlink" xfId="1427" builtinId="8" hidden="1"/>
    <cellStyle name="Hyperlink" xfId="1429" builtinId="8" hidden="1"/>
    <cellStyle name="Hyperlink" xfId="1431" builtinId="8" hidden="1"/>
    <cellStyle name="Hyperlink" xfId="1433" builtinId="8" hidden="1"/>
    <cellStyle name="Hyperlink" xfId="1435" builtinId="8" hidden="1"/>
    <cellStyle name="Hyperlink" xfId="1437" builtinId="8" hidden="1"/>
    <cellStyle name="Hyperlink" xfId="1439" builtinId="8" hidden="1"/>
    <cellStyle name="Hyperlink" xfId="1441" builtinId="8" hidden="1"/>
    <cellStyle name="Hyperlink" xfId="1443" builtinId="8" hidden="1"/>
    <cellStyle name="Hyperlink" xfId="1445" builtinId="8" hidden="1"/>
    <cellStyle name="Hyperlink" xfId="1447" builtinId="8" hidden="1"/>
    <cellStyle name="Hyperlink" xfId="1449" builtinId="8" hidden="1"/>
    <cellStyle name="Hyperlink" xfId="1451" builtinId="8" hidden="1"/>
    <cellStyle name="Hyperlink" xfId="1453" builtinId="8" hidden="1"/>
    <cellStyle name="Hyperlink" xfId="1455" builtinId="8" hidden="1"/>
    <cellStyle name="Hyperlink" xfId="1457" builtinId="8" hidden="1"/>
    <cellStyle name="Hyperlink" xfId="1459" builtinId="8" hidden="1"/>
    <cellStyle name="Hyperlink" xfId="1461" builtinId="8" hidden="1"/>
    <cellStyle name="Hyperlink" xfId="1463" builtinId="8" hidden="1"/>
    <cellStyle name="Hyperlink" xfId="1465" builtinId="8" hidden="1"/>
    <cellStyle name="Hyperlink" xfId="1467" builtinId="8" hidden="1"/>
    <cellStyle name="Hyperlink" xfId="1469" builtinId="8" hidden="1"/>
    <cellStyle name="Hyperlink" xfId="1471" builtinId="8" hidden="1"/>
    <cellStyle name="Hyperlink" xfId="1473" builtinId="8" hidden="1"/>
    <cellStyle name="Hyperlink" xfId="1475" builtinId="8" hidden="1"/>
    <cellStyle name="Hyperlink" xfId="1477" builtinId="8" hidden="1"/>
    <cellStyle name="Hyperlink" xfId="1479" builtinId="8" hidden="1"/>
    <cellStyle name="Hyperlink" xfId="1481" builtinId="8" hidden="1"/>
    <cellStyle name="Hyperlink" xfId="1483" builtinId="8" hidden="1"/>
    <cellStyle name="Hyperlink" xfId="1485" builtinId="8" hidden="1"/>
    <cellStyle name="Hyperlink" xfId="1487" builtinId="8" hidden="1"/>
    <cellStyle name="Hyperlink" xfId="1489" builtinId="8" hidden="1"/>
    <cellStyle name="Hyperlink" xfId="1491" builtinId="8" hidden="1"/>
    <cellStyle name="Hyperlink" xfId="1493" builtinId="8" hidden="1"/>
    <cellStyle name="Hyperlink" xfId="1495" builtinId="8" hidden="1"/>
    <cellStyle name="Hyperlink" xfId="1497" builtinId="8" hidden="1"/>
    <cellStyle name="Hyperlink" xfId="1499" builtinId="8" hidden="1"/>
    <cellStyle name="Hyperlink" xfId="1501" builtinId="8" hidden="1"/>
    <cellStyle name="Hyperlink" xfId="1503" builtinId="8" hidden="1"/>
    <cellStyle name="Hyperlink" xfId="1505" builtinId="8" hidden="1"/>
    <cellStyle name="Hyperlink" xfId="1507" builtinId="8" hidden="1"/>
    <cellStyle name="Hyperlink" xfId="1509" builtinId="8" hidden="1"/>
    <cellStyle name="Hyperlink" xfId="1511" builtinId="8" hidden="1"/>
    <cellStyle name="Hyperlink" xfId="1513" builtinId="8" hidden="1"/>
    <cellStyle name="Hyperlink" xfId="1515" builtinId="8" hidden="1"/>
    <cellStyle name="Hyperlink" xfId="1517" builtinId="8" hidden="1"/>
    <cellStyle name="Hyperlink" xfId="1519" builtinId="8" hidden="1"/>
    <cellStyle name="Hyperlink" xfId="1521" builtinId="8" hidden="1"/>
    <cellStyle name="Hyperlink" xfId="1523" builtinId="8" hidden="1"/>
    <cellStyle name="Hyperlink" xfId="1525" builtinId="8" hidden="1"/>
    <cellStyle name="Hyperlink" xfId="1527" builtinId="8" hidden="1"/>
    <cellStyle name="Hyperlink" xfId="1529" builtinId="8" hidden="1"/>
    <cellStyle name="Hyperlink" xfId="1531" builtinId="8" hidden="1"/>
    <cellStyle name="Hyperlink" xfId="1533" builtinId="8" hidden="1"/>
    <cellStyle name="Hyperlink" xfId="1535" builtinId="8" hidden="1"/>
    <cellStyle name="Hyperlink" xfId="1537" builtinId="8" hidden="1"/>
    <cellStyle name="Hyperlink" xfId="1539" builtinId="8" hidden="1"/>
    <cellStyle name="Hyperlink" xfId="1541" builtinId="8" hidden="1"/>
    <cellStyle name="Hyperlink" xfId="1543" builtinId="8" hidden="1"/>
    <cellStyle name="Hyperlink" xfId="1545" builtinId="8" hidden="1"/>
    <cellStyle name="Hyperlink" xfId="1547" builtinId="8" hidden="1"/>
    <cellStyle name="Hyperlink" xfId="1549" builtinId="8" hidden="1"/>
    <cellStyle name="Hyperlink" xfId="1551" builtinId="8" hidden="1"/>
    <cellStyle name="Hyperlink" xfId="1553" builtinId="8" hidden="1"/>
    <cellStyle name="Hyperlink" xfId="1555" builtinId="8" hidden="1"/>
    <cellStyle name="Hyperlink" xfId="1557" builtinId="8" hidden="1"/>
    <cellStyle name="Hyperlink" xfId="1559" builtinId="8" hidden="1"/>
    <cellStyle name="Hyperlink" xfId="1561" builtinId="8" hidden="1"/>
    <cellStyle name="Hyperlink" xfId="1563" builtinId="8" hidden="1"/>
    <cellStyle name="Hyperlink" xfId="1565" builtinId="8" hidden="1"/>
    <cellStyle name="Hyperlink" xfId="1567" builtinId="8" hidden="1"/>
    <cellStyle name="Hyperlink" xfId="1569" builtinId="8" hidden="1"/>
    <cellStyle name="Hyperlink" xfId="1571" builtinId="8" hidden="1"/>
    <cellStyle name="Hyperlink" xfId="1573" builtinId="8" hidden="1"/>
    <cellStyle name="Hyperlink" xfId="1575" builtinId="8" hidden="1"/>
    <cellStyle name="Hyperlink" xfId="1577" builtinId="8" hidden="1"/>
    <cellStyle name="Hyperlink" xfId="1579" builtinId="8" hidden="1"/>
    <cellStyle name="Hyperlink" xfId="1581" builtinId="8" hidden="1"/>
    <cellStyle name="Hyperlink" xfId="1583" builtinId="8" hidden="1"/>
    <cellStyle name="Hyperlink" xfId="1585" builtinId="8" hidden="1"/>
    <cellStyle name="Hyperlink" xfId="1587" builtinId="8" hidden="1"/>
    <cellStyle name="Hyperlink" xfId="1589" builtinId="8" hidden="1"/>
    <cellStyle name="Hyperlink" xfId="1591" builtinId="8" hidden="1"/>
    <cellStyle name="Hyperlink" xfId="1593" builtinId="8" hidden="1"/>
    <cellStyle name="Hyperlink" xfId="1595" builtinId="8" hidden="1"/>
    <cellStyle name="Hyperlink" xfId="1597" builtinId="8" hidden="1"/>
    <cellStyle name="Hyperlink" xfId="1599" builtinId="8" hidden="1"/>
    <cellStyle name="Hyperlink" xfId="1601" builtinId="8" hidden="1"/>
    <cellStyle name="Hyperlink" xfId="1603" builtinId="8" hidden="1"/>
    <cellStyle name="Hyperlink" xfId="1605" builtinId="8" hidden="1"/>
    <cellStyle name="Hyperlink" xfId="1607" builtinId="8" hidden="1"/>
    <cellStyle name="Hyperlink" xfId="1609" builtinId="8" hidden="1"/>
    <cellStyle name="Hyperlink" xfId="1611" builtinId="8" hidden="1"/>
    <cellStyle name="Hyperlink" xfId="1613" builtinId="8" hidden="1"/>
    <cellStyle name="Hyperlink" xfId="1615" builtinId="8" hidden="1"/>
    <cellStyle name="Hyperlink" xfId="1617" builtinId="8" hidden="1"/>
    <cellStyle name="Hyperlink" xfId="1619" builtinId="8" hidden="1"/>
    <cellStyle name="Hyperlink" xfId="1621" builtinId="8" hidden="1"/>
    <cellStyle name="Hyperlink" xfId="1623" builtinId="8" hidden="1"/>
    <cellStyle name="Hyperlink" xfId="1625" builtinId="8" hidden="1"/>
    <cellStyle name="Hyperlink" xfId="1627" builtinId="8" hidden="1"/>
    <cellStyle name="Hyperlink" xfId="1629" builtinId="8" hidden="1"/>
    <cellStyle name="Hyperlink" xfId="1631" builtinId="8" hidden="1"/>
    <cellStyle name="Hyperlink" xfId="1633" builtinId="8" hidden="1"/>
    <cellStyle name="Hyperlink" xfId="1635" builtinId="8" hidden="1"/>
    <cellStyle name="Hyperlink" xfId="1637" builtinId="8" hidden="1"/>
    <cellStyle name="Hyperlink" xfId="1639" builtinId="8" hidden="1"/>
    <cellStyle name="Hyperlink" xfId="1641" builtinId="8" hidden="1"/>
    <cellStyle name="Hyperlink" xfId="1643" builtinId="8" hidden="1"/>
    <cellStyle name="Hyperlink" xfId="1645" builtinId="8" hidden="1"/>
    <cellStyle name="Hyperlink" xfId="1647" builtinId="8" hidden="1"/>
    <cellStyle name="Hyperlink" xfId="1649" builtinId="8" hidden="1"/>
    <cellStyle name="Hyperlink" xfId="1651" builtinId="8" hidden="1"/>
    <cellStyle name="Hyperlink" xfId="1653" builtinId="8" hidden="1"/>
    <cellStyle name="Hyperlink" xfId="1655" builtinId="8" hidden="1"/>
    <cellStyle name="Hyperlink" xfId="1657" builtinId="8" hidden="1"/>
    <cellStyle name="Hyperlink" xfId="1659" builtinId="8" hidden="1"/>
    <cellStyle name="Hyperlink" xfId="1661" builtinId="8" hidden="1"/>
    <cellStyle name="Hyperlink" xfId="1663" builtinId="8" hidden="1"/>
    <cellStyle name="Hyperlink" xfId="1665" builtinId="8" hidden="1"/>
    <cellStyle name="Hyperlink" xfId="1667" builtinId="8" hidden="1"/>
    <cellStyle name="Hyperlink" xfId="1669" builtinId="8" hidden="1"/>
    <cellStyle name="Hyperlink" xfId="1671" builtinId="8" hidden="1"/>
    <cellStyle name="Hyperlink" xfId="1673" builtinId="8" hidden="1"/>
    <cellStyle name="Hyperlink" xfId="1675" builtinId="8" hidden="1"/>
    <cellStyle name="Hyperlink" xfId="1677" builtinId="8" hidden="1"/>
    <cellStyle name="Hyperlink" xfId="1679" builtinId="8" hidden="1"/>
    <cellStyle name="Hyperlink" xfId="1681" builtinId="8" hidden="1"/>
    <cellStyle name="Hyperlink" xfId="1683" builtinId="8" hidden="1"/>
    <cellStyle name="Hyperlink" xfId="1685" builtinId="8" hidden="1"/>
    <cellStyle name="Hyperlink" xfId="1687" builtinId="8" hidden="1"/>
    <cellStyle name="Hyperlink" xfId="1689" builtinId="8" hidden="1"/>
    <cellStyle name="Hyperlink" xfId="1691" builtinId="8" hidden="1"/>
    <cellStyle name="Hyperlink" xfId="1693" builtinId="8" hidden="1"/>
    <cellStyle name="Hyperlink" xfId="1695" builtinId="8" hidden="1"/>
    <cellStyle name="Hyperlink" xfId="1697" builtinId="8" hidden="1"/>
    <cellStyle name="Hyperlink" xfId="1699" builtinId="8" hidden="1"/>
    <cellStyle name="Hyperlink" xfId="1701" builtinId="8" hidden="1"/>
    <cellStyle name="Hyperlink" xfId="1703" builtinId="8" hidden="1"/>
    <cellStyle name="Hyperlink" xfId="1705" builtinId="8" hidden="1"/>
    <cellStyle name="Hyperlink" xfId="1707" builtinId="8" hidden="1"/>
    <cellStyle name="Hyperlink" xfId="1709" builtinId="8" hidden="1"/>
    <cellStyle name="Hyperlink" xfId="1711" builtinId="8" hidden="1"/>
    <cellStyle name="Hyperlink" xfId="1713" builtinId="8" hidden="1"/>
    <cellStyle name="Hyperlink" xfId="1715" builtinId="8" hidden="1"/>
    <cellStyle name="Hyperlink" xfId="1717" builtinId="8" hidden="1"/>
    <cellStyle name="Hyperlink" xfId="1719" builtinId="8" hidden="1"/>
    <cellStyle name="Hyperlink" xfId="1721" builtinId="8" hidden="1"/>
    <cellStyle name="Hyperlink" xfId="1723" builtinId="8" hidden="1"/>
    <cellStyle name="Hyperlink" xfId="1725" builtinId="8" hidden="1"/>
    <cellStyle name="Hyperlink" xfId="1727" builtinId="8" hidden="1"/>
    <cellStyle name="Hyperlink" xfId="1729" builtinId="8" hidden="1"/>
    <cellStyle name="Hyperlink" xfId="1731" builtinId="8" hidden="1"/>
    <cellStyle name="Hyperlink" xfId="1733" builtinId="8" hidden="1"/>
    <cellStyle name="Hyperlink" xfId="1735" builtinId="8" hidden="1"/>
    <cellStyle name="Hyperlink" xfId="1737" builtinId="8" hidden="1"/>
    <cellStyle name="Hyperlink" xfId="1739" builtinId="8" hidden="1"/>
    <cellStyle name="Hyperlink" xfId="1741" builtinId="8" hidden="1"/>
    <cellStyle name="Hyperlink" xfId="1743" builtinId="8" hidden="1"/>
    <cellStyle name="Hyperlink" xfId="1745" builtinId="8" hidden="1"/>
    <cellStyle name="Hyperlink" xfId="1747" builtinId="8" hidden="1"/>
    <cellStyle name="Hyperlink" xfId="1749" builtinId="8" hidden="1"/>
    <cellStyle name="Hyperlink" xfId="1751" builtinId="8" hidden="1"/>
    <cellStyle name="Hyperlink" xfId="1753" builtinId="8" hidden="1"/>
    <cellStyle name="Hyperlink" xfId="1755" builtinId="8" hidden="1"/>
    <cellStyle name="Hyperlink" xfId="1757" builtinId="8" hidden="1"/>
    <cellStyle name="Hyperlink" xfId="1759" builtinId="8" hidden="1"/>
    <cellStyle name="Hyperlink" xfId="1761" builtinId="8" hidden="1"/>
    <cellStyle name="Hyperlink" xfId="1763" builtinId="8" hidden="1"/>
    <cellStyle name="Hyperlink" xfId="1765" builtinId="8" hidden="1"/>
    <cellStyle name="Hyperlink" xfId="1767" builtinId="8" hidden="1"/>
    <cellStyle name="Hyperlink" xfId="1769" builtinId="8" hidden="1"/>
    <cellStyle name="Hyperlink" xfId="1771" builtinId="8" hidden="1"/>
    <cellStyle name="Hyperlink" xfId="1773" builtinId="8" hidden="1"/>
    <cellStyle name="Hyperlink" xfId="1775" builtinId="8" hidden="1"/>
    <cellStyle name="Hyperlink" xfId="1777" builtinId="8" hidden="1"/>
    <cellStyle name="Hyperlink" xfId="1779" builtinId="8" hidden="1"/>
    <cellStyle name="Hyperlink" xfId="1781" builtinId="8" hidden="1"/>
    <cellStyle name="Hyperlink" xfId="1783" builtinId="8" hidden="1"/>
    <cellStyle name="Hyperlink" xfId="1785" builtinId="8" hidden="1"/>
    <cellStyle name="Hyperlink" xfId="1787" builtinId="8" hidden="1"/>
    <cellStyle name="Hyperlink" xfId="1789" builtinId="8" hidden="1"/>
    <cellStyle name="Hyperlink" xfId="1791" builtinId="8" hidden="1"/>
    <cellStyle name="Hyperlink" xfId="1793" builtinId="8" hidden="1"/>
    <cellStyle name="Hyperlink" xfId="1795" builtinId="8" hidden="1"/>
    <cellStyle name="Hyperlink" xfId="1797" builtinId="8" hidden="1"/>
    <cellStyle name="Hyperlink" xfId="1799" builtinId="8" hidden="1"/>
    <cellStyle name="Hyperlink" xfId="1801" builtinId="8" hidden="1"/>
    <cellStyle name="Hyperlink" xfId="1803" builtinId="8" hidden="1"/>
    <cellStyle name="Hyperlink" xfId="1805" builtinId="8" hidden="1"/>
    <cellStyle name="Hyperlink" xfId="1807" builtinId="8" hidden="1"/>
    <cellStyle name="Hyperlink" xfId="1809" builtinId="8" hidden="1"/>
    <cellStyle name="Hyperlink" xfId="1811" builtinId="8" hidden="1"/>
    <cellStyle name="Hyperlink" xfId="1813" builtinId="8" hidden="1"/>
    <cellStyle name="Hyperlink" xfId="1815" builtinId="8" hidden="1"/>
    <cellStyle name="Hyperlink" xfId="1817" builtinId="8" hidden="1"/>
    <cellStyle name="Hyperlink" xfId="1819" builtinId="8" hidden="1"/>
    <cellStyle name="Hyperlink" xfId="1821" builtinId="8" hidden="1"/>
    <cellStyle name="Hyperlink" xfId="1823" builtinId="8" hidden="1"/>
    <cellStyle name="Hyperlink" xfId="1825" builtinId="8" hidden="1"/>
    <cellStyle name="Hyperlink" xfId="1827" builtinId="8" hidden="1"/>
    <cellStyle name="Hyperlink" xfId="1829" builtinId="8" hidden="1"/>
    <cellStyle name="Hyperlink" xfId="1831" builtinId="8" hidden="1"/>
    <cellStyle name="Hyperlink" xfId="1833" builtinId="8" hidden="1"/>
    <cellStyle name="Hyperlink" xfId="1835" builtinId="8" hidden="1"/>
    <cellStyle name="Hyperlink" xfId="1837" builtinId="8" hidden="1"/>
    <cellStyle name="Hyperlink" xfId="1839" builtinId="8" hidden="1"/>
    <cellStyle name="Hyperlink" xfId="1841" builtinId="8" hidden="1"/>
    <cellStyle name="Hyperlink" xfId="1843" builtinId="8" hidden="1"/>
    <cellStyle name="Hyperlink" xfId="1845" builtinId="8" hidden="1"/>
    <cellStyle name="Hyperlink" xfId="1847" builtinId="8" hidden="1"/>
    <cellStyle name="Hyperlink" xfId="1849" builtinId="8" hidden="1"/>
    <cellStyle name="Hyperlink" xfId="1851" builtinId="8" hidden="1"/>
    <cellStyle name="Hyperlink" xfId="1853" builtinId="8" hidden="1"/>
    <cellStyle name="Hyperlink" xfId="1855" builtinId="8" hidden="1"/>
    <cellStyle name="Hyperlink" xfId="1857" builtinId="8" hidden="1"/>
    <cellStyle name="Hyperlink" xfId="1859" builtinId="8" hidden="1"/>
    <cellStyle name="Hyperlink" xfId="1863" builtinId="8" hidden="1"/>
    <cellStyle name="Hyperlink" xfId="1865" builtinId="8" hidden="1"/>
    <cellStyle name="Hyperlink" xfId="1867" builtinId="8" hidden="1"/>
    <cellStyle name="Hyperlink" xfId="1869" builtinId="8" hidden="1"/>
    <cellStyle name="Hyperlink" xfId="1871" builtinId="8" hidden="1"/>
    <cellStyle name="Hyperlink" xfId="1873" builtinId="8" hidden="1"/>
    <cellStyle name="Hyperlink" xfId="1875" builtinId="8" hidden="1"/>
    <cellStyle name="Hyperlink" xfId="1877" builtinId="8" hidden="1"/>
    <cellStyle name="Hyperlink" xfId="1879" builtinId="8" hidden="1"/>
    <cellStyle name="Hyperlink" xfId="1881" builtinId="8" hidden="1"/>
    <cellStyle name="Hyperlink" xfId="1883" builtinId="8" hidden="1"/>
    <cellStyle name="Hyperlink" xfId="1885" builtinId="8" hidden="1"/>
    <cellStyle name="Hyperlink" xfId="1887" builtinId="8" hidden="1"/>
    <cellStyle name="Hyperlink" xfId="1889" builtinId="8" hidden="1"/>
    <cellStyle name="Hyperlink" xfId="1891" builtinId="8" hidden="1"/>
    <cellStyle name="Hyperlink" xfId="1893" builtinId="8" hidden="1"/>
    <cellStyle name="Hyperlink" xfId="1895" builtinId="8" hidden="1"/>
    <cellStyle name="Hyperlink" xfId="1897" builtinId="8" hidden="1"/>
    <cellStyle name="Hyperlink" xfId="1899" builtinId="8" hidden="1"/>
    <cellStyle name="Hyperlink" xfId="1901" builtinId="8" hidden="1"/>
    <cellStyle name="Hyperlink" xfId="1903" builtinId="8" hidden="1"/>
    <cellStyle name="Hyperlink" xfId="1905" builtinId="8" hidden="1"/>
    <cellStyle name="Hyperlink" xfId="1907" builtinId="8" hidden="1"/>
    <cellStyle name="Hyperlink" xfId="1909" builtinId="8" hidden="1"/>
    <cellStyle name="Hyperlink" xfId="1911" builtinId="8" hidden="1"/>
    <cellStyle name="Hyperlink" xfId="1913" builtinId="8" hidden="1"/>
    <cellStyle name="Hyperlink" xfId="1915" builtinId="8" hidden="1"/>
    <cellStyle name="Hyperlink" xfId="1917" builtinId="8" hidden="1"/>
    <cellStyle name="Hyperlink" xfId="1919" builtinId="8" hidden="1"/>
    <cellStyle name="Hyperlink" xfId="1921" builtinId="8" hidden="1"/>
    <cellStyle name="Hyperlink" xfId="1923" builtinId="8" hidden="1"/>
    <cellStyle name="Hyperlink" xfId="1925" builtinId="8" hidden="1"/>
    <cellStyle name="Hyperlink" xfId="1927" builtinId="8" hidden="1"/>
    <cellStyle name="Hyperlink" xfId="1929" builtinId="8" hidden="1"/>
    <cellStyle name="Hyperlink" xfId="1931" builtinId="8" hidden="1"/>
    <cellStyle name="Hyperlink" xfId="1933" builtinId="8" hidden="1"/>
    <cellStyle name="Hyperlink" xfId="1935" builtinId="8" hidden="1"/>
    <cellStyle name="Hyperlink" xfId="1937" builtinId="8" hidden="1"/>
    <cellStyle name="Hyperlink" xfId="1939" builtinId="8" hidden="1"/>
    <cellStyle name="Hyperlink" xfId="1941" builtinId="8" hidden="1"/>
    <cellStyle name="Hyperlink" xfId="1943" builtinId="8" hidden="1"/>
    <cellStyle name="Hyperlink" xfId="1945" builtinId="8" hidden="1"/>
    <cellStyle name="Hyperlink" xfId="1947" builtinId="8" hidden="1"/>
    <cellStyle name="Hyperlink" xfId="1949" builtinId="8" hidden="1"/>
    <cellStyle name="Hyperlink" xfId="1951" builtinId="8" hidden="1"/>
    <cellStyle name="Hyperlink" xfId="1953" builtinId="8" hidden="1"/>
    <cellStyle name="Hyperlink" xfId="1955" builtinId="8" hidden="1"/>
    <cellStyle name="Hyperlink" xfId="1957" builtinId="8" hidden="1"/>
    <cellStyle name="Hyperlink" xfId="1959" builtinId="8" hidden="1"/>
    <cellStyle name="Hyperlink" xfId="1961" builtinId="8" hidden="1"/>
    <cellStyle name="Hyperlink" xfId="1963" builtinId="8" hidden="1"/>
    <cellStyle name="Hyperlink" xfId="1965" builtinId="8" hidden="1"/>
    <cellStyle name="Hyperlink" xfId="1967" builtinId="8" hidden="1"/>
    <cellStyle name="Hyperlink" xfId="1969" builtinId="8" hidden="1"/>
    <cellStyle name="Hyperlink" xfId="1971" builtinId="8" hidden="1"/>
    <cellStyle name="Hyperlink" xfId="1973" builtinId="8" hidden="1"/>
    <cellStyle name="Hyperlink" xfId="1975" builtinId="8" hidden="1"/>
    <cellStyle name="Hyperlink" xfId="1977" builtinId="8" hidden="1"/>
    <cellStyle name="Hyperlink" xfId="1979" builtinId="8" hidden="1"/>
    <cellStyle name="Hyperlink" xfId="1981" builtinId="8" hidden="1"/>
    <cellStyle name="Hyperlink" xfId="1983" builtinId="8" hidden="1"/>
    <cellStyle name="Hyperlink" xfId="1985" builtinId="8" hidden="1"/>
    <cellStyle name="Hyperlink" xfId="1987" builtinId="8" hidden="1"/>
    <cellStyle name="Hyperlink" xfId="1989" builtinId="8" hidden="1"/>
    <cellStyle name="Hyperlink" xfId="1991" builtinId="8" hidden="1"/>
    <cellStyle name="Hyperlink" xfId="1993" builtinId="8" hidden="1"/>
    <cellStyle name="Hyperlink" xfId="1995" builtinId="8" hidden="1"/>
    <cellStyle name="Hyperlink" xfId="1997" builtinId="8" hidden="1"/>
    <cellStyle name="Hyperlink" xfId="1999" builtinId="8" hidden="1"/>
    <cellStyle name="Hyperlink" xfId="2001" builtinId="8" hidden="1"/>
    <cellStyle name="Hyperlink" xfId="2003" builtinId="8" hidden="1"/>
    <cellStyle name="Hyperlink" xfId="2005" builtinId="8" hidden="1"/>
    <cellStyle name="Hyperlink" xfId="2007" builtinId="8" hidden="1"/>
    <cellStyle name="Hyperlink" xfId="2009" builtinId="8" hidden="1"/>
    <cellStyle name="Hyperlink" xfId="2011" builtinId="8" hidden="1"/>
    <cellStyle name="Hyperlink" xfId="2013" builtinId="8" hidden="1"/>
    <cellStyle name="Hyperlink" xfId="2015" builtinId="8" hidden="1"/>
    <cellStyle name="Hyperlink" xfId="2017" builtinId="8" hidden="1"/>
    <cellStyle name="Hyperlink" xfId="2019" builtinId="8" hidden="1"/>
    <cellStyle name="Hyperlink" xfId="2021" builtinId="8" hidden="1"/>
    <cellStyle name="Hyperlink" xfId="2023" builtinId="8" hidden="1"/>
    <cellStyle name="Hyperlink" xfId="2025" builtinId="8" hidden="1"/>
    <cellStyle name="Hyperlink" xfId="2027" builtinId="8" hidden="1"/>
    <cellStyle name="Hyperlink" xfId="2029" builtinId="8" hidden="1"/>
    <cellStyle name="Hyperlink" xfId="2031" builtinId="8" hidden="1"/>
    <cellStyle name="Hyperlink" xfId="2033" builtinId="8" hidden="1"/>
    <cellStyle name="Hyperlink" xfId="2035" builtinId="8" hidden="1"/>
    <cellStyle name="Hyperlink" xfId="2037" builtinId="8" hidden="1"/>
    <cellStyle name="Hyperlink" xfId="2041" builtinId="8" hidden="1"/>
    <cellStyle name="Hyperlink" xfId="2043" builtinId="8" hidden="1"/>
    <cellStyle name="Hyperlink" xfId="2045" builtinId="8" hidden="1"/>
    <cellStyle name="Hyperlink" xfId="2047" builtinId="8" hidden="1"/>
    <cellStyle name="Hyperlink" xfId="2049" builtinId="8" hidden="1"/>
    <cellStyle name="Hyperlink" xfId="2051" builtinId="8" hidden="1"/>
    <cellStyle name="Hyperlink" xfId="2053" builtinId="8" hidden="1"/>
    <cellStyle name="Hyperlink" xfId="2055" builtinId="8" hidden="1"/>
    <cellStyle name="Hyperlink" xfId="2057" builtinId="8" hidden="1"/>
    <cellStyle name="Hyperlink" xfId="2059" builtinId="8" hidden="1"/>
    <cellStyle name="Hyperlink" xfId="2061" builtinId="8" hidden="1"/>
    <cellStyle name="Hyperlink" xfId="2063" builtinId="8" hidden="1"/>
    <cellStyle name="Hyperlink" xfId="2065" builtinId="8" hidden="1"/>
    <cellStyle name="Hyperlink" xfId="2067" builtinId="8" hidden="1"/>
    <cellStyle name="Hyperlink" xfId="2069" builtinId="8" hidden="1"/>
    <cellStyle name="Hyperlink" xfId="2071" builtinId="8" hidden="1"/>
    <cellStyle name="Hyperlink" xfId="2073" builtinId="8" hidden="1"/>
    <cellStyle name="Normal" xfId="0" builtinId="0"/>
  </cellStyles>
  <dxfs count="0"/>
  <tableStyles count="0" defaultTableStyle="TableStyleMedium9" defaultPivotStyle="PivotStyleMedium4"/>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20" Type="http://schemas.openxmlformats.org/officeDocument/2006/relationships/calcChain" Target="calcChain.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externalLink" Target="externalLinks/externalLink1.xml"/><Relationship Id="rId15" Type="http://schemas.openxmlformats.org/officeDocument/2006/relationships/externalLink" Target="externalLinks/externalLink2.xml"/><Relationship Id="rId16" Type="http://schemas.openxmlformats.org/officeDocument/2006/relationships/externalLink" Target="externalLinks/externalLink3.xml"/><Relationship Id="rId17" Type="http://schemas.openxmlformats.org/officeDocument/2006/relationships/theme" Target="theme/theme1.xml"/><Relationship Id="rId18" Type="http://schemas.openxmlformats.org/officeDocument/2006/relationships/styles" Target="styles.xml"/><Relationship Id="rId19" Type="http://schemas.openxmlformats.org/officeDocument/2006/relationships/sharedStrings" Target="sharedStrings.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manualLayout>
          <c:layoutTarget val="inner"/>
          <c:xMode val="edge"/>
          <c:yMode val="edge"/>
          <c:x val="0.0424427455923519"/>
          <c:y val="0.0367751060820368"/>
          <c:w val="0.913040581465778"/>
          <c:h val="0.891523015068661"/>
        </c:manualLayout>
      </c:layout>
      <c:scatterChart>
        <c:scatterStyle val="smoothMarker"/>
        <c:varyColors val="0"/>
        <c:ser>
          <c:idx val="0"/>
          <c:order val="0"/>
          <c:tx>
            <c:strRef>
              <c:f>Graphs!$J$3</c:f>
              <c:strCache>
                <c:ptCount val="1"/>
                <c:pt idx="0">
                  <c:v>0</c:v>
                </c:pt>
              </c:strCache>
            </c:strRef>
          </c:tx>
          <c:marker>
            <c:symbol val="none"/>
          </c:marker>
          <c:xVal>
            <c:strRef>
              <c:f>Graphs!$E$4:$E$18</c:f>
              <c:strCache>
                <c:ptCount val="15"/>
                <c:pt idx="0">
                  <c:v>0</c:v>
                </c:pt>
                <c:pt idx="1">
                  <c:v>0</c:v>
                </c:pt>
                <c:pt idx="2">
                  <c:v>0</c:v>
                </c:pt>
                <c:pt idx="4">
                  <c:v>9.80665</c:v>
                </c:pt>
                <c:pt idx="5">
                  <c:v>0</c:v>
                </c:pt>
                <c:pt idx="6">
                  <c:v>0</c:v>
                </c:pt>
                <c:pt idx="7">
                  <c:v>0</c:v>
                </c:pt>
                <c:pt idx="8">
                  <c:v>0</c:v>
                </c:pt>
                <c:pt idx="9">
                  <c:v>0</c:v>
                </c:pt>
                <c:pt idx="10">
                  <c:v>proportional distance from inhalent surface</c:v>
                </c:pt>
                <c:pt idx="11">
                  <c:v>0</c:v>
                </c:pt>
                <c:pt idx="12">
                  <c:v>6.4752E-05</c:v>
                </c:pt>
                <c:pt idx="13">
                  <c:v>0.01122129</c:v>
                </c:pt>
                <c:pt idx="14">
                  <c:v>0.392501251</c:v>
                </c:pt>
              </c:strCache>
            </c:strRef>
          </c:xVal>
          <c:yVal>
            <c:numRef>
              <c:f>Graphs!$J$4:$J$18</c:f>
              <c:numCache>
                <c:formatCode>General</c:formatCode>
                <c:ptCount val="15"/>
                <c:pt idx="0">
                  <c:v>0.0</c:v>
                </c:pt>
                <c:pt idx="1">
                  <c:v>0.0</c:v>
                </c:pt>
                <c:pt idx="2">
                  <c:v>0.0</c:v>
                </c:pt>
                <c:pt idx="3">
                  <c:v>0.0</c:v>
                </c:pt>
                <c:pt idx="4">
                  <c:v>5.882271783350026</c:v>
                </c:pt>
                <c:pt idx="5">
                  <c:v>0.0</c:v>
                </c:pt>
                <c:pt idx="6">
                  <c:v>0.0</c:v>
                </c:pt>
                <c:pt idx="7">
                  <c:v>0.0</c:v>
                </c:pt>
                <c:pt idx="8">
                  <c:v>0.0</c:v>
                </c:pt>
                <c:pt idx="9">
                  <c:v>0.0</c:v>
                </c:pt>
                <c:pt idx="10">
                  <c:v>0.0</c:v>
                </c:pt>
                <c:pt idx="11">
                  <c:v>0.000604796227321583</c:v>
                </c:pt>
                <c:pt idx="12">
                  <c:v>0.000103395508050465</c:v>
                </c:pt>
                <c:pt idx="13">
                  <c:v>0.000127962484491433</c:v>
                </c:pt>
                <c:pt idx="14">
                  <c:v>0.000282799543636555</c:v>
                </c:pt>
              </c:numCache>
            </c:numRef>
          </c:yVal>
          <c:smooth val="1"/>
        </c:ser>
        <c:dLbls>
          <c:showLegendKey val="0"/>
          <c:showVal val="0"/>
          <c:showCatName val="0"/>
          <c:showSerName val="0"/>
          <c:showPercent val="0"/>
          <c:showBubbleSize val="0"/>
        </c:dLbls>
        <c:axId val="1770871592"/>
        <c:axId val="1281185384"/>
      </c:scatterChart>
      <c:scatterChart>
        <c:scatterStyle val="smoothMarker"/>
        <c:varyColors val="0"/>
        <c:ser>
          <c:idx val="1"/>
          <c:order val="1"/>
          <c:tx>
            <c:strRef>
              <c:f>Graphs!$N$3</c:f>
              <c:strCache>
                <c:ptCount val="1"/>
                <c:pt idx="0">
                  <c:v>0</c:v>
                </c:pt>
              </c:strCache>
            </c:strRef>
          </c:tx>
          <c:marker>
            <c:symbol val="none"/>
          </c:marker>
          <c:xVal>
            <c:strRef>
              <c:f>Graphs!$E$4:$E$18</c:f>
              <c:strCache>
                <c:ptCount val="15"/>
                <c:pt idx="0">
                  <c:v>0</c:v>
                </c:pt>
                <c:pt idx="1">
                  <c:v>0</c:v>
                </c:pt>
                <c:pt idx="2">
                  <c:v>0</c:v>
                </c:pt>
                <c:pt idx="4">
                  <c:v>9.80665</c:v>
                </c:pt>
                <c:pt idx="5">
                  <c:v>0</c:v>
                </c:pt>
                <c:pt idx="6">
                  <c:v>0</c:v>
                </c:pt>
                <c:pt idx="7">
                  <c:v>0</c:v>
                </c:pt>
                <c:pt idx="8">
                  <c:v>0</c:v>
                </c:pt>
                <c:pt idx="9">
                  <c:v>0</c:v>
                </c:pt>
                <c:pt idx="10">
                  <c:v>proportional distance from inhalent surface</c:v>
                </c:pt>
                <c:pt idx="11">
                  <c:v>0</c:v>
                </c:pt>
                <c:pt idx="12">
                  <c:v>6.4752E-05</c:v>
                </c:pt>
                <c:pt idx="13">
                  <c:v>0.01122129</c:v>
                </c:pt>
                <c:pt idx="14">
                  <c:v>0.392501251</c:v>
                </c:pt>
              </c:strCache>
            </c:strRef>
          </c:xVal>
          <c:yVal>
            <c:numRef>
              <c:f>Graphs!$N$4:$N$18</c:f>
              <c:numCache>
                <c:formatCode>General</c:formatCode>
                <c:ptCount val="15"/>
                <c:pt idx="0">
                  <c:v>0.0</c:v>
                </c:pt>
                <c:pt idx="1">
                  <c:v>0.0</c:v>
                </c:pt>
                <c:pt idx="2">
                  <c:v>0.0</c:v>
                </c:pt>
                <c:pt idx="3">
                  <c:v>0.0</c:v>
                </c:pt>
                <c:pt idx="4">
                  <c:v>0.0</c:v>
                </c:pt>
                <c:pt idx="5">
                  <c:v>0.0</c:v>
                </c:pt>
                <c:pt idx="6">
                  <c:v>0.0</c:v>
                </c:pt>
                <c:pt idx="7">
                  <c:v>0.0</c:v>
                </c:pt>
                <c:pt idx="8">
                  <c:v>0.0</c:v>
                </c:pt>
                <c:pt idx="9">
                  <c:v>0.0</c:v>
                </c:pt>
                <c:pt idx="10">
                  <c:v>0.0</c:v>
                </c:pt>
                <c:pt idx="11">
                  <c:v>0.064179366137203</c:v>
                </c:pt>
                <c:pt idx="12">
                  <c:v>0.0326396960124784</c:v>
                </c:pt>
                <c:pt idx="13">
                  <c:v>0.00912848202782631</c:v>
                </c:pt>
                <c:pt idx="14">
                  <c:v>0.0150390932593592</c:v>
                </c:pt>
              </c:numCache>
            </c:numRef>
          </c:yVal>
          <c:smooth val="1"/>
        </c:ser>
        <c:dLbls>
          <c:showLegendKey val="0"/>
          <c:showVal val="0"/>
          <c:showCatName val="0"/>
          <c:showSerName val="0"/>
          <c:showPercent val="0"/>
          <c:showBubbleSize val="0"/>
        </c:dLbls>
        <c:axId val="1281174408"/>
        <c:axId val="1281177368"/>
      </c:scatterChart>
      <c:valAx>
        <c:axId val="1770871592"/>
        <c:scaling>
          <c:orientation val="minMax"/>
          <c:max val="1.0"/>
          <c:min val="0.0"/>
        </c:scaling>
        <c:delete val="0"/>
        <c:axPos val="b"/>
        <c:numFmt formatCode="General" sourceLinked="1"/>
        <c:majorTickMark val="out"/>
        <c:minorTickMark val="none"/>
        <c:tickLblPos val="nextTo"/>
        <c:crossAx val="1281185384"/>
        <c:crossesAt val="0.0"/>
        <c:crossBetween val="midCat"/>
      </c:valAx>
      <c:valAx>
        <c:axId val="1281185384"/>
        <c:scaling>
          <c:logBase val="10.0"/>
          <c:orientation val="minMax"/>
        </c:scaling>
        <c:delete val="0"/>
        <c:axPos val="l"/>
        <c:numFmt formatCode="General" sourceLinked="1"/>
        <c:majorTickMark val="out"/>
        <c:minorTickMark val="none"/>
        <c:tickLblPos val="nextTo"/>
        <c:crossAx val="1770871592"/>
        <c:crosses val="autoZero"/>
        <c:crossBetween val="midCat"/>
      </c:valAx>
      <c:valAx>
        <c:axId val="1281177368"/>
        <c:scaling>
          <c:orientation val="minMax"/>
        </c:scaling>
        <c:delete val="0"/>
        <c:axPos val="r"/>
        <c:numFmt formatCode="General" sourceLinked="1"/>
        <c:majorTickMark val="out"/>
        <c:minorTickMark val="none"/>
        <c:tickLblPos val="nextTo"/>
        <c:crossAx val="1281174408"/>
        <c:crosses val="max"/>
        <c:crossBetween val="midCat"/>
      </c:valAx>
      <c:valAx>
        <c:axId val="1281174408"/>
        <c:scaling>
          <c:orientation val="minMax"/>
        </c:scaling>
        <c:delete val="1"/>
        <c:axPos val="b"/>
        <c:numFmt formatCode="General" sourceLinked="1"/>
        <c:majorTickMark val="out"/>
        <c:minorTickMark val="none"/>
        <c:tickLblPos val="nextTo"/>
        <c:crossAx val="1281177368"/>
        <c:crosses val="autoZero"/>
        <c:crossBetween val="midCat"/>
      </c:valAx>
    </c:plotArea>
    <c:legend>
      <c:legendPos val="r"/>
      <c:layout>
        <c:manualLayout>
          <c:xMode val="edge"/>
          <c:yMode val="edge"/>
          <c:x val="0.220875800088399"/>
          <c:y val="0.075437303010391"/>
          <c:w val="0.321743742531144"/>
          <c:h val="0.113623272338482"/>
        </c:manualLayout>
      </c:layout>
      <c:overlay val="0"/>
    </c:legend>
    <c:plotVisOnly val="1"/>
    <c:dispBlanksAs val="gap"/>
    <c:showDLblsOverMax val="0"/>
  </c:chart>
  <c:printSettings>
    <c:headerFooter/>
    <c:pageMargins b="1.0" l="0.75" r="0.75" t="1.0" header="0.5" footer="0.5"/>
    <c:pageSetup/>
  </c:printSettings>
</c:chartSpace>
</file>

<file path=xl/drawings/_rels/drawing1.xml.rels><?xml version="1.0" encoding="UTF-8" standalone="yes"?>
<Relationships xmlns="http://schemas.openxmlformats.org/package/2006/relationships"><Relationship Id="rId3" Type="http://schemas.openxmlformats.org/officeDocument/2006/relationships/image" Target="../media/image3.tif"/><Relationship Id="rId4" Type="http://schemas.openxmlformats.org/officeDocument/2006/relationships/image" Target="../media/image4.jpg"/><Relationship Id="rId5" Type="http://schemas.openxmlformats.org/officeDocument/2006/relationships/image" Target="../media/image5.tif"/><Relationship Id="rId1" Type="http://schemas.openxmlformats.org/officeDocument/2006/relationships/image" Target="../media/image1.tif"/><Relationship Id="rId2" Type="http://schemas.openxmlformats.org/officeDocument/2006/relationships/image" Target="../media/image2.tif"/></Relationships>
</file>

<file path=xl/drawings/_rels/drawing2.xml.rels><?xml version="1.0" encoding="UTF-8" standalone="yes"?>
<Relationships xmlns="http://schemas.openxmlformats.org/package/2006/relationships"><Relationship Id="rId1" Type="http://schemas.openxmlformats.org/officeDocument/2006/relationships/image" Target="../media/image6.tif"/></Relationships>
</file>

<file path=xl/drawings/_rels/drawing3.xml.rels><?xml version="1.0" encoding="UTF-8" standalone="yes"?>
<Relationships xmlns="http://schemas.openxmlformats.org/package/2006/relationships"><Relationship Id="rId3" Type="http://schemas.openxmlformats.org/officeDocument/2006/relationships/image" Target="../media/image9.tif"/><Relationship Id="rId4" Type="http://schemas.openxmlformats.org/officeDocument/2006/relationships/image" Target="../media/image10.jpg"/><Relationship Id="rId5" Type="http://schemas.openxmlformats.org/officeDocument/2006/relationships/image" Target="../media/image11.png"/><Relationship Id="rId6" Type="http://schemas.openxmlformats.org/officeDocument/2006/relationships/image" Target="../media/image12.png"/><Relationship Id="rId7" Type="http://schemas.openxmlformats.org/officeDocument/2006/relationships/image" Target="../media/image13.png"/><Relationship Id="rId8" Type="http://schemas.openxmlformats.org/officeDocument/2006/relationships/image" Target="../media/image14.tif"/><Relationship Id="rId9" Type="http://schemas.openxmlformats.org/officeDocument/2006/relationships/image" Target="../media/image15.tif"/><Relationship Id="rId10" Type="http://schemas.openxmlformats.org/officeDocument/2006/relationships/image" Target="../media/image16.tif"/><Relationship Id="rId1" Type="http://schemas.openxmlformats.org/officeDocument/2006/relationships/image" Target="../media/image7.jpg"/><Relationship Id="rId2" Type="http://schemas.openxmlformats.org/officeDocument/2006/relationships/image" Target="../media/image8.tif"/></Relationships>
</file>

<file path=xl/drawings/_rels/drawing4.xml.rels><?xml version="1.0" encoding="UTF-8" standalone="yes"?>
<Relationships xmlns="http://schemas.openxmlformats.org/package/2006/relationships"><Relationship Id="rId3" Type="http://schemas.openxmlformats.org/officeDocument/2006/relationships/image" Target="../media/image19.tif"/><Relationship Id="rId4" Type="http://schemas.openxmlformats.org/officeDocument/2006/relationships/image" Target="../media/image20.png"/><Relationship Id="rId5" Type="http://schemas.openxmlformats.org/officeDocument/2006/relationships/image" Target="../media/image21.png"/><Relationship Id="rId6" Type="http://schemas.openxmlformats.org/officeDocument/2006/relationships/image" Target="../media/image22.png"/><Relationship Id="rId7" Type="http://schemas.openxmlformats.org/officeDocument/2006/relationships/image" Target="../media/image23.tif"/><Relationship Id="rId1" Type="http://schemas.openxmlformats.org/officeDocument/2006/relationships/image" Target="../media/image17.tif"/><Relationship Id="rId2" Type="http://schemas.openxmlformats.org/officeDocument/2006/relationships/image" Target="../media/image18.tif"/></Relationships>
</file>

<file path=xl/drawings/_rels/drawing5.xml.rels><?xml version="1.0" encoding="UTF-8" standalone="yes"?>
<Relationships xmlns="http://schemas.openxmlformats.org/package/2006/relationships"><Relationship Id="rId3" Type="http://schemas.openxmlformats.org/officeDocument/2006/relationships/image" Target="../media/image26.tif"/><Relationship Id="rId4" Type="http://schemas.openxmlformats.org/officeDocument/2006/relationships/image" Target="../media/image27.tif"/><Relationship Id="rId5" Type="http://schemas.openxmlformats.org/officeDocument/2006/relationships/image" Target="../media/image28.tif"/><Relationship Id="rId6" Type="http://schemas.openxmlformats.org/officeDocument/2006/relationships/image" Target="../media/image29.tif"/><Relationship Id="rId7" Type="http://schemas.openxmlformats.org/officeDocument/2006/relationships/image" Target="../media/image23.tif"/><Relationship Id="rId8" Type="http://schemas.openxmlformats.org/officeDocument/2006/relationships/image" Target="../media/image30.tif"/><Relationship Id="rId9" Type="http://schemas.openxmlformats.org/officeDocument/2006/relationships/image" Target="../media/image31.tif"/><Relationship Id="rId10" Type="http://schemas.openxmlformats.org/officeDocument/2006/relationships/image" Target="../media/image32.tif"/><Relationship Id="rId11" Type="http://schemas.openxmlformats.org/officeDocument/2006/relationships/image" Target="../media/image33.tif"/><Relationship Id="rId1" Type="http://schemas.openxmlformats.org/officeDocument/2006/relationships/image" Target="../media/image24.tif"/><Relationship Id="rId2" Type="http://schemas.openxmlformats.org/officeDocument/2006/relationships/image" Target="../media/image25.tif"/></Relationships>
</file>

<file path=xl/drawings/_rels/drawing6.xml.rels><?xml version="1.0" encoding="UTF-8" standalone="yes"?>
<Relationships xmlns="http://schemas.openxmlformats.org/package/2006/relationships"><Relationship Id="rId1" Type="http://schemas.openxmlformats.org/officeDocument/2006/relationships/image" Target="../media/image34.png"/><Relationship Id="rId2" Type="http://schemas.openxmlformats.org/officeDocument/2006/relationships/image" Target="../media/image35.png"/><Relationship Id="rId3" Type="http://schemas.openxmlformats.org/officeDocument/2006/relationships/image" Target="../media/image36.png"/></Relationships>
</file>

<file path=xl/drawings/_rels/drawing7.xml.rels><?xml version="1.0" encoding="UTF-8" standalone="yes"?>
<Relationships xmlns="http://schemas.openxmlformats.org/package/2006/relationships"><Relationship Id="rId3" Type="http://schemas.openxmlformats.org/officeDocument/2006/relationships/image" Target="../media/image39.png"/><Relationship Id="rId4" Type="http://schemas.openxmlformats.org/officeDocument/2006/relationships/image" Target="../media/image40.png"/><Relationship Id="rId1" Type="http://schemas.openxmlformats.org/officeDocument/2006/relationships/image" Target="../media/image37.png"/><Relationship Id="rId2" Type="http://schemas.openxmlformats.org/officeDocument/2006/relationships/image" Target="../media/image38.png"/></Relationships>
</file>

<file path=xl/drawings/_rels/drawing8.xml.rels><?xml version="1.0" encoding="UTF-8" standalone="yes"?>
<Relationships xmlns="http://schemas.openxmlformats.org/package/2006/relationships"><Relationship Id="rId3" Type="http://schemas.openxmlformats.org/officeDocument/2006/relationships/image" Target="../media/image42.png"/><Relationship Id="rId4" Type="http://schemas.openxmlformats.org/officeDocument/2006/relationships/image" Target="../media/image43.png"/><Relationship Id="rId5" Type="http://schemas.openxmlformats.org/officeDocument/2006/relationships/image" Target="../media/image44.png"/><Relationship Id="rId6" Type="http://schemas.openxmlformats.org/officeDocument/2006/relationships/image" Target="../media/image45.png"/><Relationship Id="rId7" Type="http://schemas.openxmlformats.org/officeDocument/2006/relationships/image" Target="../media/image46.tif"/><Relationship Id="rId8" Type="http://schemas.openxmlformats.org/officeDocument/2006/relationships/image" Target="../media/image47.tif"/><Relationship Id="rId1" Type="http://schemas.openxmlformats.org/officeDocument/2006/relationships/image" Target="../media/image34.png"/><Relationship Id="rId2" Type="http://schemas.openxmlformats.org/officeDocument/2006/relationships/image" Target="../media/image4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0.JPG"/><Relationship Id="rId4" Type="http://schemas.openxmlformats.org/officeDocument/2006/relationships/image" Target="../media/image51.JPG"/><Relationship Id="rId1" Type="http://schemas.openxmlformats.org/officeDocument/2006/relationships/image" Target="../media/image48.jpg"/><Relationship Id="rId2" Type="http://schemas.openxmlformats.org/officeDocument/2006/relationships/image" Target="../media/image49.jpg"/></Relationships>
</file>

<file path=xl/drawings/_rels/drawing10.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9</xdr:col>
      <xdr:colOff>149224</xdr:colOff>
      <xdr:row>23</xdr:row>
      <xdr:rowOff>88900</xdr:rowOff>
    </xdr:from>
    <xdr:to>
      <xdr:col>12</xdr:col>
      <xdr:colOff>482599</xdr:colOff>
      <xdr:row>40</xdr:row>
      <xdr:rowOff>165100</xdr:rowOff>
    </xdr:to>
    <xdr:pic>
      <xdr:nvPicPr>
        <xdr:cNvPr id="3" name="Picture 2" descr="Np1-osc1-01-ostia counts.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985124" y="4521200"/>
          <a:ext cx="4143375" cy="3314700"/>
        </a:xfrm>
        <a:prstGeom prst="rect">
          <a:avLst/>
        </a:prstGeom>
      </xdr:spPr>
    </xdr:pic>
    <xdr:clientData/>
  </xdr:twoCellAnchor>
  <xdr:twoCellAnchor editAs="oneCell">
    <xdr:from>
      <xdr:col>9</xdr:col>
      <xdr:colOff>165099</xdr:colOff>
      <xdr:row>41</xdr:row>
      <xdr:rowOff>154940</xdr:rowOff>
    </xdr:from>
    <xdr:to>
      <xdr:col>12</xdr:col>
      <xdr:colOff>463549</xdr:colOff>
      <xdr:row>59</xdr:row>
      <xdr:rowOff>12700</xdr:rowOff>
    </xdr:to>
    <xdr:pic>
      <xdr:nvPicPr>
        <xdr:cNvPr id="2" name="Picture 1" descr="Np1-osc1-02.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791699" y="8003540"/>
          <a:ext cx="4108450" cy="3286760"/>
        </a:xfrm>
        <a:prstGeom prst="rect">
          <a:avLst/>
        </a:prstGeom>
      </xdr:spPr>
    </xdr:pic>
    <xdr:clientData/>
  </xdr:twoCellAnchor>
  <xdr:twoCellAnchor editAs="oneCell">
    <xdr:from>
      <xdr:col>9</xdr:col>
      <xdr:colOff>215900</xdr:colOff>
      <xdr:row>91</xdr:row>
      <xdr:rowOff>177800</xdr:rowOff>
    </xdr:from>
    <xdr:to>
      <xdr:col>12</xdr:col>
      <xdr:colOff>508000</xdr:colOff>
      <xdr:row>109</xdr:row>
      <xdr:rowOff>30480</xdr:rowOff>
    </xdr:to>
    <xdr:pic>
      <xdr:nvPicPr>
        <xdr:cNvPr id="4" name="Picture 3" descr="Np1-osc3-02.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842500" y="17551400"/>
          <a:ext cx="4102100" cy="3281680"/>
        </a:xfrm>
        <a:prstGeom prst="rect">
          <a:avLst/>
        </a:prstGeom>
      </xdr:spPr>
    </xdr:pic>
    <xdr:clientData/>
  </xdr:twoCellAnchor>
  <xdr:twoCellAnchor editAs="oneCell">
    <xdr:from>
      <xdr:col>9</xdr:col>
      <xdr:colOff>190500</xdr:colOff>
      <xdr:row>73</xdr:row>
      <xdr:rowOff>30480</xdr:rowOff>
    </xdr:from>
    <xdr:to>
      <xdr:col>12</xdr:col>
      <xdr:colOff>457200</xdr:colOff>
      <xdr:row>90</xdr:row>
      <xdr:rowOff>53340</xdr:rowOff>
    </xdr:to>
    <xdr:pic>
      <xdr:nvPicPr>
        <xdr:cNvPr id="6" name="Picture 5" descr="Np1-osc3-01-counts.jp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817100" y="13975080"/>
          <a:ext cx="4076700" cy="3261360"/>
        </a:xfrm>
        <a:prstGeom prst="rect">
          <a:avLst/>
        </a:prstGeom>
      </xdr:spPr>
    </xdr:pic>
    <xdr:clientData/>
  </xdr:twoCellAnchor>
  <xdr:twoCellAnchor editAs="oneCell">
    <xdr:from>
      <xdr:col>9</xdr:col>
      <xdr:colOff>355601</xdr:colOff>
      <xdr:row>118</xdr:row>
      <xdr:rowOff>20321</xdr:rowOff>
    </xdr:from>
    <xdr:to>
      <xdr:col>13</xdr:col>
      <xdr:colOff>317501</xdr:colOff>
      <xdr:row>137</xdr:row>
      <xdr:rowOff>88901</xdr:rowOff>
    </xdr:to>
    <xdr:pic>
      <xdr:nvPicPr>
        <xdr:cNvPr id="7" name="Picture 6" descr="Np1-osc5-0511.26.12.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982201" y="22537421"/>
          <a:ext cx="4610100" cy="3688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13</xdr:col>
      <xdr:colOff>139700</xdr:colOff>
      <xdr:row>9</xdr:row>
      <xdr:rowOff>109220</xdr:rowOff>
    </xdr:from>
    <xdr:to>
      <xdr:col>16</xdr:col>
      <xdr:colOff>698500</xdr:colOff>
      <xdr:row>16</xdr:row>
      <xdr:rowOff>419100</xdr:rowOff>
    </xdr:to>
    <xdr:pic>
      <xdr:nvPicPr>
        <xdr:cNvPr id="2" name="Picture 1" descr="Np-cast1-05.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42800" y="2204720"/>
          <a:ext cx="3035300" cy="24942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47625</xdr:colOff>
      <xdr:row>36</xdr:row>
      <xdr:rowOff>12700</xdr:rowOff>
    </xdr:from>
    <xdr:to>
      <xdr:col>16</xdr:col>
      <xdr:colOff>190501</xdr:colOff>
      <xdr:row>47</xdr:row>
      <xdr:rowOff>43181</xdr:rowOff>
    </xdr:to>
    <xdr:pic>
      <xdr:nvPicPr>
        <xdr:cNvPr id="2" name="Picture 1" descr="Np1-cor1-12-counts.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839825" y="5372100"/>
          <a:ext cx="2657476" cy="2125981"/>
        </a:xfrm>
        <a:prstGeom prst="rect">
          <a:avLst/>
        </a:prstGeom>
      </xdr:spPr>
    </xdr:pic>
    <xdr:clientData/>
  </xdr:twoCellAnchor>
  <xdr:twoCellAnchor editAs="oneCell">
    <xdr:from>
      <xdr:col>12</xdr:col>
      <xdr:colOff>660399</xdr:colOff>
      <xdr:row>138</xdr:row>
      <xdr:rowOff>50800</xdr:rowOff>
    </xdr:from>
    <xdr:to>
      <xdr:col>15</xdr:col>
      <xdr:colOff>736600</xdr:colOff>
      <xdr:row>149</xdr:row>
      <xdr:rowOff>54649</xdr:rowOff>
    </xdr:to>
    <xdr:pic>
      <xdr:nvPicPr>
        <xdr:cNvPr id="3" name="Picture 2" descr="Np1-cor5-0511.26.12-threshold.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614399" y="27127200"/>
          <a:ext cx="2590801" cy="2289849"/>
        </a:xfrm>
        <a:prstGeom prst="rect">
          <a:avLst/>
        </a:prstGeom>
      </xdr:spPr>
    </xdr:pic>
    <xdr:clientData/>
  </xdr:twoCellAnchor>
  <xdr:twoCellAnchor editAs="oneCell">
    <xdr:from>
      <xdr:col>16</xdr:col>
      <xdr:colOff>219529</xdr:colOff>
      <xdr:row>138</xdr:row>
      <xdr:rowOff>52147</xdr:rowOff>
    </xdr:from>
    <xdr:to>
      <xdr:col>19</xdr:col>
      <xdr:colOff>218005</xdr:colOff>
      <xdr:row>148</xdr:row>
      <xdr:rowOff>368300</xdr:rowOff>
    </xdr:to>
    <xdr:pic>
      <xdr:nvPicPr>
        <xdr:cNvPr id="5" name="Picture 4" descr="Drawing of Np1-cor5-0511.26.12.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526329" y="27128547"/>
          <a:ext cx="2513076" cy="2221153"/>
        </a:xfrm>
        <a:prstGeom prst="rect">
          <a:avLst/>
        </a:prstGeom>
      </xdr:spPr>
    </xdr:pic>
    <xdr:clientData/>
  </xdr:twoCellAnchor>
  <xdr:twoCellAnchor editAs="oneCell">
    <xdr:from>
      <xdr:col>12</xdr:col>
      <xdr:colOff>495300</xdr:colOff>
      <xdr:row>111</xdr:row>
      <xdr:rowOff>40640</xdr:rowOff>
    </xdr:from>
    <xdr:to>
      <xdr:col>17</xdr:col>
      <xdr:colOff>330200</xdr:colOff>
      <xdr:row>128</xdr:row>
      <xdr:rowOff>22860</xdr:rowOff>
    </xdr:to>
    <xdr:pic>
      <xdr:nvPicPr>
        <xdr:cNvPr id="6" name="Picture 5" descr="Np1-cor5-05-canal system.jp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449300" y="22735540"/>
          <a:ext cx="4025900" cy="3220720"/>
        </a:xfrm>
        <a:prstGeom prst="rect">
          <a:avLst/>
        </a:prstGeom>
      </xdr:spPr>
    </xdr:pic>
    <xdr:clientData/>
  </xdr:twoCellAnchor>
  <xdr:twoCellAnchor editAs="oneCell">
    <xdr:from>
      <xdr:col>12</xdr:col>
      <xdr:colOff>520700</xdr:colOff>
      <xdr:row>184</xdr:row>
      <xdr:rowOff>96642</xdr:rowOff>
    </xdr:from>
    <xdr:to>
      <xdr:col>16</xdr:col>
      <xdr:colOff>521042</xdr:colOff>
      <xdr:row>197</xdr:row>
      <xdr:rowOff>111401</xdr:rowOff>
    </xdr:to>
    <xdr:pic>
      <xdr:nvPicPr>
        <xdr:cNvPr id="4" name="Picture 3" descr="Neo-RR-cho-C-07-Labels.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74700" y="35377242"/>
          <a:ext cx="3353142" cy="2681759"/>
        </a:xfrm>
        <a:prstGeom prst="rect">
          <a:avLst/>
        </a:prstGeom>
      </xdr:spPr>
    </xdr:pic>
    <xdr:clientData/>
  </xdr:twoCellAnchor>
  <xdr:twoCellAnchor editAs="oneCell">
    <xdr:from>
      <xdr:col>12</xdr:col>
      <xdr:colOff>482601</xdr:colOff>
      <xdr:row>198</xdr:row>
      <xdr:rowOff>88900</xdr:rowOff>
    </xdr:from>
    <xdr:to>
      <xdr:col>16</xdr:col>
      <xdr:colOff>558800</xdr:colOff>
      <xdr:row>211</xdr:row>
      <xdr:rowOff>164328</xdr:rowOff>
    </xdr:to>
    <xdr:pic>
      <xdr:nvPicPr>
        <xdr:cNvPr id="8" name="Picture 7" descr="Neo-RR-cho-C-02-labels.pn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3436601" y="38417500"/>
          <a:ext cx="3428999" cy="2742428"/>
        </a:xfrm>
        <a:prstGeom prst="rect">
          <a:avLst/>
        </a:prstGeom>
      </xdr:spPr>
    </xdr:pic>
    <xdr:clientData/>
  </xdr:twoCellAnchor>
  <xdr:twoCellAnchor editAs="oneCell">
    <xdr:from>
      <xdr:col>12</xdr:col>
      <xdr:colOff>571500</xdr:colOff>
      <xdr:row>218</xdr:row>
      <xdr:rowOff>167356</xdr:rowOff>
    </xdr:from>
    <xdr:to>
      <xdr:col>17</xdr:col>
      <xdr:colOff>89849</xdr:colOff>
      <xdr:row>233</xdr:row>
      <xdr:rowOff>86001</xdr:rowOff>
    </xdr:to>
    <xdr:pic>
      <xdr:nvPicPr>
        <xdr:cNvPr id="11" name="Picture 10" descr="Neo-RR-cho-C-10-labels.png"/>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525500" y="42699656"/>
          <a:ext cx="3709349" cy="2966645"/>
        </a:xfrm>
        <a:prstGeom prst="rect">
          <a:avLst/>
        </a:prstGeom>
      </xdr:spPr>
    </xdr:pic>
    <xdr:clientData/>
  </xdr:twoCellAnchor>
  <xdr:twoCellAnchor editAs="oneCell">
    <xdr:from>
      <xdr:col>12</xdr:col>
      <xdr:colOff>812800</xdr:colOff>
      <xdr:row>241</xdr:row>
      <xdr:rowOff>154940</xdr:rowOff>
    </xdr:from>
    <xdr:to>
      <xdr:col>16</xdr:col>
      <xdr:colOff>647699</xdr:colOff>
      <xdr:row>254</xdr:row>
      <xdr:rowOff>38099</xdr:rowOff>
    </xdr:to>
    <xdr:pic>
      <xdr:nvPicPr>
        <xdr:cNvPr id="12" name="Picture 11" descr="Np-cast1-01.tif"/>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3766800" y="47614840"/>
          <a:ext cx="3187699" cy="2550159"/>
        </a:xfrm>
        <a:prstGeom prst="rect">
          <a:avLst/>
        </a:prstGeom>
      </xdr:spPr>
    </xdr:pic>
    <xdr:clientData/>
  </xdr:twoCellAnchor>
  <xdr:twoCellAnchor editAs="oneCell">
    <xdr:from>
      <xdr:col>13</xdr:col>
      <xdr:colOff>50800</xdr:colOff>
      <xdr:row>56</xdr:row>
      <xdr:rowOff>157480</xdr:rowOff>
    </xdr:from>
    <xdr:to>
      <xdr:col>19</xdr:col>
      <xdr:colOff>63500</xdr:colOff>
      <xdr:row>77</xdr:row>
      <xdr:rowOff>0</xdr:rowOff>
    </xdr:to>
    <xdr:pic>
      <xdr:nvPicPr>
        <xdr:cNvPr id="13" name="Picture 12" descr="Np-cast2-20.tif"/>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843000" y="11231880"/>
          <a:ext cx="5041900" cy="4033520"/>
        </a:xfrm>
        <a:prstGeom prst="rect">
          <a:avLst/>
        </a:prstGeom>
      </xdr:spPr>
    </xdr:pic>
    <xdr:clientData/>
  </xdr:twoCellAnchor>
  <xdr:twoCellAnchor editAs="oneCell">
    <xdr:from>
      <xdr:col>12</xdr:col>
      <xdr:colOff>546100</xdr:colOff>
      <xdr:row>152</xdr:row>
      <xdr:rowOff>30480</xdr:rowOff>
    </xdr:from>
    <xdr:to>
      <xdr:col>17</xdr:col>
      <xdr:colOff>635000</xdr:colOff>
      <xdr:row>170</xdr:row>
      <xdr:rowOff>25400</xdr:rowOff>
    </xdr:to>
    <xdr:pic>
      <xdr:nvPicPr>
        <xdr:cNvPr id="14" name="Picture 13" descr="Np-cast3-14.tif"/>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3500100" y="29964380"/>
          <a:ext cx="4279900" cy="34239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444500</xdr:colOff>
      <xdr:row>41</xdr:row>
      <xdr:rowOff>15240</xdr:rowOff>
    </xdr:from>
    <xdr:to>
      <xdr:col>6</xdr:col>
      <xdr:colOff>1314404</xdr:colOff>
      <xdr:row>48</xdr:row>
      <xdr:rowOff>48223</xdr:rowOff>
    </xdr:to>
    <xdr:pic>
      <xdr:nvPicPr>
        <xdr:cNvPr id="3" name="Picture 2" descr="Np1-osc1-19.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310100" y="21833840"/>
          <a:ext cx="1708104" cy="1366483"/>
        </a:xfrm>
        <a:prstGeom prst="rect">
          <a:avLst/>
        </a:prstGeom>
      </xdr:spPr>
    </xdr:pic>
    <xdr:clientData/>
  </xdr:twoCellAnchor>
  <xdr:twoCellAnchor editAs="oneCell">
    <xdr:from>
      <xdr:col>5</xdr:col>
      <xdr:colOff>444499</xdr:colOff>
      <xdr:row>49</xdr:row>
      <xdr:rowOff>91440</xdr:rowOff>
    </xdr:from>
    <xdr:to>
      <xdr:col>6</xdr:col>
      <xdr:colOff>1308100</xdr:colOff>
      <xdr:row>56</xdr:row>
      <xdr:rowOff>119381</xdr:rowOff>
    </xdr:to>
    <xdr:pic>
      <xdr:nvPicPr>
        <xdr:cNvPr id="5" name="Picture 4" descr="Np1-osc2-2111.26.12.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310099" y="23434040"/>
          <a:ext cx="1701801" cy="1361441"/>
        </a:xfrm>
        <a:prstGeom prst="rect">
          <a:avLst/>
        </a:prstGeom>
      </xdr:spPr>
    </xdr:pic>
    <xdr:clientData/>
  </xdr:twoCellAnchor>
  <xdr:twoCellAnchor editAs="oneCell">
    <xdr:from>
      <xdr:col>7</xdr:col>
      <xdr:colOff>393700</xdr:colOff>
      <xdr:row>0</xdr:row>
      <xdr:rowOff>0</xdr:rowOff>
    </xdr:from>
    <xdr:to>
      <xdr:col>9</xdr:col>
      <xdr:colOff>527050</xdr:colOff>
      <xdr:row>13</xdr:row>
      <xdr:rowOff>63500</xdr:rowOff>
    </xdr:to>
    <xdr:pic>
      <xdr:nvPicPr>
        <xdr:cNvPr id="10" name="Picture 9" descr="Np1-osc2-1411.26.12.tif"/>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7989" t="33981" b="-3328"/>
        <a:stretch/>
      </xdr:blipFill>
      <xdr:spPr>
        <a:xfrm>
          <a:off x="7670800" y="0"/>
          <a:ext cx="2381250" cy="2540000"/>
        </a:xfrm>
        <a:prstGeom prst="rect">
          <a:avLst/>
        </a:prstGeom>
      </xdr:spPr>
    </xdr:pic>
    <xdr:clientData/>
  </xdr:twoCellAnchor>
  <xdr:twoCellAnchor editAs="oneCell">
    <xdr:from>
      <xdr:col>13</xdr:col>
      <xdr:colOff>508000</xdr:colOff>
      <xdr:row>0</xdr:row>
      <xdr:rowOff>0</xdr:rowOff>
    </xdr:from>
    <xdr:to>
      <xdr:col>18</xdr:col>
      <xdr:colOff>537617</xdr:colOff>
      <xdr:row>14</xdr:row>
      <xdr:rowOff>266700</xdr:rowOff>
    </xdr:to>
    <xdr:pic>
      <xdr:nvPicPr>
        <xdr:cNvPr id="17" name="Picture 16" descr="prosopyle schematic.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20800" y="0"/>
          <a:ext cx="4220617" cy="2933700"/>
        </a:xfrm>
        <a:prstGeom prst="rect">
          <a:avLst/>
        </a:prstGeom>
      </xdr:spPr>
    </xdr:pic>
    <xdr:clientData/>
  </xdr:twoCellAnchor>
  <xdr:twoCellAnchor editAs="oneCell">
    <xdr:from>
      <xdr:col>5</xdr:col>
      <xdr:colOff>410294</xdr:colOff>
      <xdr:row>33</xdr:row>
      <xdr:rowOff>25401</xdr:rowOff>
    </xdr:from>
    <xdr:to>
      <xdr:col>6</xdr:col>
      <xdr:colOff>1265659</xdr:colOff>
      <xdr:row>40</xdr:row>
      <xdr:rowOff>44344</xdr:rowOff>
    </xdr:to>
    <xdr:pic>
      <xdr:nvPicPr>
        <xdr:cNvPr id="18" name="Picture 17" descr="Np1-osc2-1411.26.12-Labels.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275894" y="20320001"/>
          <a:ext cx="1693565" cy="1352443"/>
        </a:xfrm>
        <a:prstGeom prst="rect">
          <a:avLst/>
        </a:prstGeom>
      </xdr:spPr>
    </xdr:pic>
    <xdr:clientData/>
  </xdr:twoCellAnchor>
  <xdr:twoCellAnchor editAs="oneCell">
    <xdr:from>
      <xdr:col>5</xdr:col>
      <xdr:colOff>381000</xdr:colOff>
      <xdr:row>58</xdr:row>
      <xdr:rowOff>101600</xdr:rowOff>
    </xdr:from>
    <xdr:to>
      <xdr:col>8</xdr:col>
      <xdr:colOff>703518</xdr:colOff>
      <xdr:row>73</xdr:row>
      <xdr:rowOff>153054</xdr:rowOff>
    </xdr:to>
    <xdr:pic>
      <xdr:nvPicPr>
        <xdr:cNvPr id="19" name="Picture 18" descr="Neo-RR-cho-D-03.pn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13400" y="13157200"/>
          <a:ext cx="3637218" cy="2908954"/>
        </a:xfrm>
        <a:prstGeom prst="rect">
          <a:avLst/>
        </a:prstGeom>
      </xdr:spPr>
    </xdr:pic>
    <xdr:clientData/>
  </xdr:twoCellAnchor>
  <xdr:twoCellAnchor editAs="oneCell">
    <xdr:from>
      <xdr:col>9</xdr:col>
      <xdr:colOff>635000</xdr:colOff>
      <xdr:row>0</xdr:row>
      <xdr:rowOff>63500</xdr:rowOff>
    </xdr:from>
    <xdr:to>
      <xdr:col>12</xdr:col>
      <xdr:colOff>612775</xdr:colOff>
      <xdr:row>12</xdr:row>
      <xdr:rowOff>127000</xdr:rowOff>
    </xdr:to>
    <xdr:pic>
      <xdr:nvPicPr>
        <xdr:cNvPr id="11" name="Picture 10" descr="Np1-osc2-2111.26.12.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350500" y="63500"/>
          <a:ext cx="2936875" cy="2349500"/>
        </a:xfrm>
        <a:prstGeom prst="rect">
          <a:avLst/>
        </a:prstGeom>
      </xdr:spPr>
    </xdr:pic>
    <xdr:clientData/>
  </xdr:twoCellAnchor>
  <xdr:twoCellAnchor editAs="oneCell">
    <xdr:from>
      <xdr:col>7</xdr:col>
      <xdr:colOff>355600</xdr:colOff>
      <xdr:row>75</xdr:row>
      <xdr:rowOff>116841</xdr:rowOff>
    </xdr:from>
    <xdr:to>
      <xdr:col>10</xdr:col>
      <xdr:colOff>520700</xdr:colOff>
      <xdr:row>89</xdr:row>
      <xdr:rowOff>1</xdr:rowOff>
    </xdr:to>
    <xdr:pic>
      <xdr:nvPicPr>
        <xdr:cNvPr id="2" name="Picture 1" descr="Np1-cor1-11.tif"/>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7823200" y="16410941"/>
          <a:ext cx="3695700" cy="295656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698500</xdr:colOff>
      <xdr:row>0</xdr:row>
      <xdr:rowOff>162560</xdr:rowOff>
    </xdr:from>
    <xdr:to>
      <xdr:col>10</xdr:col>
      <xdr:colOff>825500</xdr:colOff>
      <xdr:row>10</xdr:row>
      <xdr:rowOff>76200</xdr:rowOff>
    </xdr:to>
    <xdr:pic>
      <xdr:nvPicPr>
        <xdr:cNvPr id="2" name="Picture 1" descr="Np1-cor5-0811.26.12.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791700" y="162560"/>
          <a:ext cx="2273300" cy="1818640"/>
        </a:xfrm>
        <a:prstGeom prst="rect">
          <a:avLst/>
        </a:prstGeom>
      </xdr:spPr>
    </xdr:pic>
    <xdr:clientData/>
  </xdr:twoCellAnchor>
  <xdr:twoCellAnchor editAs="oneCell">
    <xdr:from>
      <xdr:col>14</xdr:col>
      <xdr:colOff>111125</xdr:colOff>
      <xdr:row>18</xdr:row>
      <xdr:rowOff>177801</xdr:rowOff>
    </xdr:from>
    <xdr:to>
      <xdr:col>15</xdr:col>
      <xdr:colOff>431800</xdr:colOff>
      <xdr:row>22</xdr:row>
      <xdr:rowOff>205741</xdr:rowOff>
    </xdr:to>
    <xdr:pic>
      <xdr:nvPicPr>
        <xdr:cNvPr id="3" name="Picture 2" descr="Neo-RR-cho-C-18.tif"/>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922625" y="3822701"/>
          <a:ext cx="1463675" cy="1170940"/>
        </a:xfrm>
        <a:prstGeom prst="rect">
          <a:avLst/>
        </a:prstGeom>
      </xdr:spPr>
    </xdr:pic>
    <xdr:clientData/>
  </xdr:twoCellAnchor>
  <xdr:twoCellAnchor editAs="oneCell">
    <xdr:from>
      <xdr:col>15</xdr:col>
      <xdr:colOff>127000</xdr:colOff>
      <xdr:row>23</xdr:row>
      <xdr:rowOff>27940</xdr:rowOff>
    </xdr:from>
    <xdr:to>
      <xdr:col>16</xdr:col>
      <xdr:colOff>393700</xdr:colOff>
      <xdr:row>29</xdr:row>
      <xdr:rowOff>12700</xdr:rowOff>
    </xdr:to>
    <xdr:pic>
      <xdr:nvPicPr>
        <xdr:cNvPr id="4" name="Picture 3" descr="Neo-RR-cho-C-19.tif"/>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5938500" y="5006340"/>
          <a:ext cx="1409700" cy="1127760"/>
        </a:xfrm>
        <a:prstGeom prst="rect">
          <a:avLst/>
        </a:prstGeom>
      </xdr:spPr>
    </xdr:pic>
    <xdr:clientData/>
  </xdr:twoCellAnchor>
  <xdr:twoCellAnchor editAs="oneCell">
    <xdr:from>
      <xdr:col>15</xdr:col>
      <xdr:colOff>139699</xdr:colOff>
      <xdr:row>29</xdr:row>
      <xdr:rowOff>114300</xdr:rowOff>
    </xdr:from>
    <xdr:to>
      <xdr:col>16</xdr:col>
      <xdr:colOff>431800</xdr:colOff>
      <xdr:row>35</xdr:row>
      <xdr:rowOff>119381</xdr:rowOff>
    </xdr:to>
    <xdr:pic>
      <xdr:nvPicPr>
        <xdr:cNvPr id="5" name="Picture 4" descr="Np1-cor1-07.tif"/>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5951199" y="6235700"/>
          <a:ext cx="1435101" cy="1148081"/>
        </a:xfrm>
        <a:prstGeom prst="rect">
          <a:avLst/>
        </a:prstGeom>
      </xdr:spPr>
    </xdr:pic>
    <xdr:clientData/>
  </xdr:twoCellAnchor>
  <xdr:twoCellAnchor editAs="oneCell">
    <xdr:from>
      <xdr:col>15</xdr:col>
      <xdr:colOff>114300</xdr:colOff>
      <xdr:row>36</xdr:row>
      <xdr:rowOff>12700</xdr:rowOff>
    </xdr:from>
    <xdr:to>
      <xdr:col>16</xdr:col>
      <xdr:colOff>447675</xdr:colOff>
      <xdr:row>42</xdr:row>
      <xdr:rowOff>50800</xdr:rowOff>
    </xdr:to>
    <xdr:pic>
      <xdr:nvPicPr>
        <xdr:cNvPr id="6" name="Picture 5" descr="Np1-cor1-08.tif"/>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925800" y="7467600"/>
          <a:ext cx="1476375" cy="1181100"/>
        </a:xfrm>
        <a:prstGeom prst="rect">
          <a:avLst/>
        </a:prstGeom>
      </xdr:spPr>
    </xdr:pic>
    <xdr:clientData/>
  </xdr:twoCellAnchor>
  <xdr:twoCellAnchor editAs="oneCell">
    <xdr:from>
      <xdr:col>15</xdr:col>
      <xdr:colOff>101600</xdr:colOff>
      <xdr:row>42</xdr:row>
      <xdr:rowOff>129540</xdr:rowOff>
    </xdr:from>
    <xdr:to>
      <xdr:col>16</xdr:col>
      <xdr:colOff>431800</xdr:colOff>
      <xdr:row>48</xdr:row>
      <xdr:rowOff>165100</xdr:rowOff>
    </xdr:to>
    <xdr:pic>
      <xdr:nvPicPr>
        <xdr:cNvPr id="7" name="Picture 6" descr="Np1-cor1-09.tif"/>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5913100" y="8727440"/>
          <a:ext cx="1473200" cy="1178560"/>
        </a:xfrm>
        <a:prstGeom prst="rect">
          <a:avLst/>
        </a:prstGeom>
      </xdr:spPr>
    </xdr:pic>
    <xdr:clientData/>
  </xdr:twoCellAnchor>
  <xdr:twoCellAnchor editAs="oneCell">
    <xdr:from>
      <xdr:col>15</xdr:col>
      <xdr:colOff>88900</xdr:colOff>
      <xdr:row>49</xdr:row>
      <xdr:rowOff>7620</xdr:rowOff>
    </xdr:from>
    <xdr:to>
      <xdr:col>16</xdr:col>
      <xdr:colOff>508000</xdr:colOff>
      <xdr:row>55</xdr:row>
      <xdr:rowOff>114300</xdr:rowOff>
    </xdr:to>
    <xdr:pic>
      <xdr:nvPicPr>
        <xdr:cNvPr id="8" name="Picture 7" descr="Np1-cor1-11.tif"/>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5900400" y="9939020"/>
          <a:ext cx="1562100" cy="1249680"/>
        </a:xfrm>
        <a:prstGeom prst="rect">
          <a:avLst/>
        </a:prstGeom>
      </xdr:spPr>
    </xdr:pic>
    <xdr:clientData/>
  </xdr:twoCellAnchor>
  <xdr:twoCellAnchor editAs="oneCell">
    <xdr:from>
      <xdr:col>15</xdr:col>
      <xdr:colOff>88899</xdr:colOff>
      <xdr:row>55</xdr:row>
      <xdr:rowOff>165100</xdr:rowOff>
    </xdr:from>
    <xdr:to>
      <xdr:col>16</xdr:col>
      <xdr:colOff>549274</xdr:colOff>
      <xdr:row>62</xdr:row>
      <xdr:rowOff>114300</xdr:rowOff>
    </xdr:to>
    <xdr:pic>
      <xdr:nvPicPr>
        <xdr:cNvPr id="9" name="Picture 8" descr="Np1-cor5-0811.26.12.tif"/>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900399" y="13550900"/>
          <a:ext cx="1603375" cy="1282700"/>
        </a:xfrm>
        <a:prstGeom prst="rect">
          <a:avLst/>
        </a:prstGeom>
      </xdr:spPr>
    </xdr:pic>
    <xdr:clientData/>
  </xdr:twoCellAnchor>
  <xdr:twoCellAnchor editAs="oneCell">
    <xdr:from>
      <xdr:col>17</xdr:col>
      <xdr:colOff>444500</xdr:colOff>
      <xdr:row>63</xdr:row>
      <xdr:rowOff>12700</xdr:rowOff>
    </xdr:from>
    <xdr:to>
      <xdr:col>19</xdr:col>
      <xdr:colOff>685799</xdr:colOff>
      <xdr:row>73</xdr:row>
      <xdr:rowOff>88899</xdr:rowOff>
    </xdr:to>
    <xdr:pic>
      <xdr:nvPicPr>
        <xdr:cNvPr id="10" name="Picture 9" descr="Np1-osc1-13.tif"/>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8542000" y="12611100"/>
          <a:ext cx="2476499" cy="1981199"/>
        </a:xfrm>
        <a:prstGeom prst="rect">
          <a:avLst/>
        </a:prstGeom>
      </xdr:spPr>
    </xdr:pic>
    <xdr:clientData/>
  </xdr:twoCellAnchor>
  <xdr:twoCellAnchor editAs="oneCell">
    <xdr:from>
      <xdr:col>15</xdr:col>
      <xdr:colOff>165100</xdr:colOff>
      <xdr:row>62</xdr:row>
      <xdr:rowOff>180340</xdr:rowOff>
    </xdr:from>
    <xdr:to>
      <xdr:col>17</xdr:col>
      <xdr:colOff>241299</xdr:colOff>
      <xdr:row>73</xdr:row>
      <xdr:rowOff>76199</xdr:rowOff>
    </xdr:to>
    <xdr:pic>
      <xdr:nvPicPr>
        <xdr:cNvPr id="11" name="Picture 10" descr="Np1-osc1-20.tif"/>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5976600" y="12588240"/>
          <a:ext cx="2489199" cy="1991359"/>
        </a:xfrm>
        <a:prstGeom prst="rect">
          <a:avLst/>
        </a:prstGeom>
      </xdr:spPr>
    </xdr:pic>
    <xdr:clientData/>
  </xdr:twoCellAnchor>
  <xdr:twoCellAnchor editAs="oneCell">
    <xdr:from>
      <xdr:col>19</xdr:col>
      <xdr:colOff>596900</xdr:colOff>
      <xdr:row>63</xdr:row>
      <xdr:rowOff>10160</xdr:rowOff>
    </xdr:from>
    <xdr:to>
      <xdr:col>22</xdr:col>
      <xdr:colOff>101600</xdr:colOff>
      <xdr:row>73</xdr:row>
      <xdr:rowOff>86360</xdr:rowOff>
    </xdr:to>
    <xdr:pic>
      <xdr:nvPicPr>
        <xdr:cNvPr id="12" name="Picture 11" descr="Np1-osc1-16.tif"/>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094700" y="12608560"/>
          <a:ext cx="2476500" cy="1981200"/>
        </a:xfrm>
        <a:prstGeom prst="rect">
          <a:avLst/>
        </a:prstGeom>
      </xdr:spPr>
    </xdr:pic>
    <xdr:clientData/>
  </xdr:twoCellAnchor>
  <xdr:twoCellAnchor editAs="oneCell">
    <xdr:from>
      <xdr:col>21</xdr:col>
      <xdr:colOff>736601</xdr:colOff>
      <xdr:row>63</xdr:row>
      <xdr:rowOff>10161</xdr:rowOff>
    </xdr:from>
    <xdr:to>
      <xdr:col>24</xdr:col>
      <xdr:colOff>698501</xdr:colOff>
      <xdr:row>73</xdr:row>
      <xdr:rowOff>86361</xdr:rowOff>
    </xdr:to>
    <xdr:pic>
      <xdr:nvPicPr>
        <xdr:cNvPr id="13" name="Picture 12" descr="Np4-osc-13.tif"/>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23634701" y="12608561"/>
          <a:ext cx="2476500" cy="1981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25400</xdr:colOff>
      <xdr:row>19</xdr:row>
      <xdr:rowOff>23242</xdr:rowOff>
    </xdr:from>
    <xdr:to>
      <xdr:col>15</xdr:col>
      <xdr:colOff>521649</xdr:colOff>
      <xdr:row>47</xdr:row>
      <xdr:rowOff>22501</xdr:rowOff>
    </xdr:to>
    <xdr:pic>
      <xdr:nvPicPr>
        <xdr:cNvPr id="2" name="Picture 1" descr="Neo-RR-cho-C-06.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00" y="5369942"/>
          <a:ext cx="6668449" cy="5333259"/>
        </a:xfrm>
        <a:prstGeom prst="rect">
          <a:avLst/>
        </a:prstGeom>
      </xdr:spPr>
    </xdr:pic>
    <xdr:clientData/>
  </xdr:twoCellAnchor>
  <xdr:twoCellAnchor editAs="oneCell">
    <xdr:from>
      <xdr:col>8</xdr:col>
      <xdr:colOff>25399</xdr:colOff>
      <xdr:row>53</xdr:row>
      <xdr:rowOff>187359</xdr:rowOff>
    </xdr:from>
    <xdr:to>
      <xdr:col>15</xdr:col>
      <xdr:colOff>114300</xdr:colOff>
      <xdr:row>80</xdr:row>
      <xdr:rowOff>74265</xdr:rowOff>
    </xdr:to>
    <xdr:pic>
      <xdr:nvPicPr>
        <xdr:cNvPr id="3" name="Picture 2" descr="Np1-cor1-06.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19999" y="12392059"/>
          <a:ext cx="6261101" cy="5030406"/>
        </a:xfrm>
        <a:prstGeom prst="rect">
          <a:avLst/>
        </a:prstGeom>
      </xdr:spPr>
    </xdr:pic>
    <xdr:clientData/>
  </xdr:twoCellAnchor>
  <xdr:twoCellAnchor editAs="oneCell">
    <xdr:from>
      <xdr:col>8</xdr:col>
      <xdr:colOff>56313</xdr:colOff>
      <xdr:row>88</xdr:row>
      <xdr:rowOff>152400</xdr:rowOff>
    </xdr:from>
    <xdr:to>
      <xdr:col>15</xdr:col>
      <xdr:colOff>611201</xdr:colOff>
      <xdr:row>117</xdr:row>
      <xdr:rowOff>0</xdr:rowOff>
    </xdr:to>
    <xdr:pic>
      <xdr:nvPicPr>
        <xdr:cNvPr id="4" name="Picture 3" descr="Np1-cor1-14.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650913" y="19405600"/>
          <a:ext cx="6727088" cy="537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330201</xdr:colOff>
      <xdr:row>14</xdr:row>
      <xdr:rowOff>52928</xdr:rowOff>
    </xdr:from>
    <xdr:to>
      <xdr:col>10</xdr:col>
      <xdr:colOff>431801</xdr:colOff>
      <xdr:row>22</xdr:row>
      <xdr:rowOff>159028</xdr:rowOff>
    </xdr:to>
    <xdr:pic>
      <xdr:nvPicPr>
        <xdr:cNvPr id="3" name="Picture 2" descr="Neo-RR-cho-C-02.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289801" y="3291428"/>
          <a:ext cx="2578100" cy="2061900"/>
        </a:xfrm>
        <a:prstGeom prst="rect">
          <a:avLst/>
        </a:prstGeom>
      </xdr:spPr>
    </xdr:pic>
    <xdr:clientData/>
  </xdr:twoCellAnchor>
  <xdr:twoCellAnchor editAs="oneCell">
    <xdr:from>
      <xdr:col>7</xdr:col>
      <xdr:colOff>266700</xdr:colOff>
      <xdr:row>24</xdr:row>
      <xdr:rowOff>55356</xdr:rowOff>
    </xdr:from>
    <xdr:to>
      <xdr:col>10</xdr:col>
      <xdr:colOff>432749</xdr:colOff>
      <xdr:row>33</xdr:row>
      <xdr:rowOff>22501</xdr:rowOff>
    </xdr:to>
    <xdr:pic>
      <xdr:nvPicPr>
        <xdr:cNvPr id="4" name="Picture 3" descr="Neo-RR-cho-C-04.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226300" y="5630656"/>
          <a:ext cx="2642549" cy="2113445"/>
        </a:xfrm>
        <a:prstGeom prst="rect">
          <a:avLst/>
        </a:prstGeom>
      </xdr:spPr>
    </xdr:pic>
    <xdr:clientData/>
  </xdr:twoCellAnchor>
  <xdr:twoCellAnchor editAs="oneCell">
    <xdr:from>
      <xdr:col>7</xdr:col>
      <xdr:colOff>266700</xdr:colOff>
      <xdr:row>34</xdr:row>
      <xdr:rowOff>149313</xdr:rowOff>
    </xdr:from>
    <xdr:to>
      <xdr:col>10</xdr:col>
      <xdr:colOff>495300</xdr:colOff>
      <xdr:row>43</xdr:row>
      <xdr:rowOff>166485</xdr:rowOff>
    </xdr:to>
    <xdr:pic>
      <xdr:nvPicPr>
        <xdr:cNvPr id="5" name="Picture 4" descr="Np1-cor1-04.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226300" y="8061413"/>
          <a:ext cx="2705100" cy="2163472"/>
        </a:xfrm>
        <a:prstGeom prst="rect">
          <a:avLst/>
        </a:prstGeom>
      </xdr:spPr>
    </xdr:pic>
    <xdr:clientData/>
  </xdr:twoCellAnchor>
  <xdr:twoCellAnchor editAs="oneCell">
    <xdr:from>
      <xdr:col>7</xdr:col>
      <xdr:colOff>228600</xdr:colOff>
      <xdr:row>44</xdr:row>
      <xdr:rowOff>101040</xdr:rowOff>
    </xdr:from>
    <xdr:to>
      <xdr:col>10</xdr:col>
      <xdr:colOff>515827</xdr:colOff>
      <xdr:row>53</xdr:row>
      <xdr:rowOff>165100</xdr:rowOff>
    </xdr:to>
    <xdr:pic>
      <xdr:nvPicPr>
        <xdr:cNvPr id="6" name="Picture 5" descr="Np1-osc3-09.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188200" y="10349940"/>
          <a:ext cx="2763727" cy="22103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12</xdr:col>
      <xdr:colOff>482601</xdr:colOff>
      <xdr:row>35</xdr:row>
      <xdr:rowOff>152400</xdr:rowOff>
    </xdr:from>
    <xdr:to>
      <xdr:col>17</xdr:col>
      <xdr:colOff>660401</xdr:colOff>
      <xdr:row>53</xdr:row>
      <xdr:rowOff>70071</xdr:rowOff>
    </xdr:to>
    <xdr:pic>
      <xdr:nvPicPr>
        <xdr:cNvPr id="2" name="Picture 1" descr="Neo-RR-cho-C-06.p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388601" y="7023100"/>
          <a:ext cx="4660900" cy="3727671"/>
        </a:xfrm>
        <a:prstGeom prst="rect">
          <a:avLst/>
        </a:prstGeom>
      </xdr:spPr>
    </xdr:pic>
    <xdr:clientData/>
  </xdr:twoCellAnchor>
  <xdr:twoCellAnchor editAs="oneCell">
    <xdr:from>
      <xdr:col>12</xdr:col>
      <xdr:colOff>685801</xdr:colOff>
      <xdr:row>54</xdr:row>
      <xdr:rowOff>25400</xdr:rowOff>
    </xdr:from>
    <xdr:to>
      <xdr:col>16</xdr:col>
      <xdr:colOff>775755</xdr:colOff>
      <xdr:row>66</xdr:row>
      <xdr:rowOff>355600</xdr:rowOff>
    </xdr:to>
    <xdr:pic>
      <xdr:nvPicPr>
        <xdr:cNvPr id="3" name="Picture 2" descr="Neo-RR-cho-C-07-Labels.pn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591801" y="10896600"/>
          <a:ext cx="3747554" cy="2997200"/>
        </a:xfrm>
        <a:prstGeom prst="rect">
          <a:avLst/>
        </a:prstGeom>
      </xdr:spPr>
    </xdr:pic>
    <xdr:clientData/>
  </xdr:twoCellAnchor>
  <xdr:twoCellAnchor editAs="oneCell">
    <xdr:from>
      <xdr:col>12</xdr:col>
      <xdr:colOff>647700</xdr:colOff>
      <xdr:row>66</xdr:row>
      <xdr:rowOff>449285</xdr:rowOff>
    </xdr:from>
    <xdr:to>
      <xdr:col>16</xdr:col>
      <xdr:colOff>648649</xdr:colOff>
      <xdr:row>81</xdr:row>
      <xdr:rowOff>136801</xdr:rowOff>
    </xdr:to>
    <xdr:pic>
      <xdr:nvPicPr>
        <xdr:cNvPr id="4" name="Picture 3" descr="Neo-RR-cho-C-13.pn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010900" y="13987485"/>
          <a:ext cx="3658549" cy="2926016"/>
        </a:xfrm>
        <a:prstGeom prst="rect">
          <a:avLst/>
        </a:prstGeom>
      </xdr:spPr>
    </xdr:pic>
    <xdr:clientData/>
  </xdr:twoCellAnchor>
  <xdr:twoCellAnchor editAs="oneCell">
    <xdr:from>
      <xdr:col>12</xdr:col>
      <xdr:colOff>609600</xdr:colOff>
      <xdr:row>83</xdr:row>
      <xdr:rowOff>169842</xdr:rowOff>
    </xdr:from>
    <xdr:to>
      <xdr:col>16</xdr:col>
      <xdr:colOff>645986</xdr:colOff>
      <xdr:row>97</xdr:row>
      <xdr:rowOff>76200</xdr:rowOff>
    </xdr:to>
    <xdr:pic>
      <xdr:nvPicPr>
        <xdr:cNvPr id="5" name="Picture 4" descr="Neo-RR-cho-C-16.pn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972800" y="17327542"/>
          <a:ext cx="3693986" cy="2954358"/>
        </a:xfrm>
        <a:prstGeom prst="rect">
          <a:avLst/>
        </a:prstGeom>
      </xdr:spPr>
    </xdr:pic>
    <xdr:clientData/>
  </xdr:twoCellAnchor>
  <xdr:twoCellAnchor editAs="oneCell">
    <xdr:from>
      <xdr:col>12</xdr:col>
      <xdr:colOff>486100</xdr:colOff>
      <xdr:row>101</xdr:row>
      <xdr:rowOff>25400</xdr:rowOff>
    </xdr:from>
    <xdr:to>
      <xdr:col>16</xdr:col>
      <xdr:colOff>635948</xdr:colOff>
      <xdr:row>115</xdr:row>
      <xdr:rowOff>22502</xdr:rowOff>
    </xdr:to>
    <xdr:pic>
      <xdr:nvPicPr>
        <xdr:cNvPr id="6" name="Picture 5" descr="Neo-RR-cho-D-01.png"/>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300" y="20993100"/>
          <a:ext cx="3807448" cy="3045102"/>
        </a:xfrm>
        <a:prstGeom prst="rect">
          <a:avLst/>
        </a:prstGeom>
      </xdr:spPr>
    </xdr:pic>
    <xdr:clientData/>
  </xdr:twoCellAnchor>
  <xdr:twoCellAnchor editAs="oneCell">
    <xdr:from>
      <xdr:col>12</xdr:col>
      <xdr:colOff>177800</xdr:colOff>
      <xdr:row>119</xdr:row>
      <xdr:rowOff>17600</xdr:rowOff>
    </xdr:from>
    <xdr:to>
      <xdr:col>16</xdr:col>
      <xdr:colOff>686748</xdr:colOff>
      <xdr:row>134</xdr:row>
      <xdr:rowOff>111401</xdr:rowOff>
    </xdr:to>
    <xdr:pic>
      <xdr:nvPicPr>
        <xdr:cNvPr id="7" name="Picture 6" descr="Np1-cor1-02.png"/>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0541000" y="24985800"/>
          <a:ext cx="4166548" cy="3332301"/>
        </a:xfrm>
        <a:prstGeom prst="rect">
          <a:avLst/>
        </a:prstGeom>
      </xdr:spPr>
    </xdr:pic>
    <xdr:clientData/>
  </xdr:twoCellAnchor>
  <xdr:twoCellAnchor editAs="oneCell">
    <xdr:from>
      <xdr:col>12</xdr:col>
      <xdr:colOff>266700</xdr:colOff>
      <xdr:row>138</xdr:row>
      <xdr:rowOff>71120</xdr:rowOff>
    </xdr:from>
    <xdr:to>
      <xdr:col>16</xdr:col>
      <xdr:colOff>330200</xdr:colOff>
      <xdr:row>152</xdr:row>
      <xdr:rowOff>0</xdr:rowOff>
    </xdr:to>
    <xdr:pic>
      <xdr:nvPicPr>
        <xdr:cNvPr id="8" name="Picture 7" descr="Np1-osc2-1211.26.12.tif"/>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0629900" y="29039820"/>
          <a:ext cx="3721100" cy="2976880"/>
        </a:xfrm>
        <a:prstGeom prst="rect">
          <a:avLst/>
        </a:prstGeom>
      </xdr:spPr>
    </xdr:pic>
    <xdr:clientData/>
  </xdr:twoCellAnchor>
  <xdr:twoCellAnchor editAs="oneCell">
    <xdr:from>
      <xdr:col>12</xdr:col>
      <xdr:colOff>317500</xdr:colOff>
      <xdr:row>153</xdr:row>
      <xdr:rowOff>63499</xdr:rowOff>
    </xdr:from>
    <xdr:to>
      <xdr:col>16</xdr:col>
      <xdr:colOff>279400</xdr:colOff>
      <xdr:row>166</xdr:row>
      <xdr:rowOff>101599</xdr:rowOff>
    </xdr:to>
    <xdr:pic>
      <xdr:nvPicPr>
        <xdr:cNvPr id="9" name="Picture 8" descr="Np1-osc3-07.tif"/>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680700" y="32270699"/>
          <a:ext cx="3619500" cy="2895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12</xdr:col>
      <xdr:colOff>12292</xdr:colOff>
      <xdr:row>2</xdr:row>
      <xdr:rowOff>152400</xdr:rowOff>
    </xdr:from>
    <xdr:to>
      <xdr:col>16</xdr:col>
      <xdr:colOff>228599</xdr:colOff>
      <xdr:row>17</xdr:row>
      <xdr:rowOff>76199</xdr:rowOff>
    </xdr:to>
    <xdr:pic>
      <xdr:nvPicPr>
        <xdr:cNvPr id="3" name="Picture 2" descr="SurfaceArea1.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94292" y="533400"/>
          <a:ext cx="3518307" cy="2781299"/>
        </a:xfrm>
        <a:prstGeom prst="rect">
          <a:avLst/>
        </a:prstGeom>
      </xdr:spPr>
    </xdr:pic>
    <xdr:clientData/>
  </xdr:twoCellAnchor>
  <xdr:twoCellAnchor editAs="oneCell">
    <xdr:from>
      <xdr:col>16</xdr:col>
      <xdr:colOff>370250</xdr:colOff>
      <xdr:row>3</xdr:row>
      <xdr:rowOff>25400</xdr:rowOff>
    </xdr:from>
    <xdr:to>
      <xdr:col>21</xdr:col>
      <xdr:colOff>457199</xdr:colOff>
      <xdr:row>14</xdr:row>
      <xdr:rowOff>76199</xdr:rowOff>
    </xdr:to>
    <xdr:pic>
      <xdr:nvPicPr>
        <xdr:cNvPr id="4" name="Picture 3" descr="SurfaceArea2.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054250" y="596900"/>
          <a:ext cx="4214449" cy="2146299"/>
        </a:xfrm>
        <a:prstGeom prst="rect">
          <a:avLst/>
        </a:prstGeom>
      </xdr:spPr>
    </xdr:pic>
    <xdr:clientData/>
  </xdr:twoCellAnchor>
  <xdr:twoCellAnchor editAs="oneCell">
    <xdr:from>
      <xdr:col>12</xdr:col>
      <xdr:colOff>63500</xdr:colOff>
      <xdr:row>20</xdr:row>
      <xdr:rowOff>88900</xdr:rowOff>
    </xdr:from>
    <xdr:to>
      <xdr:col>16</xdr:col>
      <xdr:colOff>368299</xdr:colOff>
      <xdr:row>34</xdr:row>
      <xdr:rowOff>126999</xdr:rowOff>
    </xdr:to>
    <xdr:pic>
      <xdr:nvPicPr>
        <xdr:cNvPr id="5" name="Picture 4" descr="P1060590.JPG"/>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445500" y="3517900"/>
          <a:ext cx="3606799" cy="2705099"/>
        </a:xfrm>
        <a:prstGeom prst="rect">
          <a:avLst/>
        </a:prstGeom>
      </xdr:spPr>
    </xdr:pic>
    <xdr:clientData/>
  </xdr:twoCellAnchor>
  <xdr:twoCellAnchor editAs="oneCell">
    <xdr:from>
      <xdr:col>16</xdr:col>
      <xdr:colOff>596900</xdr:colOff>
      <xdr:row>20</xdr:row>
      <xdr:rowOff>104775</xdr:rowOff>
    </xdr:from>
    <xdr:to>
      <xdr:col>21</xdr:col>
      <xdr:colOff>139699</xdr:colOff>
      <xdr:row>34</xdr:row>
      <xdr:rowOff>190499</xdr:rowOff>
    </xdr:to>
    <xdr:pic>
      <xdr:nvPicPr>
        <xdr:cNvPr id="6" name="Picture 5" descr="P1060588.JPG"/>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280900" y="3533775"/>
          <a:ext cx="3670299" cy="275272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15</xdr:col>
      <xdr:colOff>571500</xdr:colOff>
      <xdr:row>2</xdr:row>
      <xdr:rowOff>654050</xdr:rowOff>
    </xdr:from>
    <xdr:to>
      <xdr:col>23</xdr:col>
      <xdr:colOff>76200</xdr:colOff>
      <xdr:row>25</xdr:row>
      <xdr:rowOff>25400</xdr:rowOff>
    </xdr:to>
    <xdr:graphicFrame macro="">
      <xdr:nvGraphicFramePr>
        <xdr:cNvPr id="2" name="Chart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anielleludeman/Documents/MSc/Paper-Cost%20of%20Filtration/Morphometric%20summarie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danielleludeman/Documents/MSc/SEM%20photos/Cliona%20delitrix/Cliona%20-%20Measurements%20of%20canal%20system-v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danielleludeman/Documents/MSc/Measurements%20of%20AV%20canal%20system-2011-09-19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Neopetrosia"/>
      <sheetName val="Haliclona"/>
      <sheetName val="Tethya"/>
      <sheetName val="Callyspongia"/>
      <sheetName val="Cliona"/>
      <sheetName val="Table 1"/>
      <sheetName val="Table 2"/>
      <sheetName val="Graphs"/>
      <sheetName val="Comparison"/>
      <sheetName val="Velocities from Karen"/>
    </sheetNames>
    <sheetDataSet>
      <sheetData sheetId="0">
        <row r="15">
          <cell r="B15" t="str">
            <v xml:space="preserve">Excurrent velocity (m/s) </v>
          </cell>
          <cell r="C15" t="str">
            <v xml:space="preserve"> Osculum flow rate (mL/s) </v>
          </cell>
          <cell r="D15" t="str">
            <v>Surface area of the 100^3 crosswall section (mm^2)</v>
          </cell>
          <cell r="E15" t="str">
            <v/>
          </cell>
          <cell r="F15" t="str">
            <v/>
          </cell>
          <cell r="G15" t="str">
            <v/>
          </cell>
          <cell r="H15" t="str">
            <v xml:space="preserve">Viscosity (Pa s) </v>
          </cell>
          <cell r="I15" t="str">
            <v>Alfa (Vex/U)</v>
          </cell>
          <cell r="J15" t="str">
            <v>Sponge Volume (cm^3)</v>
          </cell>
          <cell r="K15" t="str">
            <v>Specific pumping rate (mL/mLSponge/min)</v>
          </cell>
          <cell r="L15" t="str">
            <v>mL/mLSponge/s</v>
          </cell>
          <cell r="M15" t="str">
            <v>nL/collar/hr</v>
          </cell>
          <cell r="N15"/>
          <cell r="O15"/>
        </row>
        <row r="16">
          <cell r="B16">
            <v>1.3657279016666668E-2</v>
          </cell>
          <cell r="C16">
            <v>0.1492944283518047</v>
          </cell>
          <cell r="D16">
            <v>20.25</v>
          </cell>
          <cell r="E16">
            <v>1024</v>
          </cell>
          <cell r="F16">
            <v>9.8066499999999994</v>
          </cell>
          <cell r="G16">
            <v>10045.44</v>
          </cell>
          <cell r="H16">
            <v>1.3504000000000001E-3</v>
          </cell>
          <cell r="I16"/>
          <cell r="J16">
            <v>1.5228241793354846</v>
          </cell>
          <cell r="K16">
            <v>5.8822717833500269</v>
          </cell>
          <cell r="L16">
            <v>9.8037863055833785E-2</v>
          </cell>
          <cell r="M16">
            <v>1.1357825337936474E-2</v>
          </cell>
          <cell r="N16"/>
          <cell r="O16"/>
        </row>
        <row r="17">
          <cell r="B17"/>
          <cell r="C17">
            <v>8.957665701108283</v>
          </cell>
          <cell r="D17"/>
          <cell r="E17"/>
          <cell r="G17"/>
          <cell r="H17"/>
          <cell r="I17"/>
          <cell r="J17"/>
          <cell r="K17" t="str">
            <v># chambers in 1mm3</v>
          </cell>
          <cell r="L17">
            <v>9792.3168534402084</v>
          </cell>
          <cell r="M17"/>
        </row>
        <row r="18">
          <cell r="B18"/>
          <cell r="C18"/>
          <cell r="D18"/>
          <cell r="E18"/>
          <cell r="G18"/>
          <cell r="H18"/>
          <cell r="I18"/>
          <cell r="J18"/>
          <cell r="K18" t="str">
            <v># chambers/sponge</v>
          </cell>
          <cell r="L18">
            <v>14911976.87613312</v>
          </cell>
          <cell r="M18"/>
        </row>
        <row r="19">
          <cell r="B19"/>
          <cell r="C19"/>
          <cell r="D19"/>
          <cell r="E19"/>
          <cell r="G19"/>
          <cell r="H19"/>
          <cell r="I19"/>
          <cell r="J19"/>
          <cell r="K19" t="str">
            <v>Est # collars per chamber</v>
          </cell>
          <cell r="L19">
            <v>80</v>
          </cell>
          <cell r="M19"/>
        </row>
        <row r="20">
          <cell r="K20" t="str">
            <v>Number of mv per collar</v>
          </cell>
          <cell r="L20">
            <v>39.666666666666664</v>
          </cell>
        </row>
        <row r="22">
          <cell r="B22" t="str">
            <v>Sponge Region</v>
          </cell>
          <cell r="C22" t="str">
            <v>Diameter (um)</v>
          </cell>
          <cell r="D22" t="str">
            <v>Path length of each section (um)</v>
          </cell>
          <cell r="E22" t="str">
            <v>Distance from inhalent surface (um)</v>
          </cell>
          <cell r="F22" t="str">
            <v>proportional distance from inhalent surface</v>
          </cell>
          <cell r="G22" t="str">
            <v>% distance from inhalent surface</v>
          </cell>
          <cell r="H22" t="str">
            <v>XS area (mm2) of aquiferous system in 1mm3  pieces</v>
          </cell>
          <cell r="I22" t="str">
            <v>XS area in 100 mm^3 pieces (mm^2)</v>
          </cell>
          <cell r="J22" t="str">
            <v>Fraction of inhalent surface</v>
          </cell>
          <cell r="K22" t="str">
            <v xml:space="preserve">Velocity (per opening, m^3/s) </v>
          </cell>
          <cell r="L22" t="str">
            <v>Type of opening</v>
          </cell>
          <cell r="M22" t="str">
            <v>Equation # in Riisgard and Larsen 1995</v>
          </cell>
          <cell r="N22" t="str">
            <v>Velocity (mm/s)</v>
          </cell>
          <cell r="O22" t="str">
            <v>Head loss (mm H20) as per Riisgard and Larsen 1995</v>
          </cell>
          <cell r="P22" t="str">
            <v>Head loss (um H20) as per Riisgard and Larsen 1995</v>
          </cell>
        </row>
        <row r="23">
          <cell r="B23" t="str">
            <v>ostia</v>
          </cell>
          <cell r="C23">
            <v>24.460004166666668</v>
          </cell>
          <cell r="D23">
            <v>0.5</v>
          </cell>
          <cell r="E23">
            <v>0</v>
          </cell>
          <cell r="F23">
            <v>0</v>
          </cell>
          <cell r="G23">
            <v>0</v>
          </cell>
          <cell r="H23">
            <v>0.16644318026435792</v>
          </cell>
          <cell r="I23">
            <v>3.3704744003532481</v>
          </cell>
          <cell r="J23">
            <v>16.644318026435791</v>
          </cell>
          <cell r="K23">
            <v>6.0479622732158343E-4</v>
          </cell>
          <cell r="L23" t="str">
            <v>aperture</v>
          </cell>
          <cell r="M23">
            <v>15</v>
          </cell>
          <cell r="N23">
            <v>0.60479622732158345</v>
          </cell>
          <cell r="O23">
            <v>6.4179366137202987E-2</v>
          </cell>
          <cell r="P23">
            <v>64.17936613720299</v>
          </cell>
        </row>
        <row r="24">
          <cell r="B24" t="str">
            <v>Subdermal space</v>
          </cell>
          <cell r="C24">
            <v>242.38515789473686</v>
          </cell>
          <cell r="D24">
            <v>86.14815789473684</v>
          </cell>
          <cell r="E24">
            <v>0.5</v>
          </cell>
          <cell r="F24">
            <v>6.4752041049011445E-5</v>
          </cell>
          <cell r="G24">
            <v>6.4752041049011442E-3</v>
          </cell>
          <cell r="H24">
            <v>0.97358395335857462</v>
          </cell>
          <cell r="I24">
            <v>19.715075055511136</v>
          </cell>
          <cell r="J24">
            <v>97.358395335857466</v>
          </cell>
          <cell r="K24">
            <v>1.0339550805046484E-4</v>
          </cell>
          <cell r="L24" t="str">
            <v>channels/ducts</v>
          </cell>
          <cell r="M24">
            <v>21</v>
          </cell>
          <cell r="N24">
            <v>0.10339550805046484</v>
          </cell>
          <cell r="O24">
            <v>3.2639696012478396E-2</v>
          </cell>
          <cell r="P24">
            <v>32.639696012478396</v>
          </cell>
        </row>
        <row r="25">
          <cell r="B25" t="str">
            <v>lg incurrent canal</v>
          </cell>
          <cell r="C25">
            <v>383.33430000000004</v>
          </cell>
          <cell r="D25">
            <v>2944.154</v>
          </cell>
          <cell r="E25">
            <v>86.64815789473684</v>
          </cell>
          <cell r="F25">
            <v>1.1221290153642451E-2</v>
          </cell>
          <cell r="G25">
            <v>1.1221290153642451</v>
          </cell>
          <cell r="H25">
            <v>0.15930061140334367</v>
          </cell>
          <cell r="I25">
            <v>15.930061140334367</v>
          </cell>
          <cell r="J25">
            <v>78.666968594243784</v>
          </cell>
          <cell r="K25">
            <v>1.2796248449143327E-4</v>
          </cell>
          <cell r="L25" t="str">
            <v>channels/ducts</v>
          </cell>
          <cell r="M25">
            <v>19</v>
          </cell>
          <cell r="N25">
            <v>0.12796248449143327</v>
          </cell>
          <cell r="O25">
            <v>9.1284820278263127E-3</v>
          </cell>
          <cell r="P25">
            <v>9.1284820278263119</v>
          </cell>
        </row>
        <row r="26">
          <cell r="B26" t="str">
            <v>med incurrent canal</v>
          </cell>
          <cell r="C26">
            <v>155.81196666666668</v>
          </cell>
          <cell r="D26">
            <v>647.51357142857159</v>
          </cell>
          <cell r="E26">
            <v>3030.8021578947369</v>
          </cell>
          <cell r="F26">
            <v>0.392501251478865</v>
          </cell>
          <cell r="G26">
            <v>39.2501251478865</v>
          </cell>
          <cell r="H26">
            <v>7.2081099403660032E-2</v>
          </cell>
          <cell r="I26">
            <v>7.2081099403660032</v>
          </cell>
          <cell r="J26">
            <v>35.595604643782728</v>
          </cell>
          <cell r="K26">
            <v>2.8279954363655485E-4</v>
          </cell>
          <cell r="L26" t="str">
            <v>channels/ducts</v>
          </cell>
          <cell r="M26">
            <v>19</v>
          </cell>
          <cell r="N26">
            <v>0.28279954363655485</v>
          </cell>
          <cell r="O26">
            <v>1.5039093259359242E-2</v>
          </cell>
          <cell r="P26">
            <v>15.039093259359243</v>
          </cell>
        </row>
      </sheetData>
      <sheetData sheetId="1"/>
      <sheetData sheetId="2"/>
      <sheetData sheetId="3">
        <row r="2">
          <cell r="A2"/>
        </row>
      </sheetData>
      <sheetData sheetId="4"/>
      <sheetData sheetId="5"/>
      <sheetData sheetId="6"/>
      <sheetData sheetId="7"/>
      <sheetData sheetId="8"/>
      <sheetData sheetId="9"/>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Summary"/>
      <sheetName val="Ostia"/>
      <sheetName val="Subdermal space"/>
      <sheetName val="Canals"/>
      <sheetName val="Prosopyles"/>
      <sheetName val="Collars"/>
      <sheetName val="Choanocyte Chambers"/>
      <sheetName val="Apopyle"/>
      <sheetName val="Osculum"/>
      <sheetName val="Sponge Volume"/>
      <sheetName val="Comparison table"/>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Summary"/>
      <sheetName val="Summary (2)"/>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sheetData sheetId="1"/>
      <sheetData sheetId="2"/>
      <sheetData sheetId="3"/>
      <sheetData sheetId="4">
        <row r="17">
          <cell r="E17">
            <v>4.4733679854839021</v>
          </cell>
          <cell r="F17">
            <v>0.30442857142857138</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vmlDrawing" Target="../drawings/vmlDrawing1.vml"/><Relationship Id="rId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 Id="rId2" Type="http://schemas.openxmlformats.org/officeDocument/2006/relationships/vmlDrawing" Target="../drawings/vmlDrawing2.vml"/><Relationship Id="rId3" Type="http://schemas.openxmlformats.org/officeDocument/2006/relationships/comments" Target="../comments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 Id="rId2" Type="http://schemas.openxmlformats.org/officeDocument/2006/relationships/vmlDrawing" Target="../drawings/vmlDrawing3.vml"/><Relationship Id="rId3"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 Id="rId2" Type="http://schemas.openxmlformats.org/officeDocument/2006/relationships/vmlDrawing" Target="../drawings/vmlDrawing4.vml"/><Relationship Id="rId3" Type="http://schemas.openxmlformats.org/officeDocument/2006/relationships/comments" Target="../comments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 Id="rId2" Type="http://schemas.openxmlformats.org/officeDocument/2006/relationships/vmlDrawing" Target="../drawings/vmlDrawing5.vml"/><Relationship Id="rId3" Type="http://schemas.openxmlformats.org/officeDocument/2006/relationships/comments" Target="../comments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 Id="rId2" Type="http://schemas.openxmlformats.org/officeDocument/2006/relationships/vmlDrawing" Target="../drawings/vmlDrawing6.vml"/><Relationship Id="rId3" Type="http://schemas.openxmlformats.org/officeDocument/2006/relationships/comments" Target="../comments6.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7.vml"/><Relationship Id="rId2" Type="http://schemas.openxmlformats.org/officeDocument/2006/relationships/comments" Target="../comments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D50"/>
  <sheetViews>
    <sheetView tabSelected="1" topLeftCell="A14" workbookViewId="0">
      <selection activeCell="C19" sqref="C19"/>
    </sheetView>
  </sheetViews>
  <sheetFormatPr baseColWidth="10" defaultColWidth="11" defaultRowHeight="15" x14ac:dyDescent="0"/>
  <cols>
    <col min="1" max="1" width="27.83203125" customWidth="1"/>
    <col min="2" max="2" width="21.1640625" customWidth="1"/>
    <col min="3" max="3" width="12.1640625" bestFit="1" customWidth="1"/>
    <col min="10" max="10" width="18.83203125" customWidth="1"/>
    <col min="11" max="11" width="17.5" customWidth="1"/>
    <col min="12" max="12" width="12.1640625" bestFit="1" customWidth="1"/>
    <col min="13" max="13" width="11.5" customWidth="1"/>
    <col min="14" max="14" width="13" customWidth="1"/>
    <col min="16" max="16" width="11.5" bestFit="1" customWidth="1"/>
    <col min="18" max="18" width="12.1640625" bestFit="1" customWidth="1"/>
    <col min="19" max="19" width="13.83203125" customWidth="1"/>
    <col min="20" max="20" width="12.1640625" bestFit="1" customWidth="1"/>
    <col min="21" max="21" width="16.83203125" bestFit="1" customWidth="1"/>
    <col min="22" max="22" width="13.5" customWidth="1"/>
    <col min="25" max="25" width="12.1640625" bestFit="1" customWidth="1"/>
    <col min="28" max="28" width="11.1640625" bestFit="1" customWidth="1"/>
  </cols>
  <sheetData>
    <row r="1" spans="1:15" ht="20">
      <c r="A1" s="174" t="s">
        <v>266</v>
      </c>
    </row>
    <row r="2" spans="1:15">
      <c r="A2" s="31"/>
    </row>
    <row r="3" spans="1:15">
      <c r="A3" s="31" t="s">
        <v>361</v>
      </c>
    </row>
    <row r="4" spans="1:15">
      <c r="A4" s="175" t="s">
        <v>362</v>
      </c>
    </row>
    <row r="5" spans="1:15">
      <c r="A5" s="175" t="s">
        <v>363</v>
      </c>
    </row>
    <row r="6" spans="1:15">
      <c r="A6" s="175" t="s">
        <v>364</v>
      </c>
    </row>
    <row r="7" spans="1:15">
      <c r="A7" s="175"/>
    </row>
    <row r="8" spans="1:15">
      <c r="A8" s="175" t="s">
        <v>365</v>
      </c>
    </row>
    <row r="9" spans="1:15">
      <c r="A9" s="31"/>
    </row>
    <row r="10" spans="1:15">
      <c r="A10" s="175" t="s">
        <v>366</v>
      </c>
    </row>
    <row r="11" spans="1:15">
      <c r="A11" s="31" t="s">
        <v>367</v>
      </c>
    </row>
    <row r="12" spans="1:15">
      <c r="A12" s="31" t="s">
        <v>368</v>
      </c>
    </row>
    <row r="15" spans="1:15" ht="70">
      <c r="A15" s="129" t="s">
        <v>267</v>
      </c>
      <c r="B15" s="130" t="s">
        <v>268</v>
      </c>
      <c r="C15" s="130" t="s">
        <v>269</v>
      </c>
      <c r="D15" s="131" t="s">
        <v>270</v>
      </c>
      <c r="E15" s="132" t="s">
        <v>271</v>
      </c>
      <c r="F15" s="132" t="s">
        <v>272</v>
      </c>
      <c r="G15" s="133" t="s">
        <v>273</v>
      </c>
      <c r="H15" s="131" t="s">
        <v>274</v>
      </c>
      <c r="I15" s="131" t="s">
        <v>275</v>
      </c>
      <c r="J15" s="134" t="s">
        <v>276</v>
      </c>
      <c r="K15" s="135" t="s">
        <v>277</v>
      </c>
      <c r="L15" s="136" t="s">
        <v>278</v>
      </c>
      <c r="M15" s="137" t="s">
        <v>279</v>
      </c>
      <c r="N15" s="138"/>
      <c r="O15" s="18"/>
    </row>
    <row r="16" spans="1:15">
      <c r="A16" s="139">
        <f>'Sponge Volume'!C21</f>
        <v>3.6628241793354848</v>
      </c>
      <c r="B16" s="130">
        <f>Osculum!M16</f>
        <v>1.3657279016666668E-2</v>
      </c>
      <c r="C16" s="140">
        <f>Osculum!N16</f>
        <v>0.1492944283518047</v>
      </c>
      <c r="D16" s="141">
        <f>20.25</f>
        <v>20.25</v>
      </c>
      <c r="E16" s="142">
        <v>1024</v>
      </c>
      <c r="F16" s="143">
        <v>9.8066499999999994</v>
      </c>
      <c r="G16" s="144">
        <f>E16*9.81</f>
        <v>10045.44</v>
      </c>
      <c r="H16" s="145">
        <v>1.3504000000000001E-3</v>
      </c>
      <c r="I16" s="145"/>
      <c r="J16" s="146">
        <f>'Sponge Volume'!B21</f>
        <v>1.5228241793354846</v>
      </c>
      <c r="K16" s="147">
        <f>C16*60/J16</f>
        <v>5.8822717833500269</v>
      </c>
      <c r="L16" s="147">
        <f>K16/60</f>
        <v>9.8037863055833785E-2</v>
      </c>
      <c r="M16" s="148">
        <f>(C16*3600*1000000)/(L18*L19*L20)</f>
        <v>1.1357825337936474E-2</v>
      </c>
      <c r="N16" s="115"/>
      <c r="O16" s="18"/>
    </row>
    <row r="17" spans="1:30">
      <c r="A17" s="149"/>
      <c r="B17" s="149"/>
      <c r="C17" s="150">
        <f>C16*60</f>
        <v>8.957665701108283</v>
      </c>
      <c r="D17" s="149"/>
      <c r="E17" s="149"/>
      <c r="G17" s="151"/>
      <c r="H17" s="149"/>
      <c r="I17" s="149"/>
      <c r="J17" s="149"/>
      <c r="K17" s="152" t="s">
        <v>280</v>
      </c>
      <c r="L17" s="153">
        <f>Collars!K12</f>
        <v>9792.3168534402084</v>
      </c>
      <c r="M17" s="149"/>
    </row>
    <row r="18" spans="1:30">
      <c r="A18" s="149">
        <f>J16/(5/10)</f>
        <v>3.0456483586709693</v>
      </c>
      <c r="B18" s="149"/>
      <c r="C18" s="154"/>
      <c r="D18" s="151"/>
      <c r="E18" s="149"/>
      <c r="G18" s="151"/>
      <c r="H18" s="149"/>
      <c r="I18" s="149"/>
      <c r="J18" s="149"/>
      <c r="K18" s="155" t="s">
        <v>281</v>
      </c>
      <c r="L18" s="156">
        <f>L17*(J16*1000)</f>
        <v>14911976.87613312</v>
      </c>
      <c r="M18" s="149"/>
      <c r="R18" s="18"/>
    </row>
    <row r="19" spans="1:30">
      <c r="A19" s="149"/>
      <c r="B19" s="149"/>
      <c r="C19" s="149"/>
      <c r="D19" s="151"/>
      <c r="E19" s="149"/>
      <c r="G19" s="151"/>
      <c r="H19" s="149"/>
      <c r="I19" s="149"/>
      <c r="J19" s="149"/>
      <c r="K19" s="155" t="s">
        <v>282</v>
      </c>
      <c r="L19" s="157">
        <f>Collars!I12</f>
        <v>80</v>
      </c>
      <c r="M19" s="158"/>
      <c r="R19" s="18"/>
      <c r="S19" s="12"/>
      <c r="T19" s="12"/>
      <c r="U19" s="12"/>
      <c r="V19" s="12"/>
      <c r="W19" s="12"/>
      <c r="X19" s="12"/>
      <c r="Y19" s="12"/>
      <c r="Z19" s="12"/>
      <c r="AA19" s="12"/>
      <c r="AB19" s="12"/>
      <c r="AC19" s="12"/>
      <c r="AD19" s="12"/>
    </row>
    <row r="20" spans="1:30">
      <c r="K20" s="159" t="s">
        <v>283</v>
      </c>
      <c r="L20" s="160">
        <f>Collars!B12</f>
        <v>39.666666666666664</v>
      </c>
      <c r="R20" s="18"/>
      <c r="S20" s="12"/>
      <c r="T20" s="12"/>
      <c r="U20" s="12"/>
      <c r="V20" s="12"/>
      <c r="W20" s="12"/>
      <c r="X20" s="12"/>
      <c r="Y20" s="12"/>
      <c r="Z20" s="12"/>
      <c r="AA20" s="12"/>
      <c r="AB20" s="12"/>
      <c r="AC20" s="12"/>
      <c r="AD20" s="12"/>
    </row>
    <row r="21" spans="1:30">
      <c r="R21" s="18"/>
      <c r="S21" s="12"/>
      <c r="T21" s="12"/>
      <c r="U21" s="12"/>
      <c r="V21" s="12"/>
      <c r="W21" s="12"/>
      <c r="X21" s="12"/>
      <c r="Y21" s="12"/>
      <c r="Z21" s="12"/>
      <c r="AA21" s="12"/>
      <c r="AB21" s="12"/>
      <c r="AC21" s="12"/>
      <c r="AD21" s="12"/>
    </row>
    <row r="22" spans="1:30" s="4" customFormat="1" ht="73">
      <c r="A22" s="161" t="s">
        <v>284</v>
      </c>
      <c r="B22" s="162" t="s">
        <v>285</v>
      </c>
      <c r="C22" s="162" t="s">
        <v>44</v>
      </c>
      <c r="D22" s="162" t="s">
        <v>286</v>
      </c>
      <c r="E22" s="162" t="s">
        <v>287</v>
      </c>
      <c r="F22" s="162" t="s">
        <v>288</v>
      </c>
      <c r="G22" s="162" t="s">
        <v>289</v>
      </c>
      <c r="H22" s="162" t="s">
        <v>290</v>
      </c>
      <c r="I22" s="162" t="s">
        <v>291</v>
      </c>
      <c r="J22" s="162" t="s">
        <v>292</v>
      </c>
      <c r="K22" s="163" t="s">
        <v>293</v>
      </c>
      <c r="L22" s="196" t="s">
        <v>344</v>
      </c>
      <c r="M22" s="197" t="s">
        <v>374</v>
      </c>
      <c r="N22" s="198" t="s">
        <v>375</v>
      </c>
      <c r="O22" s="184" t="s">
        <v>342</v>
      </c>
      <c r="P22" s="185" t="s">
        <v>343</v>
      </c>
      <c r="Q22" s="185" t="s">
        <v>344</v>
      </c>
      <c r="R22" s="185" t="s">
        <v>345</v>
      </c>
      <c r="S22" s="185" t="s">
        <v>346</v>
      </c>
      <c r="T22" s="186" t="s">
        <v>294</v>
      </c>
      <c r="U22" s="185"/>
      <c r="V22" s="185"/>
      <c r="W22" s="185"/>
      <c r="X22" s="187"/>
    </row>
    <row r="23" spans="1:30">
      <c r="A23" s="164" t="s">
        <v>13</v>
      </c>
      <c r="B23" t="s">
        <v>295</v>
      </c>
      <c r="C23" s="78">
        <f>Ostia!B23</f>
        <v>24.460004166666668</v>
      </c>
      <c r="D23" s="78">
        <v>0.5</v>
      </c>
      <c r="E23">
        <v>0</v>
      </c>
      <c r="F23">
        <f t="shared" ref="F23:F37" si="0">E23/$E$37</f>
        <v>0</v>
      </c>
      <c r="G23">
        <f t="shared" ref="G23:G37" si="1">F23*100</f>
        <v>0</v>
      </c>
      <c r="H23" s="78">
        <f>Ostia!J23</f>
        <v>0.16644318026435792</v>
      </c>
      <c r="I23" s="78">
        <f>H23*$D$16</f>
        <v>3.3704744003532481</v>
      </c>
      <c r="J23" s="78">
        <f t="shared" ref="J23:J37" si="2">I23/$D$16*100</f>
        <v>16.644318026435791</v>
      </c>
      <c r="K23" s="165">
        <f>$K$37/(J23/$J$37)</f>
        <v>1.0427521160716957E-3</v>
      </c>
      <c r="L23" s="199">
        <f>K23*1000</f>
        <v>1.0427521160716957</v>
      </c>
      <c r="M23" s="200">
        <f>(8*Viscosity*L23*($D23/1000))/($F$16*(($C23/1000/2)^2))</f>
        <v>3.8399870772817223E-3</v>
      </c>
      <c r="N23" s="201">
        <f>M23*1000</f>
        <v>3.8399870772817222</v>
      </c>
      <c r="O23" s="188" t="s">
        <v>347</v>
      </c>
      <c r="P23" s="182">
        <v>15</v>
      </c>
      <c r="Q23" s="182">
        <f>K23*1000</f>
        <v>1.0427521160716957</v>
      </c>
      <c r="R23" s="182">
        <f>(6*PI()*Viscosity*Q23)/($F$16*(C23/1000))</f>
        <v>0.11065407954690171</v>
      </c>
      <c r="S23" s="183">
        <f>R23*1000</f>
        <v>110.65407954690171</v>
      </c>
      <c r="T23" s="189">
        <f>S23/$S$38*100</f>
        <v>6.1495958792881442</v>
      </c>
      <c r="U23" s="182"/>
      <c r="V23" s="182"/>
      <c r="W23" s="182"/>
      <c r="X23" s="190"/>
    </row>
    <row r="24" spans="1:30">
      <c r="A24" s="164" t="s">
        <v>67</v>
      </c>
      <c r="B24" s="166" t="s">
        <v>67</v>
      </c>
      <c r="C24" s="78">
        <f>'Subdermal space'!C7</f>
        <v>242.38515789473686</v>
      </c>
      <c r="D24" s="78">
        <f>'Subdermal space'!B7</f>
        <v>86.14815789473684</v>
      </c>
      <c r="E24">
        <f>D23</f>
        <v>0.5</v>
      </c>
      <c r="F24">
        <f t="shared" si="0"/>
        <v>6.4752041049011445E-5</v>
      </c>
      <c r="G24">
        <f t="shared" si="1"/>
        <v>6.4752041049011442E-3</v>
      </c>
      <c r="H24" s="78">
        <f>'Subdermal space'!D7</f>
        <v>0.97358395335857462</v>
      </c>
      <c r="I24" s="78">
        <f>H24*$D$16</f>
        <v>19.715075055511136</v>
      </c>
      <c r="J24" s="78">
        <f t="shared" si="2"/>
        <v>97.358395335857466</v>
      </c>
      <c r="K24" s="165">
        <f t="shared" ref="K24:K36" si="3">$K$37/(J24/$J$37)</f>
        <v>1.7826811732838768E-4</v>
      </c>
      <c r="L24" s="199">
        <f t="shared" ref="L24:L37" si="4">K24*1000</f>
        <v>0.17826811732838768</v>
      </c>
      <c r="M24" s="200">
        <f>(8*Viscosity*L23*($D24/1000))/($F$16*(($C24/1000/2)^2))</f>
        <v>6.7376238500182995E-3</v>
      </c>
      <c r="N24" s="201">
        <f t="shared" ref="N24:N37" si="5">M24*1000</f>
        <v>6.7376238500182994</v>
      </c>
      <c r="O24" s="188" t="s">
        <v>348</v>
      </c>
      <c r="P24" s="182">
        <v>21</v>
      </c>
      <c r="Q24" s="182">
        <f>K24*1000</f>
        <v>0.17826811732838768</v>
      </c>
      <c r="R24" s="182">
        <f>(12*Viscosity*Q23*(C24/1000))/($F$16*(D24/1000)^2)</f>
        <v>5.6275337952548965E-2</v>
      </c>
      <c r="S24" s="183">
        <f t="shared" ref="S24:S37" si="6">R24*1000</f>
        <v>56.275337952548966</v>
      </c>
      <c r="T24" s="189">
        <f>S24/$S$38*100</f>
        <v>3.127499571598332</v>
      </c>
      <c r="U24" s="182"/>
      <c r="V24" s="182"/>
      <c r="W24" s="182"/>
      <c r="X24" s="191"/>
    </row>
    <row r="25" spans="1:30">
      <c r="A25" s="164" t="s">
        <v>296</v>
      </c>
      <c r="B25" t="s">
        <v>297</v>
      </c>
      <c r="C25" s="78">
        <f>'Incurrent Canals'!C26</f>
        <v>383.33430000000004</v>
      </c>
      <c r="D25" s="78">
        <f>'Incurrent Canals'!Q20</f>
        <v>2944.154</v>
      </c>
      <c r="E25">
        <f t="shared" ref="E25:E37" si="7">E24+D24</f>
        <v>86.64815789473684</v>
      </c>
      <c r="F25">
        <f t="shared" si="0"/>
        <v>1.1221290153642451E-2</v>
      </c>
      <c r="G25">
        <f t="shared" si="1"/>
        <v>1.1221290153642451</v>
      </c>
      <c r="H25" s="78">
        <f>'Incurrent Canals'!K26</f>
        <v>0.15930061140334367</v>
      </c>
      <c r="I25" s="78">
        <f t="shared" ref="I25:I37" si="8">H25*100</f>
        <v>15.930061140334367</v>
      </c>
      <c r="J25" s="78">
        <f t="shared" si="2"/>
        <v>78.666968594243784</v>
      </c>
      <c r="K25" s="165">
        <f t="shared" si="3"/>
        <v>2.2062497326109188E-4</v>
      </c>
      <c r="L25" s="199">
        <f t="shared" si="4"/>
        <v>0.22062497326109187</v>
      </c>
      <c r="M25" s="200">
        <f>(8*Viscosity*L24*($D25/1000))/($F$16*(($C25/1000/2)^2))</f>
        <v>1.5738762116941921E-2</v>
      </c>
      <c r="N25" s="201">
        <f t="shared" si="5"/>
        <v>15.738762116941921</v>
      </c>
      <c r="O25" s="188" t="s">
        <v>348</v>
      </c>
      <c r="P25" s="182">
        <v>19</v>
      </c>
      <c r="Q25" s="182">
        <f>K25*1000</f>
        <v>0.22062497326109187</v>
      </c>
      <c r="R25" s="182">
        <f>(8*Viscosity*Q24*(D25/1000))/($F$16*((C25/1000/2)^2))</f>
        <v>1.5738762116941921E-2</v>
      </c>
      <c r="S25" s="183">
        <f t="shared" si="6"/>
        <v>15.738762116941921</v>
      </c>
      <c r="T25" s="189">
        <f>S25/$S$38*100</f>
        <v>0.87468105157766318</v>
      </c>
      <c r="U25" s="182"/>
      <c r="V25" s="182"/>
      <c r="W25" s="182"/>
      <c r="X25" s="191"/>
    </row>
    <row r="26" spans="1:30">
      <c r="A26" s="164"/>
      <c r="B26" t="s">
        <v>298</v>
      </c>
      <c r="C26" s="78">
        <f>'Incurrent Canals'!C27</f>
        <v>155.81196666666668</v>
      </c>
      <c r="D26" s="78">
        <f>'Incurrent Canals'!R20</f>
        <v>647.51357142857159</v>
      </c>
      <c r="E26">
        <f t="shared" si="7"/>
        <v>3030.8021578947369</v>
      </c>
      <c r="F26">
        <f t="shared" si="0"/>
        <v>0.392501251478865</v>
      </c>
      <c r="G26">
        <f t="shared" si="1"/>
        <v>39.2501251478865</v>
      </c>
      <c r="H26" s="78">
        <f>'Incurrent Canals'!K27</f>
        <v>7.2081099403660032E-2</v>
      </c>
      <c r="I26" s="78">
        <f t="shared" si="8"/>
        <v>7.2081099403660032</v>
      </c>
      <c r="J26" s="78">
        <f t="shared" si="2"/>
        <v>35.595604643782728</v>
      </c>
      <c r="K26" s="165">
        <f t="shared" si="3"/>
        <v>4.8758542006302572E-4</v>
      </c>
      <c r="L26" s="199">
        <f t="shared" si="4"/>
        <v>0.48758542006302574</v>
      </c>
      <c r="M26" s="200">
        <f>(8*Viscosity*L25*($D26/1000))/($F$16*(($C26/1000/2)^2))</f>
        <v>2.5929471136826282E-2</v>
      </c>
      <c r="N26" s="201">
        <f t="shared" si="5"/>
        <v>25.929471136826283</v>
      </c>
      <c r="O26" s="188" t="s">
        <v>348</v>
      </c>
      <c r="P26" s="182">
        <v>19</v>
      </c>
      <c r="Q26" s="182">
        <f>K26*1000</f>
        <v>0.48758542006302574</v>
      </c>
      <c r="R26" s="182">
        <f>(8*Viscosity*Q25*(D26/1000))/($F$16*((C26/1000/2)^2))</f>
        <v>2.5929471136826282E-2</v>
      </c>
      <c r="S26" s="183">
        <f t="shared" si="6"/>
        <v>25.929471136826283</v>
      </c>
      <c r="T26" s="189">
        <f>S26/$S$38*100</f>
        <v>1.4410292824998019</v>
      </c>
      <c r="U26" s="182" t="s">
        <v>349</v>
      </c>
      <c r="V26" s="182"/>
      <c r="W26" s="182"/>
      <c r="X26" s="191"/>
    </row>
    <row r="27" spans="1:30">
      <c r="A27" s="167"/>
      <c r="B27" t="s">
        <v>299</v>
      </c>
      <c r="C27" s="78">
        <f>'Incurrent Canals'!C28</f>
        <v>33.032133878467214</v>
      </c>
      <c r="D27" s="78">
        <f>'Incurrent Canals'!S20</f>
        <v>249.50774999999999</v>
      </c>
      <c r="E27">
        <f t="shared" si="7"/>
        <v>3678.3157293233085</v>
      </c>
      <c r="F27">
        <f t="shared" si="0"/>
        <v>0.47635690219273474</v>
      </c>
      <c r="G27">
        <f t="shared" si="1"/>
        <v>47.635690219273471</v>
      </c>
      <c r="H27" s="78">
        <f>'Incurrent Canals'!K28</f>
        <v>5.7873356340634563E-2</v>
      </c>
      <c r="I27" s="78">
        <f t="shared" si="8"/>
        <v>5.7873356340634565</v>
      </c>
      <c r="J27" s="78">
        <f t="shared" si="2"/>
        <v>28.579435229942995</v>
      </c>
      <c r="K27" s="165">
        <f t="shared" si="3"/>
        <v>6.0728624281743051E-4</v>
      </c>
      <c r="L27" s="199">
        <f t="shared" si="4"/>
        <v>0.60728624281743049</v>
      </c>
      <c r="M27" s="200">
        <f>(8*Viscosity*L26*($D27/1000))/($F$16*(($C27/1000/2)^2))</f>
        <v>0.49130730614313867</v>
      </c>
      <c r="N27" s="201">
        <f t="shared" si="5"/>
        <v>491.30730614313865</v>
      </c>
      <c r="O27" s="188" t="s">
        <v>348</v>
      </c>
      <c r="P27" s="182">
        <v>19</v>
      </c>
      <c r="Q27" s="182">
        <f>K27*1000</f>
        <v>0.60728624281743049</v>
      </c>
      <c r="R27" s="182">
        <f>(8*Viscosity*Q26*(D27/1000))/($F$16*((C27/1000/2)^2))</f>
        <v>0.49130730614313867</v>
      </c>
      <c r="S27" s="183">
        <f t="shared" si="6"/>
        <v>491.30730614313865</v>
      </c>
      <c r="T27" s="189">
        <f>S27/$S$38*100</f>
        <v>27.304383152375166</v>
      </c>
      <c r="U27" s="182" t="s">
        <v>350</v>
      </c>
      <c r="V27" s="182">
        <f>Collars!C12/1000</f>
        <v>1.1750000000000002E-4</v>
      </c>
      <c r="W27" s="182" t="s">
        <v>369</v>
      </c>
      <c r="X27" s="191"/>
    </row>
    <row r="28" spans="1:30">
      <c r="A28" s="164" t="s">
        <v>45</v>
      </c>
      <c r="B28" t="s">
        <v>300</v>
      </c>
      <c r="C28" s="78">
        <f>(Prosopyles!B21+Prosopyles!C21)/2</f>
        <v>3.5972208333333331</v>
      </c>
      <c r="D28" s="78">
        <f>0.5</f>
        <v>0.5</v>
      </c>
      <c r="E28">
        <f t="shared" si="7"/>
        <v>3927.8234793233087</v>
      </c>
      <c r="F28">
        <f t="shared" si="0"/>
        <v>0.50866917433282777</v>
      </c>
      <c r="G28">
        <f t="shared" si="1"/>
        <v>50.866917433282779</v>
      </c>
      <c r="H28" s="57">
        <f>Prosopyles!E29</f>
        <v>4.9412146396773808</v>
      </c>
      <c r="I28" s="78">
        <f t="shared" si="8"/>
        <v>494.12146396773807</v>
      </c>
      <c r="J28" s="78">
        <f t="shared" si="2"/>
        <v>2440.1059949024102</v>
      </c>
      <c r="K28" s="165">
        <f t="shared" si="3"/>
        <v>7.1127639040657012E-6</v>
      </c>
      <c r="L28" s="199">
        <f>K28*1000</f>
        <v>7.112763904065701E-3</v>
      </c>
      <c r="M28" s="200">
        <f>(8*Viscosity*L27*($D28/1000))/($F$16*(($C28/1000/2)^2))</f>
        <v>0.10340010489940538</v>
      </c>
      <c r="N28" s="201">
        <f t="shared" si="5"/>
        <v>103.40010489940538</v>
      </c>
      <c r="O28" s="188" t="s">
        <v>347</v>
      </c>
      <c r="P28" s="182">
        <v>15</v>
      </c>
      <c r="Q28" s="182">
        <f>K28*1000</f>
        <v>7.112763904065701E-3</v>
      </c>
      <c r="R28" s="182">
        <f>(6*PI()*(Viscosity*1000)*K27)/($F$16*(C28/1000))</f>
        <v>0.438196818168682</v>
      </c>
      <c r="S28" s="183">
        <f t="shared" si="6"/>
        <v>438.196818168682</v>
      </c>
      <c r="T28" s="189">
        <f>S28/$S$38*100</f>
        <v>24.352769986985582</v>
      </c>
      <c r="U28" s="182" t="s">
        <v>351</v>
      </c>
      <c r="V28" s="182">
        <f>Collars!D12/1000</f>
        <v>9.4636363636363635E-5</v>
      </c>
      <c r="W28" s="182" t="s">
        <v>370</v>
      </c>
      <c r="X28" s="191"/>
    </row>
    <row r="29" spans="1:30">
      <c r="A29" s="164" t="s">
        <v>301</v>
      </c>
      <c r="B29" t="s">
        <v>302</v>
      </c>
      <c r="C29" s="168">
        <f>Collars!B20</f>
        <v>1.2760526315789473</v>
      </c>
      <c r="D29" s="168">
        <f>Collars!C20</f>
        <v>2.550782608695652</v>
      </c>
      <c r="E29">
        <f t="shared" si="7"/>
        <v>3928.3234793233087</v>
      </c>
      <c r="F29">
        <f t="shared" si="0"/>
        <v>0.50873392637387671</v>
      </c>
      <c r="G29">
        <f t="shared" si="1"/>
        <v>50.873392637387674</v>
      </c>
      <c r="H29" s="169">
        <f>Collars!G20</f>
        <v>2.5498667124662227</v>
      </c>
      <c r="I29" s="168">
        <f t="shared" si="8"/>
        <v>254.98667124662228</v>
      </c>
      <c r="J29" s="168">
        <f t="shared" si="2"/>
        <v>1259.1934382549248</v>
      </c>
      <c r="K29" s="165">
        <f t="shared" si="3"/>
        <v>1.3783345207618904E-5</v>
      </c>
      <c r="L29" s="199">
        <f t="shared" si="4"/>
        <v>1.3783345207618904E-2</v>
      </c>
      <c r="M29" s="200">
        <f>(8*Viscosity*L28*($D29/1000))/($F$16*(($C29/1000/2)^2))</f>
        <v>4.9098293489396379E-2</v>
      </c>
      <c r="N29" s="201">
        <f t="shared" si="5"/>
        <v>49.098293489396376</v>
      </c>
      <c r="O29" s="188" t="s">
        <v>348</v>
      </c>
      <c r="P29" s="182">
        <v>19</v>
      </c>
      <c r="Q29" s="182">
        <f>K29*1000</f>
        <v>1.3783345207618904E-2</v>
      </c>
      <c r="R29" s="182">
        <f>(8*Viscosity*Q28*(D29/1000))/($F$16*((C29/1000/2)^2))</f>
        <v>4.9098293489396379E-2</v>
      </c>
      <c r="S29" s="183">
        <f t="shared" si="6"/>
        <v>49.098293489396376</v>
      </c>
      <c r="T29" s="189">
        <f>S29/$S$38*100</f>
        <v>2.7286356233661877</v>
      </c>
      <c r="U29" s="182" t="s">
        <v>352</v>
      </c>
      <c r="V29" s="182">
        <f>Collars!F12/1000</f>
        <v>7.3999999999999996E-5</v>
      </c>
      <c r="W29" s="182" t="s">
        <v>371</v>
      </c>
      <c r="X29" s="191"/>
    </row>
    <row r="30" spans="1:30">
      <c r="B30" t="s">
        <v>303</v>
      </c>
      <c r="C30" s="168">
        <f>Collars!D12</f>
        <v>9.463636363636363E-2</v>
      </c>
      <c r="D30" s="168">
        <f>Collars!C12</f>
        <v>0.11750000000000002</v>
      </c>
      <c r="E30">
        <f t="shared" si="7"/>
        <v>3930.8742619320042</v>
      </c>
      <c r="F30">
        <f t="shared" si="0"/>
        <v>0.50906426313424746</v>
      </c>
      <c r="G30">
        <f t="shared" si="1"/>
        <v>50.906426313424745</v>
      </c>
      <c r="H30" s="168">
        <f>Collars!M12</f>
        <v>3.755792883535177</v>
      </c>
      <c r="I30" s="168">
        <f t="shared" si="8"/>
        <v>375.57928835351771</v>
      </c>
      <c r="J30" s="168">
        <f t="shared" si="2"/>
        <v>1854.7125350791</v>
      </c>
      <c r="K30" s="165">
        <f t="shared" si="3"/>
        <v>9.3577293054182065E-6</v>
      </c>
      <c r="L30" s="199">
        <f t="shared" si="4"/>
        <v>9.3577293054182067E-3</v>
      </c>
      <c r="M30" s="200">
        <f>(8*Viscosity*L29*($D30/1000))/($F$16*(($C30/1000/2)^2))</f>
        <v>0.79683452580481795</v>
      </c>
      <c r="N30" s="201">
        <f t="shared" si="5"/>
        <v>796.83452580481799</v>
      </c>
      <c r="O30" s="188" t="s">
        <v>353</v>
      </c>
      <c r="P30" s="182">
        <v>17</v>
      </c>
      <c r="Q30" s="182">
        <f>K30*1000</f>
        <v>9.3577293054182067E-3</v>
      </c>
      <c r="R30" s="182">
        <f>(V30*Viscosity*Q29)/(F16*V33)</f>
        <v>0.28776718505858989</v>
      </c>
      <c r="S30" s="183">
        <f t="shared" si="6"/>
        <v>287.76718505858992</v>
      </c>
      <c r="T30" s="189">
        <f>S30/$S$38*100</f>
        <v>15.99264936888812</v>
      </c>
      <c r="U30" s="182" t="s">
        <v>354</v>
      </c>
      <c r="V30" s="182">
        <f>(8*PI())/(1-2*LN(V31)+((V31^2)/6))</f>
        <v>6.296271064415607</v>
      </c>
      <c r="W30" s="182"/>
      <c r="X30" s="191"/>
    </row>
    <row r="31" spans="1:30">
      <c r="A31" s="164"/>
      <c r="B31" t="s">
        <v>265</v>
      </c>
      <c r="C31" s="168">
        <f>Collars!B21</f>
        <v>2.550782608695652</v>
      </c>
      <c r="D31" s="168">
        <f>Collars!C21</f>
        <v>2.0640833333333335</v>
      </c>
      <c r="E31">
        <f t="shared" si="7"/>
        <v>3930.991761932004</v>
      </c>
      <c r="F31">
        <f t="shared" si="0"/>
        <v>0.5090794798638939</v>
      </c>
      <c r="G31">
        <f t="shared" si="1"/>
        <v>50.907947986389388</v>
      </c>
      <c r="H31" s="169">
        <f>Collars!G21</f>
        <v>4.1245456912780689</v>
      </c>
      <c r="I31" s="168">
        <f t="shared" si="8"/>
        <v>412.45456912780691</v>
      </c>
      <c r="J31" s="168">
        <f t="shared" si="2"/>
        <v>2036.8126870508984</v>
      </c>
      <c r="K31" s="165">
        <f t="shared" si="3"/>
        <v>8.5211065077200598E-6</v>
      </c>
      <c r="L31" s="199">
        <f t="shared" si="4"/>
        <v>8.5211065077200592E-3</v>
      </c>
      <c r="M31" s="200">
        <f>(8*Viscosity*L30*($D31/1000))/($F$16*(($C31/1000/2)^2))</f>
        <v>1.3081048099286594E-2</v>
      </c>
      <c r="N31" s="201">
        <f t="shared" si="5"/>
        <v>13.081048099286594</v>
      </c>
      <c r="O31" s="188" t="s">
        <v>348</v>
      </c>
      <c r="P31" s="182">
        <v>19</v>
      </c>
      <c r="Q31" s="182">
        <f>K31*1000</f>
        <v>8.5211065077200592E-3</v>
      </c>
      <c r="R31" s="182">
        <f>(8*Viscosity*Q30*(D31/1000))/($F$16*((C31/1000/2)^2))</f>
        <v>1.3081048099286594E-2</v>
      </c>
      <c r="S31" s="183">
        <f t="shared" si="6"/>
        <v>13.081048099286594</v>
      </c>
      <c r="T31" s="189">
        <f>S31/$S$38*100</f>
        <v>0.72697870532686781</v>
      </c>
      <c r="U31" s="182" t="s">
        <v>355</v>
      </c>
      <c r="V31" s="182">
        <f>(PI()*V27)/V32</f>
        <v>6.3323054704211978</v>
      </c>
      <c r="W31" s="182"/>
      <c r="X31" s="191"/>
    </row>
    <row r="32" spans="1:30">
      <c r="A32" s="164" t="s">
        <v>304</v>
      </c>
      <c r="B32" t="s">
        <v>305</v>
      </c>
      <c r="C32" s="78">
        <f>'Choanocyte Chambers'!D12</f>
        <v>23.319566583953684</v>
      </c>
      <c r="D32" s="78">
        <f>C32</f>
        <v>23.319566583953684</v>
      </c>
      <c r="E32">
        <f t="shared" si="7"/>
        <v>3933.0558452653372</v>
      </c>
      <c r="F32">
        <f t="shared" si="0"/>
        <v>0.50934678708135106</v>
      </c>
      <c r="G32">
        <f t="shared" si="1"/>
        <v>50.93467870813511</v>
      </c>
      <c r="H32" s="78">
        <f>'Choanocyte Chambers'!J12</f>
        <v>4.0769445401425921</v>
      </c>
      <c r="I32" s="78">
        <f t="shared" si="8"/>
        <v>407.69445401425924</v>
      </c>
      <c r="J32" s="78">
        <f t="shared" si="2"/>
        <v>2013.3059457494282</v>
      </c>
      <c r="K32" s="165">
        <f t="shared" si="3"/>
        <v>8.6205963277854782E-6</v>
      </c>
      <c r="L32" s="199">
        <f t="shared" si="4"/>
        <v>8.6205963277854788E-3</v>
      </c>
      <c r="M32" s="200">
        <f>(8*Viscosity*L31*($D32/1000))/($F$16*(($C32/1000/2)^2))</f>
        <v>1.6101533922872385E-3</v>
      </c>
      <c r="N32" s="201">
        <f t="shared" si="5"/>
        <v>1.6101533922872384</v>
      </c>
      <c r="O32" s="188" t="s">
        <v>348</v>
      </c>
      <c r="P32" s="182">
        <v>19</v>
      </c>
      <c r="Q32" s="182">
        <f>K32*1000</f>
        <v>8.6205963277854788E-3</v>
      </c>
      <c r="R32" s="182">
        <f>(8*Viscosity*Q31*(D32/1000))/($F$16*((C32/1000/2)^2))</f>
        <v>1.6101533922872385E-3</v>
      </c>
      <c r="S32" s="183">
        <f t="shared" si="6"/>
        <v>1.6101533922872384</v>
      </c>
      <c r="T32" s="189">
        <f>S32/$S$38*100</f>
        <v>8.9484207963922979E-2</v>
      </c>
      <c r="U32" s="182" t="s">
        <v>356</v>
      </c>
      <c r="V32" s="182">
        <f>(V28*V29)/(SQRT((V28^2)+(V29^2)))</f>
        <v>5.8294271892137156E-5</v>
      </c>
      <c r="W32" s="182"/>
      <c r="X32" s="191"/>
    </row>
    <row r="33" spans="1:30">
      <c r="A33" s="164" t="s">
        <v>306</v>
      </c>
      <c r="B33" t="s">
        <v>307</v>
      </c>
      <c r="C33" s="57">
        <f>Apopyle!D12</f>
        <v>16.045883333333332</v>
      </c>
      <c r="D33" s="78">
        <v>0.5</v>
      </c>
      <c r="E33">
        <f t="shared" si="7"/>
        <v>3956.3754118492907</v>
      </c>
      <c r="F33">
        <f t="shared" si="0"/>
        <v>0.51236676614672971</v>
      </c>
      <c r="G33">
        <f t="shared" si="1"/>
        <v>51.236676614672973</v>
      </c>
      <c r="H33" s="57">
        <f>Apopyle!G12</f>
        <v>2.0794945546303398</v>
      </c>
      <c r="I33" s="78">
        <f t="shared" si="8"/>
        <v>207.94945546303398</v>
      </c>
      <c r="J33" s="78">
        <f t="shared" si="2"/>
        <v>1026.9108911754765</v>
      </c>
      <c r="K33" s="165">
        <f t="shared" si="3"/>
        <v>1.6901074856426318E-5</v>
      </c>
      <c r="L33" s="199">
        <f t="shared" si="4"/>
        <v>1.6901074856426317E-2</v>
      </c>
      <c r="M33" s="200">
        <f>(8*Viscosity*L32*($D33/1000))/($F$16*(($C33/1000/2)^2))</f>
        <v>7.3768641387641622E-5</v>
      </c>
      <c r="N33" s="201">
        <f t="shared" si="5"/>
        <v>7.3768641387641623E-2</v>
      </c>
      <c r="O33" s="188" t="s">
        <v>347</v>
      </c>
      <c r="P33" s="182">
        <v>15</v>
      </c>
      <c r="Q33" s="182">
        <f>K33*1000</f>
        <v>1.6901074856426317E-2</v>
      </c>
      <c r="R33" s="182">
        <f>(6*PI()*(Viscosity*1000)*K32)/($F$16*(C33/1000))</f>
        <v>1.394493697111974E-3</v>
      </c>
      <c r="S33" s="183">
        <f t="shared" si="6"/>
        <v>1.3944936971119739</v>
      </c>
      <c r="T33" s="189">
        <f>S33/$S$38*100</f>
        <v>7.7498929353239543E-2</v>
      </c>
      <c r="U33" s="182" t="s">
        <v>357</v>
      </c>
      <c r="V33" s="182">
        <f>(V28*V29)/(V28+V29)</f>
        <v>4.1527762803234495E-5</v>
      </c>
      <c r="W33" s="182"/>
      <c r="X33" s="191"/>
    </row>
    <row r="34" spans="1:30">
      <c r="A34" s="164" t="s">
        <v>308</v>
      </c>
      <c r="B34" t="s">
        <v>309</v>
      </c>
      <c r="C34" s="78">
        <f>('Excurrent Canals'!C30+'Excurrent Canals'!D30)/2</f>
        <v>45.18236293740982</v>
      </c>
      <c r="D34" s="78">
        <f>'Excurrent Canals'!S21</f>
        <v>173.22133333333332</v>
      </c>
      <c r="E34">
        <f t="shared" si="7"/>
        <v>3956.8754118492907</v>
      </c>
      <c r="F34">
        <f t="shared" si="0"/>
        <v>0.51243151818777877</v>
      </c>
      <c r="G34">
        <f t="shared" si="1"/>
        <v>51.243151818777875</v>
      </c>
      <c r="H34" s="78">
        <f>'Excurrent Canals'!K30</f>
        <v>4.6612540519000656E-2</v>
      </c>
      <c r="I34" s="78">
        <f t="shared" si="8"/>
        <v>4.661254051900066</v>
      </c>
      <c r="J34" s="78">
        <f t="shared" si="2"/>
        <v>23.018538527901562</v>
      </c>
      <c r="K34" s="165">
        <f t="shared" si="3"/>
        <v>7.5399651553023281E-4</v>
      </c>
      <c r="L34" s="199">
        <f t="shared" si="4"/>
        <v>0.75399651553023284</v>
      </c>
      <c r="M34" s="200">
        <f>(8*Viscosity*L33*($D34/1000))/($F$16*(($C34/1000/2)^2))</f>
        <v>6.3193084606668068E-3</v>
      </c>
      <c r="N34" s="201">
        <f t="shared" si="5"/>
        <v>6.3193084606668064</v>
      </c>
      <c r="O34" s="188" t="s">
        <v>348</v>
      </c>
      <c r="P34" s="182">
        <v>19</v>
      </c>
      <c r="Q34" s="182">
        <f>K34*1000</f>
        <v>0.75399651553023284</v>
      </c>
      <c r="R34" s="182">
        <f>(8*Viscosity*Q33*(D34/1000))/($F$16*((C34/1000/2)^2))</f>
        <v>6.3193084606668068E-3</v>
      </c>
      <c r="S34" s="183">
        <f t="shared" si="6"/>
        <v>6.3193084606668064</v>
      </c>
      <c r="T34" s="189">
        <f>S34/$S$38*100</f>
        <v>0.35119530548528616</v>
      </c>
      <c r="U34" s="182"/>
      <c r="V34" s="182"/>
      <c r="W34" s="182"/>
      <c r="X34" s="191"/>
    </row>
    <row r="35" spans="1:30">
      <c r="A35" s="31"/>
      <c r="B35" t="s">
        <v>310</v>
      </c>
      <c r="C35" s="78">
        <f>('Excurrent Canals'!C29+'Excurrent Canals'!D29)/2</f>
        <v>129.72900833333333</v>
      </c>
      <c r="D35" s="78">
        <f>D26</f>
        <v>647.51357142857159</v>
      </c>
      <c r="E35">
        <f t="shared" si="7"/>
        <v>4130.0967451826236</v>
      </c>
      <c r="F35">
        <f t="shared" si="0"/>
        <v>0.53486438796090763</v>
      </c>
      <c r="G35">
        <f t="shared" si="1"/>
        <v>53.486438796090766</v>
      </c>
      <c r="H35" s="78">
        <f>'Excurrent Canals'!K29</f>
        <v>3.4716095186080112E-2</v>
      </c>
      <c r="I35" s="78">
        <f t="shared" si="8"/>
        <v>3.4716095186080111</v>
      </c>
      <c r="J35" s="78">
        <f t="shared" si="2"/>
        <v>17.143750709175364</v>
      </c>
      <c r="K35" s="165">
        <f t="shared" si="3"/>
        <v>1.0123746044293147E-3</v>
      </c>
      <c r="L35" s="199">
        <f t="shared" si="4"/>
        <v>1.0123746044293147</v>
      </c>
      <c r="M35" s="200">
        <f>(8*Viscosity*L34*($D35/1000))/($F$16*(($C35/1000/2)^2))</f>
        <v>0.12783087146211203</v>
      </c>
      <c r="N35" s="201">
        <f t="shared" si="5"/>
        <v>127.83087146211203</v>
      </c>
      <c r="O35" s="188" t="s">
        <v>348</v>
      </c>
      <c r="P35" s="182">
        <v>19</v>
      </c>
      <c r="Q35" s="182">
        <f>K35*1000</f>
        <v>1.0123746044293147</v>
      </c>
      <c r="R35" s="182">
        <f>(8*Viscosity*Q34*(D35/1000))/($F$16*((C35/1000/2)^2))</f>
        <v>0.12783087146211203</v>
      </c>
      <c r="S35" s="183">
        <f t="shared" si="6"/>
        <v>127.83087146211203</v>
      </c>
      <c r="T35" s="189">
        <f>S35/$S$38*100</f>
        <v>7.1041953772343085</v>
      </c>
      <c r="U35" s="182"/>
      <c r="V35" s="182"/>
      <c r="W35" s="182"/>
      <c r="X35" s="191"/>
    </row>
    <row r="36" spans="1:30">
      <c r="A36" s="31"/>
      <c r="B36" t="s">
        <v>311</v>
      </c>
      <c r="C36" s="78">
        <f>('Excurrent Canals'!C28+'Excurrent Canals'!D28)/2</f>
        <v>282.42599999999999</v>
      </c>
      <c r="D36" s="78">
        <f>D25</f>
        <v>2944.154</v>
      </c>
      <c r="E36">
        <f t="shared" si="7"/>
        <v>4777.6103166111952</v>
      </c>
      <c r="F36">
        <f t="shared" si="0"/>
        <v>0.61872003867477743</v>
      </c>
      <c r="G36">
        <f t="shared" si="1"/>
        <v>61.872003867477744</v>
      </c>
      <c r="H36" s="78">
        <f ca="1">'Excurrent Canals'!K28</f>
        <v>1.2128013291497442E-2</v>
      </c>
      <c r="I36" s="78">
        <f t="shared" ca="1" si="8"/>
        <v>1.2128013291497441</v>
      </c>
      <c r="J36" s="78">
        <f t="shared" ca="1" si="2"/>
        <v>5.9891423661715759</v>
      </c>
      <c r="K36" s="165">
        <f t="shared" ca="1" si="3"/>
        <v>2.8978936851906151E-3</v>
      </c>
      <c r="L36" s="199">
        <f t="shared" ca="1" si="4"/>
        <v>2.8978936851906152</v>
      </c>
      <c r="M36" s="200">
        <f>(8*Viscosity*L35*($D36/1000))/($F$16*(($C36/1000/2)^2))</f>
        <v>0.16465849701785956</v>
      </c>
      <c r="N36" s="201">
        <f t="shared" si="5"/>
        <v>164.65849701785956</v>
      </c>
      <c r="O36" s="188" t="s">
        <v>348</v>
      </c>
      <c r="P36" s="182">
        <v>19</v>
      </c>
      <c r="Q36" s="182">
        <f ca="1">K36*1000</f>
        <v>2.8978936851906152</v>
      </c>
      <c r="R36" s="182">
        <f>(8*Viscosity*Q35*(D36/1000))/($F$16*((C36/1000/2)^2))</f>
        <v>0.16465849701785956</v>
      </c>
      <c r="S36" s="183">
        <f t="shared" si="6"/>
        <v>164.65849701785956</v>
      </c>
      <c r="T36" s="189">
        <f>S36/$S$38*100</f>
        <v>9.1508891393526621</v>
      </c>
      <c r="U36" s="182"/>
      <c r="V36" s="182"/>
      <c r="W36" s="182"/>
      <c r="X36" s="191"/>
    </row>
    <row r="37" spans="1:30">
      <c r="A37" s="164" t="s">
        <v>46</v>
      </c>
      <c r="B37" t="s">
        <v>312</v>
      </c>
      <c r="C37" s="78">
        <f>Osculum!G16</f>
        <v>3464.3125</v>
      </c>
      <c r="D37" s="78">
        <v>6676</v>
      </c>
      <c r="E37">
        <f t="shared" si="7"/>
        <v>7721.7643166111957</v>
      </c>
      <c r="F37">
        <f t="shared" si="0"/>
        <v>1</v>
      </c>
      <c r="G37">
        <f t="shared" si="1"/>
        <v>100</v>
      </c>
      <c r="H37" s="78">
        <f>(PI()*(C37/2/1000)^2)/(A16*1000)</f>
        <v>2.5734037569598027E-3</v>
      </c>
      <c r="I37" s="78">
        <f t="shared" si="8"/>
        <v>0.25734037569598028</v>
      </c>
      <c r="J37" s="78">
        <f t="shared" si="2"/>
        <v>1.2708166701036063</v>
      </c>
      <c r="K37" s="165">
        <f>B16</f>
        <v>1.3657279016666668E-2</v>
      </c>
      <c r="L37" s="199">
        <f t="shared" si="4"/>
        <v>13.657279016666667</v>
      </c>
      <c r="M37" s="200">
        <f ca="1">(8*Viscosity*L36*($D37/1000))/($F$16*(($C37/1000/2)^2))</f>
        <v>7.1032383351876949E-3</v>
      </c>
      <c r="N37" s="201">
        <f t="shared" ca="1" si="5"/>
        <v>7.1032383351876947</v>
      </c>
      <c r="O37" s="188" t="s">
        <v>358</v>
      </c>
      <c r="P37" s="182">
        <v>22</v>
      </c>
      <c r="Q37" s="182">
        <f>K37*1000</f>
        <v>13.657279016666667</v>
      </c>
      <c r="R37" s="182">
        <f>((Q37^2)/(2*F16))/1000</f>
        <v>9.5099381613029769E-3</v>
      </c>
      <c r="S37" s="183">
        <f t="shared" si="6"/>
        <v>9.5099381613029763</v>
      </c>
      <c r="T37" s="189">
        <f>S37/$S$38*100</f>
        <v>0.52851441870469518</v>
      </c>
      <c r="U37" s="182"/>
      <c r="V37" s="182"/>
      <c r="W37" s="182"/>
      <c r="X37" s="191"/>
    </row>
    <row r="38" spans="1:30">
      <c r="N38" s="202">
        <f ca="1">SUM(N23:N37)</f>
        <v>1813.5629599266144</v>
      </c>
      <c r="O38" s="192"/>
      <c r="P38" s="193"/>
      <c r="Q38" s="193">
        <f>K38*1000000</f>
        <v>0</v>
      </c>
      <c r="R38" s="193"/>
      <c r="S38" s="194">
        <f>SUM(S23:S37)</f>
        <v>1799.3715639036534</v>
      </c>
      <c r="T38" s="193"/>
      <c r="U38" s="193"/>
      <c r="V38" s="193"/>
      <c r="W38" s="193"/>
      <c r="X38" s="195"/>
    </row>
    <row r="39" spans="1:30">
      <c r="M39" s="12"/>
      <c r="N39" s="12"/>
      <c r="O39" s="12"/>
      <c r="P39" s="12"/>
      <c r="Q39" s="12"/>
      <c r="R39" s="12"/>
      <c r="S39" s="12"/>
      <c r="T39" s="12"/>
      <c r="U39" s="12"/>
      <c r="V39" s="12"/>
      <c r="W39" s="12"/>
      <c r="X39" s="12"/>
    </row>
    <row r="40" spans="1:30">
      <c r="S40" s="12"/>
      <c r="T40" s="12"/>
      <c r="U40" s="12"/>
      <c r="V40" s="12"/>
      <c r="W40" s="12"/>
      <c r="X40" s="12"/>
      <c r="Y40" s="12"/>
      <c r="Z40" s="12"/>
      <c r="AA40" s="12"/>
      <c r="AB40" s="12"/>
      <c r="AC40" s="12"/>
      <c r="AD40" s="12"/>
    </row>
    <row r="41" spans="1:30">
      <c r="K41">
        <f>($C$16)/(I23/1000)*((J16)/(100/1000))/1000000</f>
        <v>6.7453164845390778E-4</v>
      </c>
      <c r="S41" s="12"/>
      <c r="T41" s="12"/>
      <c r="U41" s="12"/>
      <c r="V41" s="12"/>
      <c r="W41" s="12"/>
      <c r="X41" s="12"/>
      <c r="Y41" s="12"/>
      <c r="Z41" s="12"/>
      <c r="AA41" s="12"/>
      <c r="AB41" s="12"/>
      <c r="AC41" s="12"/>
      <c r="AD41" s="12"/>
    </row>
    <row r="42" spans="1:30">
      <c r="A42" t="s">
        <v>313</v>
      </c>
      <c r="S42" s="12"/>
      <c r="T42" s="12"/>
      <c r="U42" s="12"/>
      <c r="V42" s="12"/>
      <c r="W42" s="12"/>
      <c r="X42" s="12"/>
      <c r="Y42" s="12"/>
      <c r="Z42" s="12"/>
      <c r="AA42" s="12"/>
      <c r="AB42" s="12"/>
      <c r="AC42" s="12"/>
      <c r="AD42" s="12"/>
    </row>
    <row r="43" spans="1:30">
      <c r="A43" t="s">
        <v>314</v>
      </c>
      <c r="C43">
        <f>Osculum!Q16</f>
        <v>1.3488298089147042</v>
      </c>
      <c r="D43" t="s">
        <v>315</v>
      </c>
      <c r="S43" s="12"/>
      <c r="T43" s="12"/>
      <c r="U43" s="12"/>
      <c r="V43" s="12"/>
      <c r="W43" s="12"/>
      <c r="X43" s="12"/>
      <c r="Y43" s="12"/>
      <c r="Z43" s="12"/>
      <c r="AA43" s="12"/>
      <c r="AB43" s="12"/>
      <c r="AC43" s="12"/>
      <c r="AD43" s="12"/>
    </row>
    <row r="44" spans="1:30">
      <c r="A44" t="s">
        <v>316</v>
      </c>
      <c r="C44">
        <f>(C43/44.661)*1000</f>
        <v>30.20151382447111</v>
      </c>
      <c r="D44" t="s">
        <v>317</v>
      </c>
    </row>
    <row r="45" spans="1:30">
      <c r="A45" t="s">
        <v>318</v>
      </c>
      <c r="C45" s="170">
        <f>C44*(C16/1000*60*60)</f>
        <v>16.232103870420747</v>
      </c>
      <c r="D45" t="s">
        <v>319</v>
      </c>
    </row>
    <row r="46" spans="1:30">
      <c r="C46">
        <f>C45*5.3333</f>
        <v>86.570679572114983</v>
      </c>
      <c r="D46" t="s">
        <v>320</v>
      </c>
    </row>
    <row r="48" spans="1:30">
      <c r="C48" t="s">
        <v>359</v>
      </c>
      <c r="D48" s="172"/>
      <c r="F48" t="s">
        <v>376</v>
      </c>
      <c r="G48" s="172"/>
    </row>
    <row r="49" spans="3:7">
      <c r="C49" s="173">
        <f>$E$16*$F$16*($S$38/1000)*($C$17/1000/60)</f>
        <v>2.6976467874209886</v>
      </c>
      <c r="D49" t="s">
        <v>321</v>
      </c>
      <c r="F49" s="173">
        <f ca="1">$E$16*$F$16*($N$38/1000)*($C$17/1000/60)</f>
        <v>2.7189227565750786</v>
      </c>
      <c r="G49" t="s">
        <v>321</v>
      </c>
    </row>
    <row r="50" spans="3:7">
      <c r="C50" s="171">
        <f>$C$49/$C$46*100</f>
        <v>3.1161206089110096</v>
      </c>
      <c r="D50" t="s">
        <v>322</v>
      </c>
      <c r="F50" s="171">
        <f ca="1">$F$49/$C$46*100</f>
        <v>3.1406970235345852</v>
      </c>
      <c r="G50" t="s">
        <v>322</v>
      </c>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197"/>
  <sheetViews>
    <sheetView topLeftCell="A10" workbookViewId="0">
      <selection activeCell="J23" sqref="J23"/>
    </sheetView>
  </sheetViews>
  <sheetFormatPr baseColWidth="10" defaultColWidth="11" defaultRowHeight="15" x14ac:dyDescent="0"/>
  <cols>
    <col min="1" max="1" width="25.6640625" customWidth="1"/>
    <col min="4" max="5" width="12.5" customWidth="1"/>
    <col min="6" max="6" width="12.1640625" customWidth="1"/>
    <col min="7" max="7" width="13.83203125" customWidth="1"/>
    <col min="8" max="8" width="13.5" customWidth="1"/>
    <col min="9" max="9" width="14.1640625" customWidth="1"/>
    <col min="10" max="10" width="20.1640625" customWidth="1"/>
    <col min="11" max="11" width="18.83203125" customWidth="1"/>
  </cols>
  <sheetData>
    <row r="1" spans="1:13">
      <c r="A1" t="s">
        <v>80</v>
      </c>
    </row>
    <row r="3" spans="1:13">
      <c r="A3" t="s">
        <v>0</v>
      </c>
    </row>
    <row r="5" spans="1:13">
      <c r="A5" t="s">
        <v>1</v>
      </c>
    </row>
    <row r="6" spans="1:13">
      <c r="A6" t="s">
        <v>94</v>
      </c>
    </row>
    <row r="7" spans="1:13">
      <c r="A7" t="s">
        <v>95</v>
      </c>
    </row>
    <row r="8" spans="1:13">
      <c r="A8" t="s">
        <v>2</v>
      </c>
    </row>
    <row r="9" spans="1:13">
      <c r="A9" t="s">
        <v>96</v>
      </c>
    </row>
    <row r="10" spans="1:13">
      <c r="A10" s="31" t="s">
        <v>248</v>
      </c>
    </row>
    <row r="12" spans="1:13">
      <c r="A12" s="18" t="s">
        <v>3</v>
      </c>
      <c r="B12" s="18"/>
      <c r="C12" s="18"/>
      <c r="D12" s="18"/>
      <c r="E12" s="18"/>
      <c r="F12" s="18"/>
      <c r="G12" s="18"/>
      <c r="H12" s="18"/>
      <c r="I12" s="18"/>
      <c r="J12" s="18"/>
      <c r="K12" s="18"/>
    </row>
    <row r="13" spans="1:13">
      <c r="A13" s="18"/>
      <c r="B13" s="18"/>
      <c r="C13" s="18"/>
      <c r="D13" s="18"/>
      <c r="E13" s="18"/>
      <c r="F13" s="18"/>
      <c r="G13" s="18"/>
      <c r="H13" s="18"/>
      <c r="I13" s="18"/>
      <c r="J13" s="18"/>
      <c r="K13" s="18"/>
    </row>
    <row r="14" spans="1:13" s="17" customFormat="1" ht="46" thickBot="1">
      <c r="A14" s="9" t="s">
        <v>4</v>
      </c>
      <c r="B14" s="9" t="s">
        <v>5</v>
      </c>
      <c r="C14" s="9" t="s">
        <v>86</v>
      </c>
      <c r="D14" s="9" t="s">
        <v>11</v>
      </c>
      <c r="E14" s="9" t="s">
        <v>87</v>
      </c>
      <c r="F14" s="9" t="s">
        <v>6</v>
      </c>
      <c r="G14" s="9" t="s">
        <v>7</v>
      </c>
      <c r="H14" s="9" t="s">
        <v>14</v>
      </c>
      <c r="I14" s="9" t="s">
        <v>15</v>
      </c>
      <c r="J14" s="9" t="s">
        <v>12</v>
      </c>
      <c r="K14" s="9" t="s">
        <v>10</v>
      </c>
      <c r="L14" s="9" t="s">
        <v>108</v>
      </c>
      <c r="M14" s="9" t="s">
        <v>109</v>
      </c>
    </row>
    <row r="15" spans="1:13" ht="16" thickTop="1">
      <c r="A15" s="5" t="s">
        <v>81</v>
      </c>
      <c r="B15" s="5">
        <f>B72</f>
        <v>25.487099999999998</v>
      </c>
      <c r="C15" s="5">
        <f t="shared" ref="C15:I15" si="0">C72</f>
        <v>21.091299999999997</v>
      </c>
      <c r="D15" s="5">
        <f t="shared" si="0"/>
        <v>12.743549999999999</v>
      </c>
      <c r="E15" s="5">
        <f t="shared" si="0"/>
        <v>10.545649999999998</v>
      </c>
      <c r="F15" s="5">
        <f t="shared" si="0"/>
        <v>387.5189296355731</v>
      </c>
      <c r="G15" s="5">
        <f t="shared" si="0"/>
        <v>676</v>
      </c>
      <c r="H15" s="5">
        <f t="shared" si="0"/>
        <v>261962.79643364743</v>
      </c>
      <c r="I15" s="5">
        <f t="shared" si="0"/>
        <v>2759715.1209999998</v>
      </c>
      <c r="J15" s="5">
        <f>H15/I15</f>
        <v>9.4923854437092614E-2</v>
      </c>
      <c r="K15" s="5">
        <f>J15*100</f>
        <v>9.4923854437092618</v>
      </c>
      <c r="L15" s="5">
        <f>J15*20.25</f>
        <v>1.9222080523511254</v>
      </c>
      <c r="M15" s="5">
        <f>K15</f>
        <v>9.4923854437092618</v>
      </c>
    </row>
    <row r="16" spans="1:13">
      <c r="A16" s="5" t="s">
        <v>93</v>
      </c>
      <c r="B16" s="5">
        <f>B119</f>
        <v>29.941500000000008</v>
      </c>
      <c r="C16" s="5">
        <f t="shared" ref="C16:I16" si="1">C119</f>
        <v>23.140499999999999</v>
      </c>
      <c r="D16" s="5">
        <f t="shared" si="1"/>
        <v>14.970750000000004</v>
      </c>
      <c r="E16" s="5">
        <f t="shared" si="1"/>
        <v>11.57025</v>
      </c>
      <c r="F16" s="5">
        <f t="shared" si="1"/>
        <v>548.76914017411741</v>
      </c>
      <c r="G16" s="5">
        <f t="shared" si="1"/>
        <v>645</v>
      </c>
      <c r="H16" s="5">
        <f t="shared" si="1"/>
        <v>353956.09541230573</v>
      </c>
      <c r="I16" s="5">
        <f t="shared" si="1"/>
        <v>1455804.0819999999</v>
      </c>
      <c r="J16" s="5">
        <f>H16/I16</f>
        <v>0.24313442982385164</v>
      </c>
      <c r="K16" s="5">
        <f>J16*100</f>
        <v>24.313442982385165</v>
      </c>
      <c r="L16" s="5">
        <f t="shared" ref="L16:L17" si="2">J16*20.25</f>
        <v>4.9234722039329961</v>
      </c>
      <c r="M16" s="5">
        <f t="shared" ref="M16:M17" si="3">K16</f>
        <v>24.313442982385165</v>
      </c>
    </row>
    <row r="17" spans="1:13">
      <c r="A17" s="5" t="s">
        <v>97</v>
      </c>
      <c r="B17" s="5">
        <f>B197</f>
        <v>26.518625</v>
      </c>
      <c r="C17" s="5">
        <f t="shared" ref="C17:I17" si="4">C197</f>
        <v>20.581</v>
      </c>
      <c r="D17" s="5">
        <f t="shared" si="4"/>
        <v>13.2593125</v>
      </c>
      <c r="E17" s="5">
        <f t="shared" si="4"/>
        <v>10.2905</v>
      </c>
      <c r="F17" s="5">
        <f t="shared" si="4"/>
        <v>435.26154773198903</v>
      </c>
      <c r="G17" s="5">
        <f t="shared" si="4"/>
        <v>66</v>
      </c>
      <c r="H17" s="5">
        <f t="shared" si="4"/>
        <v>28727.262150311275</v>
      </c>
      <c r="I17" s="5">
        <f t="shared" si="4"/>
        <v>178130.08199999999</v>
      </c>
      <c r="J17" s="5">
        <f>H17/I17</f>
        <v>0.16127125653212956</v>
      </c>
      <c r="K17" s="5">
        <f>J17*100</f>
        <v>16.127125653212957</v>
      </c>
      <c r="L17" s="5">
        <f t="shared" si="2"/>
        <v>3.2657429447756239</v>
      </c>
      <c r="M17" s="5">
        <f t="shared" si="3"/>
        <v>16.127125653212957</v>
      </c>
    </row>
    <row r="18" spans="1:13">
      <c r="A18" s="5"/>
      <c r="B18" s="5"/>
      <c r="C18" s="5"/>
      <c r="D18" s="5"/>
      <c r="E18" s="5"/>
      <c r="F18" s="5"/>
      <c r="G18" s="5"/>
      <c r="H18" s="5"/>
      <c r="I18" s="5"/>
      <c r="J18" s="5"/>
      <c r="K18" s="5"/>
      <c r="L18" s="5"/>
      <c r="M18" s="5"/>
    </row>
    <row r="19" spans="1:13">
      <c r="A19" s="5"/>
      <c r="B19" s="5"/>
      <c r="C19" s="5"/>
      <c r="D19" s="5"/>
      <c r="E19" s="5"/>
      <c r="F19" s="5"/>
      <c r="G19" s="5"/>
      <c r="H19" s="5"/>
      <c r="I19" s="5"/>
      <c r="J19" s="5"/>
      <c r="K19" s="5"/>
      <c r="L19" s="5"/>
      <c r="M19" s="5"/>
    </row>
    <row r="20" spans="1:13">
      <c r="A20" s="5"/>
      <c r="B20" s="5"/>
      <c r="C20" s="5"/>
      <c r="D20" s="5"/>
      <c r="E20" s="5"/>
      <c r="F20" s="5"/>
      <c r="G20" s="5"/>
      <c r="H20" s="5"/>
      <c r="I20" s="5"/>
      <c r="J20" s="5"/>
      <c r="K20" s="5"/>
      <c r="L20" s="5"/>
      <c r="M20" s="5"/>
    </row>
    <row r="21" spans="1:13">
      <c r="A21" s="5"/>
      <c r="B21" s="5"/>
      <c r="C21" s="5"/>
      <c r="D21" s="5"/>
      <c r="E21" s="5"/>
      <c r="F21" s="5"/>
      <c r="G21" s="5"/>
      <c r="H21" s="5"/>
      <c r="I21" s="5"/>
      <c r="J21" s="5"/>
      <c r="K21" s="5"/>
      <c r="L21" s="5"/>
      <c r="M21" s="5"/>
    </row>
    <row r="22" spans="1:13">
      <c r="A22" s="5"/>
      <c r="B22" s="5"/>
      <c r="C22" s="5"/>
      <c r="D22" s="5"/>
      <c r="E22" s="5"/>
      <c r="F22" s="5"/>
      <c r="G22" s="5"/>
      <c r="H22" s="5"/>
      <c r="I22" s="5"/>
      <c r="J22" s="5"/>
      <c r="K22" s="5"/>
      <c r="L22" s="5"/>
      <c r="M22" s="5"/>
    </row>
    <row r="23" spans="1:13" ht="16" thickBot="1">
      <c r="A23" s="5"/>
      <c r="B23" s="6">
        <f>AVERAGE(B15:C22)</f>
        <v>24.460004166666668</v>
      </c>
      <c r="C23" s="6"/>
      <c r="D23" s="6">
        <f>AVERAGE(D15:E22)</f>
        <v>12.230002083333334</v>
      </c>
      <c r="E23" s="6"/>
      <c r="F23" s="6">
        <f>AVERAGE(F15:F22)</f>
        <v>457.18320584722659</v>
      </c>
      <c r="G23" s="6">
        <f t="shared" ref="G23:M23" si="5">AVERAGE(G15:G22)</f>
        <v>462.33333333333331</v>
      </c>
      <c r="H23" s="6">
        <f t="shared" si="5"/>
        <v>214882.05133208816</v>
      </c>
      <c r="I23" s="6">
        <f t="shared" si="5"/>
        <v>1464549.7616666667</v>
      </c>
      <c r="J23" s="6">
        <f t="shared" si="5"/>
        <v>0.16644318026435792</v>
      </c>
      <c r="K23" s="6">
        <f t="shared" si="5"/>
        <v>16.644318026435794</v>
      </c>
      <c r="L23" s="6">
        <f t="shared" si="5"/>
        <v>3.3704744003532485</v>
      </c>
      <c r="M23" s="6">
        <f t="shared" si="5"/>
        <v>16.644318026435794</v>
      </c>
    </row>
    <row r="24" spans="1:13">
      <c r="A24" t="s">
        <v>98</v>
      </c>
      <c r="B24" t="s">
        <v>99</v>
      </c>
    </row>
    <row r="27" spans="1:13">
      <c r="A27" s="64" t="s">
        <v>81</v>
      </c>
    </row>
    <row r="28" spans="1:13">
      <c r="A28" t="s">
        <v>82</v>
      </c>
      <c r="B28">
        <v>59</v>
      </c>
    </row>
    <row r="29" spans="1:13">
      <c r="A29" t="s">
        <v>84</v>
      </c>
      <c r="B29">
        <v>186</v>
      </c>
    </row>
    <row r="30" spans="1:13">
      <c r="A30" t="s">
        <v>83</v>
      </c>
      <c r="B30">
        <v>431</v>
      </c>
    </row>
    <row r="32" spans="1:13">
      <c r="A32" t="s">
        <v>92</v>
      </c>
    </row>
    <row r="33" spans="1:9">
      <c r="A33" t="s">
        <v>85</v>
      </c>
      <c r="B33" t="s">
        <v>5</v>
      </c>
      <c r="C33" t="s">
        <v>86</v>
      </c>
      <c r="D33" t="s">
        <v>11</v>
      </c>
      <c r="E33" t="s">
        <v>87</v>
      </c>
      <c r="F33" t="s">
        <v>88</v>
      </c>
      <c r="G33" t="s">
        <v>7</v>
      </c>
      <c r="H33" t="s">
        <v>8</v>
      </c>
      <c r="I33" t="s">
        <v>9</v>
      </c>
    </row>
    <row r="34" spans="1:9">
      <c r="A34">
        <v>1</v>
      </c>
      <c r="B34">
        <v>35.101999999999997</v>
      </c>
      <c r="C34">
        <v>25.474</v>
      </c>
      <c r="D34">
        <f>B34/2</f>
        <v>17.550999999999998</v>
      </c>
      <c r="E34">
        <f>C34/2</f>
        <v>12.737</v>
      </c>
      <c r="F34">
        <f>PI()*D34*E34</f>
        <v>702.29388625059823</v>
      </c>
    </row>
    <row r="35" spans="1:9">
      <c r="A35">
        <v>2</v>
      </c>
      <c r="B35">
        <v>24.306999999999999</v>
      </c>
      <c r="C35">
        <v>23.702000000000002</v>
      </c>
      <c r="D35">
        <f t="shared" ref="D35:D43" si="6">B35/2</f>
        <v>12.153499999999999</v>
      </c>
      <c r="E35">
        <f t="shared" ref="E35:E43" si="7">C35/2</f>
        <v>11.851000000000001</v>
      </c>
      <c r="F35">
        <f t="shared" ref="F35:F43" si="8">PI()*D35*E35</f>
        <v>452.4871351838475</v>
      </c>
    </row>
    <row r="36" spans="1:9">
      <c r="A36">
        <v>3</v>
      </c>
      <c r="B36">
        <v>28.712</v>
      </c>
      <c r="C36">
        <v>20.9</v>
      </c>
      <c r="D36">
        <f t="shared" si="6"/>
        <v>14.356</v>
      </c>
      <c r="E36">
        <f t="shared" si="7"/>
        <v>10.45</v>
      </c>
      <c r="F36">
        <f t="shared" si="8"/>
        <v>471.30235821007147</v>
      </c>
    </row>
    <row r="37" spans="1:9">
      <c r="A37">
        <v>4</v>
      </c>
      <c r="B37">
        <v>23.888000000000002</v>
      </c>
      <c r="C37">
        <v>20.657</v>
      </c>
      <c r="D37">
        <f t="shared" si="6"/>
        <v>11.944000000000001</v>
      </c>
      <c r="E37">
        <f t="shared" si="7"/>
        <v>10.3285</v>
      </c>
      <c r="F37">
        <f t="shared" si="8"/>
        <v>387.55819204676044</v>
      </c>
    </row>
    <row r="38" spans="1:9">
      <c r="A38" s="8">
        <v>5</v>
      </c>
      <c r="B38">
        <v>22.751000000000001</v>
      </c>
      <c r="C38">
        <v>23.135999999999999</v>
      </c>
      <c r="D38">
        <f t="shared" si="6"/>
        <v>11.375500000000001</v>
      </c>
      <c r="E38">
        <f t="shared" si="7"/>
        <v>11.568</v>
      </c>
      <c r="F38">
        <f t="shared" si="8"/>
        <v>413.40778188717485</v>
      </c>
      <c r="G38" s="8"/>
      <c r="H38" s="8"/>
      <c r="I38" s="8"/>
    </row>
    <row r="39" spans="1:9">
      <c r="A39" s="12">
        <v>6</v>
      </c>
      <c r="B39">
        <v>24.667999999999999</v>
      </c>
      <c r="C39">
        <v>21.11</v>
      </c>
      <c r="D39">
        <f t="shared" si="6"/>
        <v>12.334</v>
      </c>
      <c r="E39">
        <f t="shared" si="7"/>
        <v>10.555</v>
      </c>
      <c r="F39">
        <f t="shared" si="8"/>
        <v>408.98940199686905</v>
      </c>
    </row>
    <row r="40" spans="1:9">
      <c r="A40" s="12">
        <v>7</v>
      </c>
      <c r="B40">
        <v>23.888000000000002</v>
      </c>
      <c r="C40">
        <v>20.718</v>
      </c>
      <c r="D40">
        <f t="shared" si="6"/>
        <v>11.944000000000001</v>
      </c>
      <c r="E40">
        <f t="shared" si="7"/>
        <v>10.359</v>
      </c>
      <c r="F40">
        <f t="shared" si="8"/>
        <v>388.70264911772199</v>
      </c>
    </row>
    <row r="41" spans="1:9">
      <c r="A41" s="12">
        <v>8</v>
      </c>
      <c r="B41">
        <v>25.474</v>
      </c>
      <c r="C41">
        <v>20.349</v>
      </c>
      <c r="D41">
        <f t="shared" si="6"/>
        <v>12.737</v>
      </c>
      <c r="E41">
        <f t="shared" si="7"/>
        <v>10.1745</v>
      </c>
      <c r="F41">
        <f t="shared" si="8"/>
        <v>407.12718053995286</v>
      </c>
    </row>
    <row r="42" spans="1:9">
      <c r="A42" s="12">
        <v>9</v>
      </c>
      <c r="B42">
        <v>22.917000000000002</v>
      </c>
      <c r="C42">
        <v>18.013000000000002</v>
      </c>
      <c r="D42">
        <f t="shared" si="6"/>
        <v>11.458500000000001</v>
      </c>
      <c r="E42">
        <f t="shared" si="7"/>
        <v>9.0065000000000008</v>
      </c>
      <c r="F42">
        <f t="shared" si="8"/>
        <v>324.21544139666537</v>
      </c>
    </row>
    <row r="43" spans="1:9">
      <c r="A43" s="12">
        <v>10</v>
      </c>
      <c r="B43">
        <v>23.164000000000001</v>
      </c>
      <c r="C43">
        <v>16.853999999999999</v>
      </c>
      <c r="D43">
        <f t="shared" si="6"/>
        <v>11.582000000000001</v>
      </c>
      <c r="E43">
        <f t="shared" si="7"/>
        <v>8.4269999999999996</v>
      </c>
      <c r="F43">
        <f t="shared" si="8"/>
        <v>306.62419936164133</v>
      </c>
    </row>
    <row r="44" spans="1:9">
      <c r="F44" s="31">
        <f>AVERAGE(F34:F43)</f>
        <v>426.27082259913038</v>
      </c>
      <c r="G44" s="31">
        <f>B28</f>
        <v>59</v>
      </c>
      <c r="H44" s="31">
        <f>F44*G44</f>
        <v>25149.978533348694</v>
      </c>
      <c r="I44" s="31">
        <v>2759715.1209999998</v>
      </c>
    </row>
    <row r="46" spans="1:9">
      <c r="A46" t="s">
        <v>89</v>
      </c>
      <c r="B46" t="s">
        <v>5</v>
      </c>
      <c r="C46" t="s">
        <v>86</v>
      </c>
      <c r="D46" t="s">
        <v>11</v>
      </c>
      <c r="E46" t="s">
        <v>87</v>
      </c>
      <c r="F46" t="s">
        <v>88</v>
      </c>
      <c r="G46" t="s">
        <v>7</v>
      </c>
      <c r="H46" t="s">
        <v>8</v>
      </c>
      <c r="I46" t="s">
        <v>9</v>
      </c>
    </row>
    <row r="47" spans="1:9">
      <c r="A47">
        <v>1</v>
      </c>
      <c r="B47">
        <v>17.550999999999998</v>
      </c>
      <c r="C47">
        <v>13.53</v>
      </c>
      <c r="D47">
        <f>B47/2</f>
        <v>8.7754999999999992</v>
      </c>
      <c r="E47">
        <f>C47/2</f>
        <v>6.7649999999999997</v>
      </c>
      <c r="F47">
        <f>PI()*D47*E47</f>
        <v>186.50459843311992</v>
      </c>
    </row>
    <row r="48" spans="1:9">
      <c r="A48">
        <v>2</v>
      </c>
      <c r="B48">
        <v>16.702999999999999</v>
      </c>
      <c r="C48">
        <v>13.715</v>
      </c>
      <c r="D48">
        <f t="shared" ref="D48:D56" si="9">B48/2</f>
        <v>8.3514999999999997</v>
      </c>
      <c r="E48">
        <f t="shared" ref="E48:E56" si="10">C48/2</f>
        <v>6.8574999999999999</v>
      </c>
      <c r="F48">
        <f t="shared" ref="F48:F56" si="11">PI()*D48*E48</f>
        <v>179.92030325106623</v>
      </c>
    </row>
    <row r="49" spans="1:9">
      <c r="A49">
        <v>3</v>
      </c>
      <c r="B49">
        <v>14.606999999999999</v>
      </c>
      <c r="C49">
        <v>14.606999999999999</v>
      </c>
      <c r="D49">
        <f t="shared" si="9"/>
        <v>7.3034999999999997</v>
      </c>
      <c r="E49">
        <f t="shared" si="10"/>
        <v>7.3034999999999997</v>
      </c>
      <c r="F49">
        <f t="shared" si="11"/>
        <v>167.5760463789085</v>
      </c>
    </row>
    <row r="50" spans="1:9">
      <c r="A50">
        <v>4</v>
      </c>
      <c r="B50">
        <v>13.715</v>
      </c>
      <c r="C50">
        <v>15.968999999999999</v>
      </c>
      <c r="D50">
        <f t="shared" si="9"/>
        <v>6.8574999999999999</v>
      </c>
      <c r="E50">
        <f t="shared" si="10"/>
        <v>7.9844999999999997</v>
      </c>
      <c r="F50">
        <f t="shared" si="11"/>
        <v>172.01384916579516</v>
      </c>
    </row>
    <row r="51" spans="1:9">
      <c r="A51" s="8">
        <v>5</v>
      </c>
      <c r="B51">
        <v>13.53</v>
      </c>
      <c r="C51">
        <v>15.282999999999999</v>
      </c>
      <c r="D51">
        <f t="shared" si="9"/>
        <v>6.7649999999999997</v>
      </c>
      <c r="E51">
        <f t="shared" si="10"/>
        <v>7.6414999999999997</v>
      </c>
      <c r="F51">
        <f t="shared" si="11"/>
        <v>162.4038389751793</v>
      </c>
    </row>
    <row r="52" spans="1:9">
      <c r="A52" s="12">
        <v>6</v>
      </c>
      <c r="B52">
        <v>20.657</v>
      </c>
      <c r="C52">
        <v>12.561999999999999</v>
      </c>
      <c r="D52">
        <f t="shared" si="9"/>
        <v>10.3285</v>
      </c>
      <c r="E52">
        <f t="shared" si="10"/>
        <v>6.2809999999999997</v>
      </c>
      <c r="F52">
        <f t="shared" si="11"/>
        <v>203.80550939766428</v>
      </c>
    </row>
    <row r="53" spans="1:9">
      <c r="A53" s="12">
        <v>7</v>
      </c>
      <c r="B53">
        <v>13.576000000000001</v>
      </c>
      <c r="C53">
        <v>11.236000000000001</v>
      </c>
      <c r="D53">
        <f t="shared" si="9"/>
        <v>6.7880000000000003</v>
      </c>
      <c r="E53">
        <f t="shared" si="10"/>
        <v>5.6180000000000003</v>
      </c>
      <c r="F53">
        <f t="shared" si="11"/>
        <v>119.80458557916432</v>
      </c>
    </row>
    <row r="54" spans="1:9">
      <c r="A54" s="12">
        <v>8</v>
      </c>
      <c r="B54">
        <v>22.584</v>
      </c>
      <c r="C54">
        <v>14.779</v>
      </c>
      <c r="D54">
        <f t="shared" si="9"/>
        <v>11.292</v>
      </c>
      <c r="E54">
        <f t="shared" si="10"/>
        <v>7.3895</v>
      </c>
      <c r="F54">
        <f t="shared" si="11"/>
        <v>262.14150933352045</v>
      </c>
    </row>
    <row r="55" spans="1:9">
      <c r="A55" s="12">
        <v>9</v>
      </c>
      <c r="B55">
        <v>18.835000000000001</v>
      </c>
      <c r="C55">
        <v>12.101000000000001</v>
      </c>
      <c r="D55">
        <f t="shared" si="9"/>
        <v>9.4175000000000004</v>
      </c>
      <c r="E55">
        <f t="shared" si="10"/>
        <v>6.0505000000000004</v>
      </c>
      <c r="F55">
        <f t="shared" si="11"/>
        <v>179.00978330625799</v>
      </c>
    </row>
    <row r="56" spans="1:9">
      <c r="A56" s="12">
        <v>10</v>
      </c>
      <c r="B56">
        <v>13.53</v>
      </c>
      <c r="C56">
        <v>18.117000000000001</v>
      </c>
      <c r="D56">
        <f t="shared" si="9"/>
        <v>6.7649999999999997</v>
      </c>
      <c r="E56">
        <f t="shared" si="10"/>
        <v>9.0585000000000004</v>
      </c>
      <c r="F56">
        <f t="shared" si="11"/>
        <v>192.51916186045435</v>
      </c>
    </row>
    <row r="57" spans="1:9">
      <c r="F57" s="31">
        <f>AVERAGE(F47:F56)</f>
        <v>182.569918568113</v>
      </c>
      <c r="G57" s="31">
        <f>B29</f>
        <v>186</v>
      </c>
      <c r="H57" s="31">
        <f>F57*G57</f>
        <v>33958.004853669016</v>
      </c>
      <c r="I57" s="31">
        <v>2759715.1209999998</v>
      </c>
    </row>
    <row r="59" spans="1:9">
      <c r="A59" t="s">
        <v>90</v>
      </c>
      <c r="B59" t="s">
        <v>5</v>
      </c>
      <c r="C59" t="s">
        <v>86</v>
      </c>
      <c r="D59" t="s">
        <v>11</v>
      </c>
      <c r="E59" t="s">
        <v>87</v>
      </c>
      <c r="F59" t="s">
        <v>88</v>
      </c>
      <c r="G59" t="s">
        <v>7</v>
      </c>
      <c r="H59" t="s">
        <v>8</v>
      </c>
      <c r="I59" t="s">
        <v>9</v>
      </c>
    </row>
    <row r="60" spans="1:9">
      <c r="A60">
        <v>1</v>
      </c>
      <c r="B60">
        <v>12.101000000000001</v>
      </c>
      <c r="C60">
        <v>4.0510000000000002</v>
      </c>
      <c r="D60">
        <f t="shared" ref="D60:E60" si="12">B60/2</f>
        <v>6.0505000000000004</v>
      </c>
      <c r="E60">
        <f t="shared" si="12"/>
        <v>2.0255000000000001</v>
      </c>
      <c r="F60">
        <f t="shared" ref="F60:F69" si="13">PI()*D60*E60</f>
        <v>38.501121963028993</v>
      </c>
    </row>
    <row r="61" spans="1:9">
      <c r="A61">
        <v>2</v>
      </c>
      <c r="B61">
        <v>7.9450000000000003</v>
      </c>
      <c r="C61">
        <v>5.6180000000000003</v>
      </c>
      <c r="D61">
        <f t="shared" ref="D61:D69" si="14">B61/2</f>
        <v>3.9725000000000001</v>
      </c>
      <c r="E61">
        <f t="shared" ref="E61:E69" si="15">C61/2</f>
        <v>2.8090000000000002</v>
      </c>
      <c r="F61">
        <f t="shared" si="13"/>
        <v>35.056254877226742</v>
      </c>
    </row>
    <row r="62" spans="1:9">
      <c r="A62">
        <v>3</v>
      </c>
      <c r="B62">
        <v>6.742</v>
      </c>
      <c r="C62">
        <v>5.0250000000000004</v>
      </c>
      <c r="D62">
        <f t="shared" si="14"/>
        <v>3.371</v>
      </c>
      <c r="E62">
        <f t="shared" si="15"/>
        <v>2.5125000000000002</v>
      </c>
      <c r="F62">
        <f t="shared" si="13"/>
        <v>26.608150948568625</v>
      </c>
    </row>
    <row r="63" spans="1:9">
      <c r="A63">
        <v>4</v>
      </c>
      <c r="B63">
        <v>9.0589999999999993</v>
      </c>
      <c r="C63">
        <v>7.9450000000000003</v>
      </c>
      <c r="D63">
        <f t="shared" si="14"/>
        <v>4.5294999999999996</v>
      </c>
      <c r="E63">
        <f t="shared" si="15"/>
        <v>3.9725000000000001</v>
      </c>
      <c r="F63">
        <f t="shared" si="13"/>
        <v>56.52805498981791</v>
      </c>
    </row>
    <row r="64" spans="1:9">
      <c r="A64" s="8">
        <v>5</v>
      </c>
      <c r="B64">
        <v>8.7759999999999998</v>
      </c>
      <c r="C64">
        <v>6.5519999999999996</v>
      </c>
      <c r="D64">
        <f t="shared" si="14"/>
        <v>4.3879999999999999</v>
      </c>
      <c r="E64">
        <f t="shared" si="15"/>
        <v>3.2759999999999998</v>
      </c>
      <c r="F64">
        <f t="shared" si="13"/>
        <v>45.160670855506794</v>
      </c>
    </row>
    <row r="65" spans="1:9">
      <c r="A65" s="12">
        <v>6</v>
      </c>
      <c r="B65">
        <v>10.359</v>
      </c>
      <c r="C65">
        <v>7.1059999999999999</v>
      </c>
      <c r="D65">
        <f t="shared" si="14"/>
        <v>5.1795</v>
      </c>
      <c r="E65">
        <f t="shared" si="15"/>
        <v>3.5529999999999999</v>
      </c>
      <c r="F65">
        <f t="shared" si="13"/>
        <v>57.813986617350388</v>
      </c>
    </row>
    <row r="66" spans="1:9">
      <c r="A66" s="12">
        <v>7</v>
      </c>
      <c r="B66">
        <v>10.359</v>
      </c>
      <c r="C66">
        <v>7.9450000000000003</v>
      </c>
      <c r="D66">
        <f t="shared" si="14"/>
        <v>5.1795</v>
      </c>
      <c r="E66">
        <f t="shared" si="15"/>
        <v>3.9725000000000001</v>
      </c>
      <c r="F66">
        <f t="shared" si="13"/>
        <v>64.640039920468453</v>
      </c>
    </row>
    <row r="67" spans="1:9">
      <c r="A67" s="12">
        <v>8</v>
      </c>
      <c r="B67">
        <v>10.6</v>
      </c>
      <c r="C67">
        <v>9.0589999999999993</v>
      </c>
      <c r="D67">
        <f t="shared" si="14"/>
        <v>5.3</v>
      </c>
      <c r="E67">
        <f t="shared" si="15"/>
        <v>4.5294999999999996</v>
      </c>
      <c r="F67">
        <f t="shared" si="13"/>
        <v>75.418172799505314</v>
      </c>
    </row>
    <row r="68" spans="1:9">
      <c r="A68" s="12">
        <v>9</v>
      </c>
      <c r="B68">
        <v>7.1950000000000003</v>
      </c>
      <c r="C68">
        <v>7.9450000000000003</v>
      </c>
      <c r="D68">
        <f t="shared" si="14"/>
        <v>3.5975000000000001</v>
      </c>
      <c r="E68">
        <f t="shared" si="15"/>
        <v>3.9725000000000001</v>
      </c>
      <c r="F68">
        <f t="shared" si="13"/>
        <v>44.896716596946668</v>
      </c>
    </row>
    <row r="69" spans="1:9">
      <c r="A69" s="12">
        <v>10</v>
      </c>
      <c r="B69">
        <v>6.0510000000000002</v>
      </c>
      <c r="C69">
        <v>5.0250000000000004</v>
      </c>
      <c r="D69">
        <f t="shared" si="14"/>
        <v>3.0255000000000001</v>
      </c>
      <c r="E69">
        <f t="shared" si="15"/>
        <v>2.5125000000000002</v>
      </c>
      <c r="F69">
        <f t="shared" si="13"/>
        <v>23.881032540757747</v>
      </c>
    </row>
    <row r="70" spans="1:9">
      <c r="F70" s="31">
        <f>AVERAGE(F60:F69)</f>
        <v>46.850420210917761</v>
      </c>
      <c r="G70" s="31">
        <f>B30</f>
        <v>431</v>
      </c>
      <c r="H70" s="31">
        <f>F70*G70</f>
        <v>20192.531110905555</v>
      </c>
      <c r="I70" s="31">
        <v>2759715.1209999998</v>
      </c>
    </row>
    <row r="72" spans="1:9">
      <c r="A72" s="32" t="s">
        <v>91</v>
      </c>
      <c r="B72" s="32">
        <f>AVERAGE(B34:B43)</f>
        <v>25.487099999999998</v>
      </c>
      <c r="C72" s="32">
        <f>AVERAGE(C34:C43)</f>
        <v>21.091299999999997</v>
      </c>
      <c r="D72" s="32">
        <f>B72/2</f>
        <v>12.743549999999999</v>
      </c>
      <c r="E72" s="32">
        <f>C72/2</f>
        <v>10.545649999999998</v>
      </c>
      <c r="F72" s="32">
        <f>AVERAGE(,F34:F43)</f>
        <v>387.5189296355731</v>
      </c>
      <c r="G72" s="32">
        <f>SUM(G70+G57+G44)</f>
        <v>676</v>
      </c>
      <c r="H72" s="32">
        <f>G72*F72</f>
        <v>261962.79643364743</v>
      </c>
      <c r="I72" s="32">
        <f>I70</f>
        <v>2759715.1209999998</v>
      </c>
    </row>
    <row r="75" spans="1:9">
      <c r="A75" s="64" t="s">
        <v>93</v>
      </c>
    </row>
    <row r="76" spans="1:9">
      <c r="A76" t="s">
        <v>82</v>
      </c>
      <c r="B76">
        <v>161</v>
      </c>
    </row>
    <row r="77" spans="1:9">
      <c r="A77" t="s">
        <v>84</v>
      </c>
      <c r="B77">
        <v>156</v>
      </c>
    </row>
    <row r="78" spans="1:9">
      <c r="A78" t="s">
        <v>83</v>
      </c>
      <c r="B78">
        <v>328</v>
      </c>
    </row>
    <row r="80" spans="1:9">
      <c r="A80" t="s">
        <v>85</v>
      </c>
      <c r="B80" t="s">
        <v>5</v>
      </c>
      <c r="C80" t="s">
        <v>86</v>
      </c>
      <c r="D80" t="s">
        <v>11</v>
      </c>
      <c r="E80" t="s">
        <v>87</v>
      </c>
      <c r="F80" t="s">
        <v>88</v>
      </c>
      <c r="G80" t="s">
        <v>7</v>
      </c>
      <c r="H80" t="s">
        <v>8</v>
      </c>
      <c r="I80" t="s">
        <v>9</v>
      </c>
    </row>
    <row r="81" spans="1:9">
      <c r="A81">
        <v>1</v>
      </c>
      <c r="B81">
        <v>32.595999999999997</v>
      </c>
      <c r="C81">
        <v>23.716999999999999</v>
      </c>
      <c r="D81">
        <f t="shared" ref="D81:E81" si="16">B81/2</f>
        <v>16.297999999999998</v>
      </c>
      <c r="E81">
        <f t="shared" si="16"/>
        <v>11.858499999999999</v>
      </c>
      <c r="F81">
        <f t="shared" ref="F81:F90" si="17">PI()*D81*E81</f>
        <v>607.17508751332605</v>
      </c>
    </row>
    <row r="82" spans="1:9">
      <c r="A82">
        <v>2</v>
      </c>
      <c r="B82">
        <v>39.070999999999998</v>
      </c>
      <c r="C82">
        <v>22.81</v>
      </c>
      <c r="D82">
        <f t="shared" ref="D82:D90" si="18">B82/2</f>
        <v>19.535499999999999</v>
      </c>
      <c r="E82">
        <f t="shared" ref="E82:E90" si="19">C82/2</f>
        <v>11.404999999999999</v>
      </c>
      <c r="F82">
        <f t="shared" si="17"/>
        <v>699.95431235633976</v>
      </c>
    </row>
    <row r="83" spans="1:9">
      <c r="A83">
        <v>3</v>
      </c>
      <c r="B83">
        <v>32.5</v>
      </c>
      <c r="C83">
        <v>21.25</v>
      </c>
      <c r="D83">
        <f t="shared" si="18"/>
        <v>16.25</v>
      </c>
      <c r="E83">
        <f t="shared" si="19"/>
        <v>10.625</v>
      </c>
      <c r="F83">
        <f t="shared" si="17"/>
        <v>542.41560659636264</v>
      </c>
    </row>
    <row r="84" spans="1:9">
      <c r="A84">
        <v>4</v>
      </c>
      <c r="B84">
        <v>23.352</v>
      </c>
      <c r="C84">
        <v>16.297999999999998</v>
      </c>
      <c r="D84">
        <f t="shared" si="18"/>
        <v>11.676</v>
      </c>
      <c r="E84">
        <f t="shared" si="19"/>
        <v>8.1489999999999991</v>
      </c>
      <c r="F84">
        <f t="shared" si="17"/>
        <v>298.91539072418919</v>
      </c>
    </row>
    <row r="85" spans="1:9">
      <c r="A85" s="8">
        <v>5</v>
      </c>
      <c r="B85">
        <v>26.28</v>
      </c>
      <c r="C85">
        <v>22.946999999999999</v>
      </c>
      <c r="D85">
        <f t="shared" si="18"/>
        <v>13.14</v>
      </c>
      <c r="E85">
        <f t="shared" si="19"/>
        <v>11.4735</v>
      </c>
      <c r="F85">
        <f t="shared" si="17"/>
        <v>473.63213190604716</v>
      </c>
    </row>
    <row r="86" spans="1:9">
      <c r="A86" s="12">
        <v>6</v>
      </c>
      <c r="B86">
        <v>30.103999999999999</v>
      </c>
      <c r="C86">
        <v>17.896999999999998</v>
      </c>
      <c r="D86">
        <f t="shared" si="18"/>
        <v>15.052</v>
      </c>
      <c r="E86">
        <f t="shared" si="19"/>
        <v>8.9484999999999992</v>
      </c>
      <c r="F86">
        <f t="shared" si="17"/>
        <v>423.14998008647763</v>
      </c>
    </row>
    <row r="87" spans="1:9">
      <c r="A87" s="12">
        <v>7</v>
      </c>
      <c r="B87">
        <v>32.811</v>
      </c>
      <c r="C87">
        <v>32.451999999999998</v>
      </c>
      <c r="D87">
        <f t="shared" si="18"/>
        <v>16.4055</v>
      </c>
      <c r="E87">
        <f t="shared" si="19"/>
        <v>16.225999999999999</v>
      </c>
      <c r="F87">
        <f t="shared" si="17"/>
        <v>836.27827646641117</v>
      </c>
    </row>
    <row r="88" spans="1:9">
      <c r="A88" s="12">
        <v>8</v>
      </c>
      <c r="B88">
        <v>23.048999999999999</v>
      </c>
      <c r="C88">
        <v>21.36</v>
      </c>
      <c r="D88">
        <f t="shared" si="18"/>
        <v>11.5245</v>
      </c>
      <c r="E88">
        <f t="shared" si="19"/>
        <v>10.68</v>
      </c>
      <c r="F88">
        <f t="shared" si="17"/>
        <v>386.67243884763673</v>
      </c>
    </row>
    <row r="89" spans="1:9">
      <c r="A89" s="12">
        <v>9</v>
      </c>
      <c r="B89">
        <v>34.003999999999998</v>
      </c>
      <c r="C89">
        <v>24.141999999999999</v>
      </c>
      <c r="D89">
        <f t="shared" si="18"/>
        <v>17.001999999999999</v>
      </c>
      <c r="E89">
        <f t="shared" si="19"/>
        <v>12.071</v>
      </c>
      <c r="F89">
        <f t="shared" si="17"/>
        <v>644.75264799504362</v>
      </c>
    </row>
    <row r="90" spans="1:9">
      <c r="A90" s="12">
        <v>10</v>
      </c>
      <c r="B90">
        <v>25.648</v>
      </c>
      <c r="C90">
        <v>28.532</v>
      </c>
      <c r="D90">
        <f t="shared" si="18"/>
        <v>12.824</v>
      </c>
      <c r="E90">
        <f t="shared" si="19"/>
        <v>14.266</v>
      </c>
      <c r="F90">
        <f t="shared" si="17"/>
        <v>574.74552924934017</v>
      </c>
    </row>
    <row r="91" spans="1:9">
      <c r="F91" s="31">
        <f>AVERAGE(F81:F90)</f>
        <v>548.76914017411741</v>
      </c>
      <c r="G91" s="31">
        <f>B76</f>
        <v>161</v>
      </c>
      <c r="H91" s="31">
        <f>F91*G91</f>
        <v>88351.831568032896</v>
      </c>
      <c r="I91" s="31">
        <v>1455804.0819999999</v>
      </c>
    </row>
    <row r="93" spans="1:9">
      <c r="A93" t="s">
        <v>89</v>
      </c>
      <c r="B93" t="s">
        <v>5</v>
      </c>
      <c r="C93" t="s">
        <v>86</v>
      </c>
      <c r="D93" t="s">
        <v>11</v>
      </c>
      <c r="E93" t="s">
        <v>87</v>
      </c>
      <c r="F93" t="s">
        <v>88</v>
      </c>
      <c r="G93" t="s">
        <v>7</v>
      </c>
      <c r="H93" t="s">
        <v>8</v>
      </c>
      <c r="I93" t="s">
        <v>9</v>
      </c>
    </row>
    <row r="94" spans="1:9">
      <c r="A94">
        <v>1</v>
      </c>
      <c r="B94">
        <v>18.376000000000001</v>
      </c>
      <c r="C94">
        <v>13.34</v>
      </c>
      <c r="D94">
        <f t="shared" ref="D94:E94" si="20">B94/2</f>
        <v>9.1880000000000006</v>
      </c>
      <c r="E94">
        <f t="shared" si="20"/>
        <v>6.67</v>
      </c>
      <c r="F94">
        <f t="shared" ref="F94:F103" si="21">PI()*D94*E94</f>
        <v>192.52923851889076</v>
      </c>
    </row>
    <row r="95" spans="1:9">
      <c r="A95">
        <v>2</v>
      </c>
      <c r="B95">
        <v>18.975000000000001</v>
      </c>
      <c r="C95">
        <v>16.510000000000002</v>
      </c>
      <c r="D95">
        <f t="shared" ref="D95:D103" si="22">B95/2</f>
        <v>9.4875000000000007</v>
      </c>
      <c r="E95">
        <f t="shared" ref="E95:E103" si="23">C95/2</f>
        <v>8.2550000000000008</v>
      </c>
      <c r="F95">
        <f t="shared" si="21"/>
        <v>246.04737678420329</v>
      </c>
    </row>
    <row r="96" spans="1:9">
      <c r="A96">
        <v>3</v>
      </c>
      <c r="B96">
        <v>20.212</v>
      </c>
      <c r="C96">
        <v>12.026</v>
      </c>
      <c r="D96">
        <f t="shared" si="22"/>
        <v>10.106</v>
      </c>
      <c r="E96">
        <f t="shared" si="23"/>
        <v>6.0129999999999999</v>
      </c>
      <c r="F96">
        <f t="shared" si="21"/>
        <v>190.90634830271401</v>
      </c>
    </row>
    <row r="97" spans="1:9">
      <c r="A97">
        <v>4</v>
      </c>
      <c r="B97">
        <v>20.420999999999999</v>
      </c>
      <c r="C97">
        <v>10.840999999999999</v>
      </c>
      <c r="D97">
        <f t="shared" si="22"/>
        <v>10.2105</v>
      </c>
      <c r="E97">
        <f t="shared" si="23"/>
        <v>5.4204999999999997</v>
      </c>
      <c r="F97">
        <f t="shared" si="21"/>
        <v>173.87463491486864</v>
      </c>
    </row>
    <row r="98" spans="1:9">
      <c r="A98" s="8">
        <v>5</v>
      </c>
      <c r="B98">
        <v>18.898</v>
      </c>
      <c r="C98">
        <v>11.733000000000001</v>
      </c>
      <c r="D98">
        <f t="shared" si="22"/>
        <v>9.4489999999999998</v>
      </c>
      <c r="E98">
        <f t="shared" si="23"/>
        <v>5.8665000000000003</v>
      </c>
      <c r="F98">
        <f t="shared" si="21"/>
        <v>174.14651855328646</v>
      </c>
    </row>
    <row r="99" spans="1:9">
      <c r="A99" s="12">
        <v>6</v>
      </c>
      <c r="B99">
        <v>14.919</v>
      </c>
      <c r="C99">
        <v>14.337</v>
      </c>
      <c r="D99">
        <f t="shared" si="22"/>
        <v>7.4595000000000002</v>
      </c>
      <c r="E99">
        <f t="shared" si="23"/>
        <v>7.1684999999999999</v>
      </c>
      <c r="F99">
        <f t="shared" si="21"/>
        <v>167.99172149847928</v>
      </c>
    </row>
    <row r="100" spans="1:9">
      <c r="A100" s="12">
        <v>7</v>
      </c>
      <c r="B100">
        <v>18.09</v>
      </c>
      <c r="C100">
        <v>14.319000000000001</v>
      </c>
      <c r="D100">
        <f t="shared" si="22"/>
        <v>9.0449999999999999</v>
      </c>
      <c r="E100">
        <f t="shared" si="23"/>
        <v>7.1595000000000004</v>
      </c>
      <c r="F100">
        <f t="shared" si="21"/>
        <v>203.44224389753705</v>
      </c>
    </row>
    <row r="101" spans="1:9">
      <c r="A101" s="12">
        <v>8</v>
      </c>
      <c r="B101">
        <v>16.795999999999999</v>
      </c>
      <c r="C101">
        <v>12.7</v>
      </c>
      <c r="D101">
        <f t="shared" si="22"/>
        <v>8.3979999999999997</v>
      </c>
      <c r="E101">
        <f t="shared" si="23"/>
        <v>6.35</v>
      </c>
      <c r="F101">
        <f t="shared" si="21"/>
        <v>167.53265391577898</v>
      </c>
    </row>
    <row r="102" spans="1:9">
      <c r="A102" s="12">
        <v>9</v>
      </c>
      <c r="B102">
        <v>18.456</v>
      </c>
      <c r="C102">
        <v>14.583</v>
      </c>
      <c r="D102">
        <f t="shared" si="22"/>
        <v>9.2279999999999998</v>
      </c>
      <c r="E102">
        <f t="shared" si="23"/>
        <v>7.2915000000000001</v>
      </c>
      <c r="F102">
        <f t="shared" si="21"/>
        <v>211.38508390892198</v>
      </c>
    </row>
    <row r="103" spans="1:9">
      <c r="A103" s="12">
        <v>10</v>
      </c>
      <c r="B103">
        <v>16.007999999999999</v>
      </c>
      <c r="C103">
        <v>9.1760000000000002</v>
      </c>
      <c r="D103">
        <f t="shared" si="22"/>
        <v>8.0039999999999996</v>
      </c>
      <c r="E103">
        <f t="shared" si="23"/>
        <v>4.5880000000000001</v>
      </c>
      <c r="F103">
        <f t="shared" si="21"/>
        <v>115.36667126573845</v>
      </c>
    </row>
    <row r="104" spans="1:9">
      <c r="F104" s="31">
        <f>AVERAGE(F94:F103)</f>
        <v>184.32224915604189</v>
      </c>
      <c r="G104" s="31">
        <f>B77</f>
        <v>156</v>
      </c>
      <c r="H104" s="31">
        <f>F104*G104</f>
        <v>28754.270868342534</v>
      </c>
      <c r="I104" s="31">
        <v>1455804.0819999999</v>
      </c>
    </row>
    <row r="106" spans="1:9">
      <c r="A106" t="s">
        <v>90</v>
      </c>
      <c r="B106" t="s">
        <v>5</v>
      </c>
      <c r="C106" t="s">
        <v>86</v>
      </c>
      <c r="D106" t="s">
        <v>11</v>
      </c>
      <c r="E106" t="s">
        <v>87</v>
      </c>
      <c r="F106" t="s">
        <v>88</v>
      </c>
      <c r="G106" t="s">
        <v>7</v>
      </c>
      <c r="H106" t="s">
        <v>8</v>
      </c>
      <c r="I106" t="s">
        <v>9</v>
      </c>
    </row>
    <row r="107" spans="1:9">
      <c r="A107">
        <v>1</v>
      </c>
      <c r="B107">
        <v>6.9880000000000004</v>
      </c>
      <c r="C107">
        <v>4.7510000000000003</v>
      </c>
      <c r="D107">
        <f>B107/2</f>
        <v>3.4940000000000002</v>
      </c>
      <c r="E107">
        <f>C107/2</f>
        <v>2.3755000000000002</v>
      </c>
      <c r="F107">
        <f>PI()*D107*E107</f>
        <v>26.075209600017327</v>
      </c>
    </row>
    <row r="108" spans="1:9">
      <c r="A108">
        <v>2</v>
      </c>
      <c r="B108">
        <v>4.1669999999999998</v>
      </c>
      <c r="C108">
        <v>3.536</v>
      </c>
      <c r="D108">
        <f t="shared" ref="D108" si="24">B108/2</f>
        <v>2.0834999999999999</v>
      </c>
      <c r="E108">
        <f t="shared" ref="E108" si="25">C108/2</f>
        <v>1.768</v>
      </c>
      <c r="F108">
        <f t="shared" ref="F108:F115" si="26">PI()*D108*E108</f>
        <v>11.572458663357661</v>
      </c>
    </row>
    <row r="109" spans="1:9">
      <c r="A109">
        <v>3</v>
      </c>
      <c r="B109">
        <v>6.194</v>
      </c>
      <c r="C109">
        <v>5.8029999999999999</v>
      </c>
      <c r="D109">
        <f t="shared" ref="D109:D116" si="27">B109/2</f>
        <v>3.097</v>
      </c>
      <c r="E109">
        <f t="shared" ref="E109:E116" si="28">C109/2</f>
        <v>2.9015</v>
      </c>
      <c r="F109">
        <f>PI()*D109*E109</f>
        <v>28.230180368358262</v>
      </c>
    </row>
    <row r="110" spans="1:9">
      <c r="A110">
        <v>4</v>
      </c>
      <c r="B110">
        <v>7.649</v>
      </c>
      <c r="C110">
        <v>4.5069999999999997</v>
      </c>
      <c r="D110">
        <f t="shared" si="27"/>
        <v>3.8245</v>
      </c>
      <c r="E110">
        <f t="shared" si="28"/>
        <v>2.2534999999999998</v>
      </c>
      <c r="F110">
        <f t="shared" si="26"/>
        <v>27.075850057084654</v>
      </c>
    </row>
    <row r="111" spans="1:9">
      <c r="A111" s="8">
        <v>5</v>
      </c>
      <c r="B111">
        <v>7.8280000000000003</v>
      </c>
      <c r="C111">
        <v>3.8410000000000002</v>
      </c>
      <c r="D111">
        <f t="shared" si="27"/>
        <v>3.9140000000000001</v>
      </c>
      <c r="E111">
        <f t="shared" si="28"/>
        <v>1.9205000000000001</v>
      </c>
      <c r="F111">
        <f t="shared" si="26"/>
        <v>23.614839897431942</v>
      </c>
    </row>
    <row r="112" spans="1:9">
      <c r="A112" s="12">
        <v>6</v>
      </c>
      <c r="B112">
        <v>8.6999999999999993</v>
      </c>
      <c r="C112">
        <v>5.7889999999999997</v>
      </c>
      <c r="D112">
        <f t="shared" si="27"/>
        <v>4.3499999999999996</v>
      </c>
      <c r="E112">
        <f t="shared" si="28"/>
        <v>2.8944999999999999</v>
      </c>
      <c r="F112">
        <f t="shared" si="26"/>
        <v>39.556028720798096</v>
      </c>
    </row>
    <row r="113" spans="1:9">
      <c r="A113" s="12">
        <v>7</v>
      </c>
      <c r="B113">
        <v>17.896999999999998</v>
      </c>
      <c r="C113">
        <v>11.18</v>
      </c>
      <c r="D113">
        <f t="shared" si="27"/>
        <v>8.9484999999999992</v>
      </c>
      <c r="E113">
        <f t="shared" si="28"/>
        <v>5.59</v>
      </c>
      <c r="F113">
        <f t="shared" si="26"/>
        <v>157.14910900102376</v>
      </c>
    </row>
    <row r="114" spans="1:9">
      <c r="A114" s="12">
        <v>8</v>
      </c>
      <c r="B114">
        <v>12.885</v>
      </c>
      <c r="C114">
        <v>7.6289999999999996</v>
      </c>
      <c r="D114">
        <f t="shared" si="27"/>
        <v>6.4424999999999999</v>
      </c>
      <c r="E114">
        <f t="shared" si="28"/>
        <v>3.8144999999999998</v>
      </c>
      <c r="F114">
        <f t="shared" si="26"/>
        <v>77.204376353584422</v>
      </c>
    </row>
    <row r="115" spans="1:9">
      <c r="A115" s="12">
        <v>9</v>
      </c>
      <c r="B115">
        <v>12.577999999999999</v>
      </c>
      <c r="C115">
        <v>8.5009999999999994</v>
      </c>
      <c r="D115">
        <f t="shared" si="27"/>
        <v>6.2889999999999997</v>
      </c>
      <c r="E115">
        <f t="shared" si="28"/>
        <v>4.2504999999999997</v>
      </c>
      <c r="F115">
        <f t="shared" si="26"/>
        <v>83.979152581410588</v>
      </c>
    </row>
    <row r="116" spans="1:9">
      <c r="A116" s="12">
        <v>10</v>
      </c>
      <c r="B116">
        <v>9.8819999999999997</v>
      </c>
      <c r="C116">
        <v>7.0709999999999997</v>
      </c>
      <c r="D116">
        <f t="shared" si="27"/>
        <v>4.9409999999999998</v>
      </c>
      <c r="E116">
        <f t="shared" si="28"/>
        <v>3.5354999999999999</v>
      </c>
      <c r="F116">
        <f>PI()*D116*E116</f>
        <v>54.880185185054323</v>
      </c>
    </row>
    <row r="117" spans="1:9">
      <c r="F117" s="31">
        <f>AVERAGE(F107:F116)</f>
        <v>52.9337390428121</v>
      </c>
      <c r="G117" s="31">
        <f>B78</f>
        <v>328</v>
      </c>
      <c r="H117" s="31">
        <f>F117*G117</f>
        <v>17362.26640604237</v>
      </c>
      <c r="I117" s="31">
        <v>1455804.0819999999</v>
      </c>
    </row>
    <row r="119" spans="1:9">
      <c r="A119" s="32" t="s">
        <v>91</v>
      </c>
      <c r="B119" s="32">
        <f>AVERAGE(B81:B90)</f>
        <v>29.941500000000008</v>
      </c>
      <c r="C119" s="32">
        <f>AVERAGE(C81:C90)</f>
        <v>23.140499999999999</v>
      </c>
      <c r="D119" s="32">
        <f>AVERAGE(D81:D90)</f>
        <v>14.970750000000004</v>
      </c>
      <c r="E119" s="32">
        <f>AVERAGE(E81:E90)</f>
        <v>11.57025</v>
      </c>
      <c r="F119" s="32">
        <f>AVERAGE(F81:F90)</f>
        <v>548.76914017411741</v>
      </c>
      <c r="G119" s="32">
        <f>SUM(G117+G104+G91)</f>
        <v>645</v>
      </c>
      <c r="H119" s="32">
        <f>G119*F119</f>
        <v>353956.09541230573</v>
      </c>
      <c r="I119" s="32">
        <f>I117</f>
        <v>1455804.0819999999</v>
      </c>
    </row>
    <row r="121" spans="1:9">
      <c r="A121" s="5" t="s">
        <v>97</v>
      </c>
    </row>
    <row r="122" spans="1:9">
      <c r="A122" t="s">
        <v>85</v>
      </c>
      <c r="B122" t="s">
        <v>5</v>
      </c>
      <c r="C122" t="s">
        <v>86</v>
      </c>
      <c r="D122" t="s">
        <v>11</v>
      </c>
      <c r="E122" t="s">
        <v>87</v>
      </c>
      <c r="F122" t="s">
        <v>88</v>
      </c>
      <c r="G122" t="s">
        <v>7</v>
      </c>
      <c r="H122" t="s">
        <v>8</v>
      </c>
      <c r="I122" t="s">
        <v>9</v>
      </c>
    </row>
    <row r="123" spans="1:9">
      <c r="A123">
        <v>1</v>
      </c>
      <c r="B123">
        <v>34.177999999999997</v>
      </c>
      <c r="C123">
        <v>24.347999999999999</v>
      </c>
      <c r="D123">
        <f t="shared" ref="D123:E123" si="29">B123/2</f>
        <v>17.088999999999999</v>
      </c>
      <c r="E123">
        <f t="shared" si="29"/>
        <v>12.173999999999999</v>
      </c>
      <c r="F123">
        <f>PI()*D123*E123</f>
        <v>653.58160405950366</v>
      </c>
    </row>
    <row r="124" spans="1:9">
      <c r="A124">
        <v>2</v>
      </c>
      <c r="B124">
        <v>31.812999999999999</v>
      </c>
      <c r="C124">
        <v>24.265000000000001</v>
      </c>
      <c r="D124">
        <f t="shared" ref="D124:D130" si="30">B124/2</f>
        <v>15.906499999999999</v>
      </c>
      <c r="E124">
        <f t="shared" ref="E124:E130" si="31">C124/2</f>
        <v>12.1325</v>
      </c>
      <c r="F124">
        <f t="shared" ref="F124:F130" si="32">PI()*D124*E124</f>
        <v>606.28217855153571</v>
      </c>
    </row>
    <row r="125" spans="1:9">
      <c r="A125">
        <v>3</v>
      </c>
      <c r="B125">
        <v>24.858000000000001</v>
      </c>
      <c r="C125">
        <v>21.523</v>
      </c>
      <c r="D125">
        <f t="shared" si="30"/>
        <v>12.429</v>
      </c>
      <c r="E125">
        <f t="shared" si="31"/>
        <v>10.7615</v>
      </c>
      <c r="F125">
        <f t="shared" si="32"/>
        <v>420.20273106682794</v>
      </c>
    </row>
    <row r="126" spans="1:9">
      <c r="A126">
        <v>4</v>
      </c>
      <c r="B126">
        <v>25.349</v>
      </c>
      <c r="C126">
        <v>22.088000000000001</v>
      </c>
      <c r="D126">
        <f t="shared" si="30"/>
        <v>12.6745</v>
      </c>
      <c r="E126">
        <f t="shared" si="31"/>
        <v>11.044</v>
      </c>
      <c r="F126">
        <f t="shared" si="32"/>
        <v>439.75127407503084</v>
      </c>
    </row>
    <row r="127" spans="1:9">
      <c r="A127" s="8">
        <v>5</v>
      </c>
      <c r="B127">
        <v>22.26</v>
      </c>
      <c r="C127">
        <v>18.277999999999999</v>
      </c>
      <c r="D127">
        <f t="shared" si="30"/>
        <v>11.13</v>
      </c>
      <c r="E127">
        <f t="shared" si="31"/>
        <v>9.1389999999999993</v>
      </c>
      <c r="F127">
        <f t="shared" si="32"/>
        <v>319.55359985667872</v>
      </c>
    </row>
    <row r="128" spans="1:9">
      <c r="A128" s="12">
        <v>6</v>
      </c>
      <c r="B128">
        <v>21.864000000000001</v>
      </c>
      <c r="C128">
        <v>16.539000000000001</v>
      </c>
      <c r="D128">
        <f t="shared" si="30"/>
        <v>10.932</v>
      </c>
      <c r="E128">
        <f t="shared" si="31"/>
        <v>8.2695000000000007</v>
      </c>
      <c r="F128">
        <f t="shared" si="32"/>
        <v>284.00680570694624</v>
      </c>
    </row>
    <row r="129" spans="1:9">
      <c r="A129" s="12">
        <v>7</v>
      </c>
      <c r="B129">
        <v>24.274000000000001</v>
      </c>
      <c r="C129">
        <v>21.396999999999998</v>
      </c>
      <c r="D129">
        <f t="shared" si="30"/>
        <v>12.137</v>
      </c>
      <c r="E129">
        <f t="shared" si="31"/>
        <v>10.698499999999999</v>
      </c>
      <c r="F129">
        <f t="shared" si="32"/>
        <v>407.92856312677179</v>
      </c>
    </row>
    <row r="130" spans="1:9">
      <c r="A130" s="12">
        <v>8</v>
      </c>
      <c r="B130">
        <v>27.553000000000001</v>
      </c>
      <c r="C130">
        <v>16.21</v>
      </c>
      <c r="D130">
        <f t="shared" si="30"/>
        <v>13.7765</v>
      </c>
      <c r="E130">
        <f t="shared" si="31"/>
        <v>8.1050000000000004</v>
      </c>
      <c r="F130">
        <f t="shared" si="32"/>
        <v>350.78562541261721</v>
      </c>
    </row>
    <row r="131" spans="1:9">
      <c r="F131" s="31">
        <f>AVERAGE(F121:F130)</f>
        <v>435.26154773198903</v>
      </c>
      <c r="G131">
        <f>COUNT(F123:F130)</f>
        <v>8</v>
      </c>
      <c r="H131">
        <f>F131*G131</f>
        <v>3482.0923818559122</v>
      </c>
      <c r="I131">
        <v>178130.08199999999</v>
      </c>
    </row>
    <row r="133" spans="1:9">
      <c r="A133" t="s">
        <v>89</v>
      </c>
      <c r="B133" t="s">
        <v>5</v>
      </c>
      <c r="C133" t="s">
        <v>86</v>
      </c>
      <c r="D133" t="s">
        <v>11</v>
      </c>
      <c r="E133" t="s">
        <v>87</v>
      </c>
      <c r="F133" t="s">
        <v>88</v>
      </c>
      <c r="G133" t="s">
        <v>7</v>
      </c>
      <c r="H133" t="s">
        <v>8</v>
      </c>
      <c r="I133" t="s">
        <v>9</v>
      </c>
    </row>
    <row r="134" spans="1:9">
      <c r="A134">
        <v>1</v>
      </c>
      <c r="B134">
        <v>13.002000000000001</v>
      </c>
      <c r="C134">
        <v>13.558999999999999</v>
      </c>
      <c r="D134">
        <f t="shared" ref="D134:E134" si="33">B134/2</f>
        <v>6.5010000000000003</v>
      </c>
      <c r="E134">
        <f t="shared" si="33"/>
        <v>6.7794999999999996</v>
      </c>
      <c r="F134">
        <f t="shared" ref="F134:F151" si="34">PI()*D134*E134</f>
        <v>138.46107649497301</v>
      </c>
    </row>
    <row r="135" spans="1:9">
      <c r="A135">
        <v>2</v>
      </c>
      <c r="B135">
        <v>12.22</v>
      </c>
      <c r="C135">
        <v>9.1080000000000005</v>
      </c>
      <c r="D135">
        <f t="shared" ref="D135:D151" si="35">B135/2</f>
        <v>6.11</v>
      </c>
      <c r="E135">
        <f t="shared" ref="E135:E151" si="36">C135/2</f>
        <v>4.5540000000000003</v>
      </c>
      <c r="F135">
        <f t="shared" si="34"/>
        <v>87.414627090576786</v>
      </c>
    </row>
    <row r="136" spans="1:9">
      <c r="A136">
        <v>3</v>
      </c>
      <c r="B136">
        <v>13.657999999999999</v>
      </c>
      <c r="C136">
        <v>10.134</v>
      </c>
      <c r="D136">
        <f t="shared" si="35"/>
        <v>6.8289999999999997</v>
      </c>
      <c r="E136">
        <f t="shared" si="36"/>
        <v>5.0670000000000002</v>
      </c>
      <c r="F136">
        <f t="shared" si="34"/>
        <v>108.70709488432492</v>
      </c>
    </row>
    <row r="137" spans="1:9">
      <c r="A137">
        <v>4</v>
      </c>
      <c r="B137">
        <v>18.856999999999999</v>
      </c>
      <c r="C137">
        <v>13.983000000000001</v>
      </c>
      <c r="D137">
        <f t="shared" si="35"/>
        <v>9.4284999999999997</v>
      </c>
      <c r="E137">
        <f t="shared" si="36"/>
        <v>6.9915000000000003</v>
      </c>
      <c r="F137">
        <f t="shared" si="34"/>
        <v>207.0917700367574</v>
      </c>
    </row>
    <row r="138" spans="1:9">
      <c r="A138" s="8">
        <v>5</v>
      </c>
      <c r="B138">
        <v>17.164000000000001</v>
      </c>
      <c r="C138">
        <v>11.085000000000001</v>
      </c>
      <c r="D138">
        <f t="shared" si="35"/>
        <v>8.5820000000000007</v>
      </c>
      <c r="E138">
        <f t="shared" si="36"/>
        <v>5.5425000000000004</v>
      </c>
      <c r="F138">
        <f t="shared" si="34"/>
        <v>149.43216363859892</v>
      </c>
    </row>
    <row r="139" spans="1:9">
      <c r="A139" s="12">
        <v>6</v>
      </c>
      <c r="B139">
        <v>19.175999999999998</v>
      </c>
      <c r="C139">
        <v>12.071999999999999</v>
      </c>
      <c r="D139">
        <f t="shared" si="35"/>
        <v>9.5879999999999992</v>
      </c>
      <c r="E139">
        <f t="shared" si="36"/>
        <v>6.0359999999999996</v>
      </c>
      <c r="F139">
        <f t="shared" si="34"/>
        <v>181.81391942876789</v>
      </c>
    </row>
    <row r="140" spans="1:9">
      <c r="A140" s="12">
        <v>7</v>
      </c>
      <c r="B140">
        <v>19.047000000000001</v>
      </c>
      <c r="C140">
        <v>10.734999999999999</v>
      </c>
      <c r="D140">
        <f t="shared" si="35"/>
        <v>9.5235000000000003</v>
      </c>
      <c r="E140">
        <f t="shared" si="36"/>
        <v>5.3674999999999997</v>
      </c>
      <c r="F140">
        <f t="shared" si="34"/>
        <v>160.5900051137119</v>
      </c>
    </row>
    <row r="141" spans="1:9">
      <c r="A141" s="12">
        <v>8</v>
      </c>
      <c r="B141">
        <v>18.388000000000002</v>
      </c>
      <c r="C141">
        <v>9.5879999999999992</v>
      </c>
      <c r="D141">
        <f t="shared" si="35"/>
        <v>9.1940000000000008</v>
      </c>
      <c r="E141">
        <f t="shared" si="36"/>
        <v>4.7939999999999996</v>
      </c>
      <c r="F141">
        <f t="shared" si="34"/>
        <v>138.46895089695926</v>
      </c>
    </row>
    <row r="142" spans="1:9">
      <c r="A142">
        <v>9</v>
      </c>
      <c r="B142">
        <v>16.196000000000002</v>
      </c>
      <c r="C142">
        <v>14.205</v>
      </c>
      <c r="D142">
        <f t="shared" si="35"/>
        <v>8.0980000000000008</v>
      </c>
      <c r="E142">
        <f t="shared" si="36"/>
        <v>7.1025</v>
      </c>
      <c r="F142">
        <f t="shared" si="34"/>
        <v>180.69198443553998</v>
      </c>
    </row>
    <row r="143" spans="1:9">
      <c r="A143">
        <v>10</v>
      </c>
      <c r="B143">
        <v>14.189</v>
      </c>
      <c r="C143">
        <v>9.5879999999999992</v>
      </c>
      <c r="D143">
        <f t="shared" si="35"/>
        <v>7.0945</v>
      </c>
      <c r="E143">
        <f t="shared" si="36"/>
        <v>4.7939999999999996</v>
      </c>
      <c r="F143">
        <f t="shared" si="34"/>
        <v>106.84881141380001</v>
      </c>
    </row>
    <row r="144" spans="1:9">
      <c r="A144">
        <v>11</v>
      </c>
      <c r="B144">
        <v>13.657999999999999</v>
      </c>
      <c r="C144">
        <v>9.1080000000000005</v>
      </c>
      <c r="D144">
        <f t="shared" si="35"/>
        <v>6.8289999999999997</v>
      </c>
      <c r="E144">
        <f t="shared" si="36"/>
        <v>4.5540000000000003</v>
      </c>
      <c r="F144">
        <f t="shared" si="34"/>
        <v>97.701225597634831</v>
      </c>
    </row>
    <row r="145" spans="1:9">
      <c r="A145">
        <v>12</v>
      </c>
      <c r="B145">
        <v>13.933999999999999</v>
      </c>
      <c r="C145">
        <v>11.923</v>
      </c>
      <c r="D145">
        <f t="shared" si="35"/>
        <v>6.9669999999999996</v>
      </c>
      <c r="E145">
        <f t="shared" si="36"/>
        <v>5.9615</v>
      </c>
      <c r="F145">
        <f t="shared" si="34"/>
        <v>130.48218827868445</v>
      </c>
    </row>
    <row r="146" spans="1:9">
      <c r="A146" s="8">
        <v>13</v>
      </c>
      <c r="B146">
        <v>19.523</v>
      </c>
      <c r="C146">
        <v>17.423999999999999</v>
      </c>
      <c r="D146">
        <f t="shared" si="35"/>
        <v>9.7614999999999998</v>
      </c>
      <c r="E146">
        <f t="shared" si="36"/>
        <v>8.7119999999999997</v>
      </c>
      <c r="F146">
        <f t="shared" si="34"/>
        <v>267.16791306600203</v>
      </c>
    </row>
    <row r="147" spans="1:9">
      <c r="A147" s="12">
        <v>14</v>
      </c>
      <c r="B147">
        <v>22.885999999999999</v>
      </c>
      <c r="C147">
        <v>13.476000000000001</v>
      </c>
      <c r="D147">
        <f t="shared" si="35"/>
        <v>11.443</v>
      </c>
      <c r="E147">
        <f t="shared" si="36"/>
        <v>6.7380000000000004</v>
      </c>
      <c r="F147">
        <f t="shared" si="34"/>
        <v>242.22601102461871</v>
      </c>
    </row>
    <row r="148" spans="1:9">
      <c r="A148" s="12">
        <v>15</v>
      </c>
      <c r="B148">
        <v>18.093</v>
      </c>
      <c r="C148">
        <v>14.747</v>
      </c>
      <c r="D148">
        <f t="shared" si="35"/>
        <v>9.0465</v>
      </c>
      <c r="E148">
        <f t="shared" si="36"/>
        <v>7.3734999999999999</v>
      </c>
      <c r="F148">
        <f t="shared" si="34"/>
        <v>209.5579516857519</v>
      </c>
    </row>
    <row r="149" spans="1:9">
      <c r="A149" s="12">
        <v>16</v>
      </c>
      <c r="B149">
        <v>14.747</v>
      </c>
      <c r="C149">
        <v>12.635</v>
      </c>
      <c r="D149">
        <f t="shared" si="35"/>
        <v>7.3734999999999999</v>
      </c>
      <c r="E149">
        <f t="shared" si="36"/>
        <v>6.3174999999999999</v>
      </c>
      <c r="F149">
        <f t="shared" si="34"/>
        <v>146.3419399518861</v>
      </c>
    </row>
    <row r="150" spans="1:9">
      <c r="A150">
        <v>17</v>
      </c>
      <c r="B150">
        <v>18.423999999999999</v>
      </c>
      <c r="C150">
        <v>14.125999999999999</v>
      </c>
      <c r="D150">
        <f t="shared" si="35"/>
        <v>9.2119999999999997</v>
      </c>
      <c r="E150">
        <f t="shared" si="36"/>
        <v>7.0629999999999997</v>
      </c>
      <c r="F150">
        <f t="shared" si="34"/>
        <v>204.40570282015096</v>
      </c>
    </row>
    <row r="151" spans="1:9">
      <c r="A151">
        <v>18</v>
      </c>
      <c r="B151">
        <v>25.849</v>
      </c>
      <c r="C151">
        <v>11.521000000000001</v>
      </c>
      <c r="D151">
        <f t="shared" si="35"/>
        <v>12.9245</v>
      </c>
      <c r="E151">
        <f t="shared" si="36"/>
        <v>5.7605000000000004</v>
      </c>
      <c r="F151">
        <f t="shared" si="34"/>
        <v>233.89654384473624</v>
      </c>
    </row>
    <row r="152" spans="1:9">
      <c r="F152" s="31">
        <f>AVERAGE(F134:F151)</f>
        <v>166.1833266501931</v>
      </c>
      <c r="G152">
        <f>COUNT(F134:F151)</f>
        <v>18</v>
      </c>
      <c r="H152">
        <f>F152*G152</f>
        <v>2991.2998797034757</v>
      </c>
      <c r="I152">
        <v>178130.08199999999</v>
      </c>
    </row>
    <row r="154" spans="1:9">
      <c r="A154" t="s">
        <v>90</v>
      </c>
      <c r="B154" t="s">
        <v>5</v>
      </c>
      <c r="C154" t="s">
        <v>86</v>
      </c>
      <c r="D154" t="s">
        <v>11</v>
      </c>
      <c r="E154" t="s">
        <v>87</v>
      </c>
      <c r="F154" t="s">
        <v>88</v>
      </c>
      <c r="G154" t="s">
        <v>7</v>
      </c>
      <c r="H154" t="s">
        <v>8</v>
      </c>
      <c r="I154" t="s">
        <v>9</v>
      </c>
    </row>
    <row r="155" spans="1:9">
      <c r="A155" s="3">
        <v>1</v>
      </c>
      <c r="B155">
        <v>10.798</v>
      </c>
      <c r="C155">
        <v>7.2119999999999997</v>
      </c>
      <c r="D155">
        <f t="shared" ref="D155:E155" si="37">B155/2</f>
        <v>5.399</v>
      </c>
      <c r="E155">
        <f t="shared" si="37"/>
        <v>3.6059999999999999</v>
      </c>
      <c r="F155">
        <f t="shared" ref="F155:F194" si="38">PI()*D155*E155</f>
        <v>61.163020204653037</v>
      </c>
    </row>
    <row r="156" spans="1:9">
      <c r="A156" s="3">
        <v>2</v>
      </c>
      <c r="B156">
        <v>3.1589999999999998</v>
      </c>
      <c r="C156">
        <v>2.4140000000000001</v>
      </c>
      <c r="D156">
        <f t="shared" ref="D156:D194" si="39">B156/2</f>
        <v>1.5794999999999999</v>
      </c>
      <c r="E156">
        <f t="shared" ref="E156:E194" si="40">C156/2</f>
        <v>1.2070000000000001</v>
      </c>
      <c r="F156">
        <f t="shared" si="38"/>
        <v>5.9893097347885096</v>
      </c>
    </row>
    <row r="157" spans="1:9">
      <c r="A157" s="3">
        <v>3</v>
      </c>
      <c r="B157">
        <v>5.8470000000000004</v>
      </c>
      <c r="C157">
        <v>2.3679999999999999</v>
      </c>
      <c r="D157">
        <f t="shared" si="39"/>
        <v>2.9235000000000002</v>
      </c>
      <c r="E157">
        <f t="shared" si="40"/>
        <v>1.1839999999999999</v>
      </c>
      <c r="F157">
        <f t="shared" si="38"/>
        <v>10.874384209359395</v>
      </c>
    </row>
    <row r="158" spans="1:9">
      <c r="A158" s="3">
        <v>4</v>
      </c>
      <c r="B158">
        <v>2.1440000000000001</v>
      </c>
      <c r="C158">
        <v>1.6739999999999999</v>
      </c>
      <c r="D158">
        <f t="shared" si="39"/>
        <v>1.0720000000000001</v>
      </c>
      <c r="E158">
        <f t="shared" si="40"/>
        <v>0.83699999999999997</v>
      </c>
      <c r="F158">
        <f t="shared" si="38"/>
        <v>2.818837990730592</v>
      </c>
    </row>
    <row r="159" spans="1:9">
      <c r="A159" s="3">
        <v>5</v>
      </c>
      <c r="B159">
        <v>8.3170000000000002</v>
      </c>
      <c r="C159">
        <v>4.7590000000000003</v>
      </c>
      <c r="D159">
        <f t="shared" si="39"/>
        <v>4.1585000000000001</v>
      </c>
      <c r="E159">
        <f t="shared" si="40"/>
        <v>2.3795000000000002</v>
      </c>
      <c r="F159">
        <f t="shared" si="38"/>
        <v>31.086532902363533</v>
      </c>
    </row>
    <row r="160" spans="1:9">
      <c r="A160" s="3">
        <v>6</v>
      </c>
      <c r="B160">
        <v>12.461</v>
      </c>
      <c r="C160">
        <v>10.222</v>
      </c>
      <c r="D160">
        <f t="shared" si="39"/>
        <v>6.2305000000000001</v>
      </c>
      <c r="E160">
        <f t="shared" si="40"/>
        <v>5.1109999999999998</v>
      </c>
      <c r="F160">
        <f t="shared" si="38"/>
        <v>100.04114506708525</v>
      </c>
    </row>
    <row r="161" spans="1:6">
      <c r="A161" s="3">
        <v>7</v>
      </c>
      <c r="B161">
        <v>13.212</v>
      </c>
      <c r="C161">
        <v>8.8650000000000002</v>
      </c>
      <c r="D161">
        <f t="shared" si="39"/>
        <v>6.6059999999999999</v>
      </c>
      <c r="E161">
        <f t="shared" si="40"/>
        <v>4.4325000000000001</v>
      </c>
      <c r="F161">
        <f t="shared" si="38"/>
        <v>91.989272941064826</v>
      </c>
    </row>
    <row r="162" spans="1:6">
      <c r="A162" s="3">
        <v>8</v>
      </c>
      <c r="B162">
        <v>9.0090000000000003</v>
      </c>
      <c r="C162">
        <v>6.3970000000000002</v>
      </c>
      <c r="D162">
        <f t="shared" si="39"/>
        <v>4.5045000000000002</v>
      </c>
      <c r="E162">
        <f t="shared" si="40"/>
        <v>3.1985000000000001</v>
      </c>
      <c r="F162">
        <f t="shared" si="38"/>
        <v>45.262946189742571</v>
      </c>
    </row>
    <row r="163" spans="1:6">
      <c r="A163" s="3">
        <v>9</v>
      </c>
      <c r="B163">
        <v>8.7309999999999999</v>
      </c>
      <c r="C163">
        <v>6.9669999999999996</v>
      </c>
      <c r="D163">
        <f t="shared" si="39"/>
        <v>4.3654999999999999</v>
      </c>
      <c r="E163">
        <f t="shared" si="40"/>
        <v>3.4834999999999998</v>
      </c>
      <c r="F163">
        <f t="shared" si="38"/>
        <v>47.774888277329282</v>
      </c>
    </row>
    <row r="164" spans="1:6">
      <c r="A164" s="3">
        <v>10</v>
      </c>
      <c r="B164">
        <v>3.5590000000000002</v>
      </c>
      <c r="C164">
        <v>5.5730000000000004</v>
      </c>
      <c r="D164">
        <f t="shared" si="39"/>
        <v>1.7795000000000001</v>
      </c>
      <c r="E164">
        <f t="shared" si="40"/>
        <v>2.7865000000000002</v>
      </c>
      <c r="F164">
        <f t="shared" si="38"/>
        <v>15.577828290061154</v>
      </c>
    </row>
    <row r="165" spans="1:6">
      <c r="A165" s="3">
        <v>11</v>
      </c>
      <c r="B165">
        <v>4.5049999999999999</v>
      </c>
      <c r="C165">
        <v>4.7350000000000003</v>
      </c>
      <c r="D165">
        <f t="shared" si="39"/>
        <v>2.2524999999999999</v>
      </c>
      <c r="E165">
        <f t="shared" si="40"/>
        <v>2.3675000000000002</v>
      </c>
      <c r="F165">
        <f t="shared" si="38"/>
        <v>16.753465668109563</v>
      </c>
    </row>
    <row r="166" spans="1:6">
      <c r="A166" s="3">
        <v>12</v>
      </c>
      <c r="B166">
        <v>3.3479999999999999</v>
      </c>
      <c r="C166">
        <v>2.8410000000000002</v>
      </c>
      <c r="D166">
        <f t="shared" si="39"/>
        <v>1.6739999999999999</v>
      </c>
      <c r="E166">
        <f t="shared" si="40"/>
        <v>1.4205000000000001</v>
      </c>
      <c r="F166">
        <f t="shared" si="38"/>
        <v>7.4704465780462801</v>
      </c>
    </row>
    <row r="167" spans="1:6">
      <c r="A167" s="3">
        <v>13</v>
      </c>
      <c r="B167">
        <v>5.1219999999999999</v>
      </c>
      <c r="C167">
        <v>2.0369999999999999</v>
      </c>
      <c r="D167">
        <f t="shared" si="39"/>
        <v>2.5609999999999999</v>
      </c>
      <c r="E167">
        <f t="shared" si="40"/>
        <v>1.0185</v>
      </c>
      <c r="F167">
        <f t="shared" si="38"/>
        <v>8.1944627333815649</v>
      </c>
    </row>
    <row r="168" spans="1:6">
      <c r="A168" s="3">
        <v>14</v>
      </c>
      <c r="B168">
        <v>2.3439999999999999</v>
      </c>
      <c r="C168">
        <v>3.3479999999999999</v>
      </c>
      <c r="D168">
        <f t="shared" si="39"/>
        <v>1.1719999999999999</v>
      </c>
      <c r="E168">
        <f t="shared" si="40"/>
        <v>1.6739999999999999</v>
      </c>
      <c r="F168">
        <f t="shared" si="38"/>
        <v>6.1635785916721151</v>
      </c>
    </row>
    <row r="169" spans="1:6">
      <c r="A169" s="3">
        <v>15</v>
      </c>
      <c r="B169">
        <v>13.789</v>
      </c>
      <c r="C169">
        <v>8.0640000000000001</v>
      </c>
      <c r="D169">
        <f t="shared" si="39"/>
        <v>6.8944999999999999</v>
      </c>
      <c r="E169">
        <f t="shared" si="40"/>
        <v>4.032</v>
      </c>
      <c r="F169">
        <f t="shared" si="38"/>
        <v>87.331952938304909</v>
      </c>
    </row>
    <row r="170" spans="1:6">
      <c r="A170" s="3">
        <v>16</v>
      </c>
      <c r="B170">
        <v>10.72</v>
      </c>
      <c r="C170">
        <v>7.73</v>
      </c>
      <c r="D170">
        <f t="shared" si="39"/>
        <v>5.36</v>
      </c>
      <c r="E170">
        <f t="shared" si="40"/>
        <v>3.8650000000000002</v>
      </c>
      <c r="F170">
        <f t="shared" si="38"/>
        <v>65.082490048827594</v>
      </c>
    </row>
    <row r="171" spans="1:6">
      <c r="A171" s="3">
        <v>17</v>
      </c>
      <c r="B171">
        <v>2.6150000000000002</v>
      </c>
      <c r="C171">
        <v>2.1440000000000001</v>
      </c>
      <c r="D171">
        <f t="shared" si="39"/>
        <v>1.3075000000000001</v>
      </c>
      <c r="E171">
        <f t="shared" si="40"/>
        <v>1.0720000000000001</v>
      </c>
      <c r="F171">
        <f t="shared" si="38"/>
        <v>4.4033819269775982</v>
      </c>
    </row>
    <row r="172" spans="1:6">
      <c r="A172" s="3">
        <v>18</v>
      </c>
      <c r="B172">
        <v>9.9149999999999991</v>
      </c>
      <c r="C172">
        <v>6.8289999999999997</v>
      </c>
      <c r="D172">
        <f t="shared" si="39"/>
        <v>4.9574999999999996</v>
      </c>
      <c r="E172">
        <f t="shared" si="40"/>
        <v>3.4144999999999999</v>
      </c>
      <c r="F172">
        <f t="shared" si="38"/>
        <v>53.178944433495239</v>
      </c>
    </row>
    <row r="173" spans="1:6">
      <c r="A173" s="3">
        <v>19</v>
      </c>
      <c r="B173">
        <v>5.2939999999999996</v>
      </c>
      <c r="C173">
        <v>3.3479999999999999</v>
      </c>
      <c r="D173">
        <f t="shared" si="39"/>
        <v>2.6469999999999998</v>
      </c>
      <c r="E173">
        <f t="shared" si="40"/>
        <v>1.6739999999999999</v>
      </c>
      <c r="F173">
        <f t="shared" si="38"/>
        <v>13.920642092283352</v>
      </c>
    </row>
    <row r="174" spans="1:6">
      <c r="A174" s="3">
        <v>20</v>
      </c>
      <c r="B174">
        <v>3.9049999999999998</v>
      </c>
      <c r="C174">
        <v>3.6219999999999999</v>
      </c>
      <c r="D174">
        <f t="shared" si="39"/>
        <v>1.9524999999999999</v>
      </c>
      <c r="E174">
        <f t="shared" si="40"/>
        <v>1.8109999999999999</v>
      </c>
      <c r="F174">
        <f t="shared" si="38"/>
        <v>11.108600937258801</v>
      </c>
    </row>
    <row r="175" spans="1:6">
      <c r="A175" s="3">
        <v>21</v>
      </c>
      <c r="B175">
        <v>5.3570000000000002</v>
      </c>
      <c r="C175">
        <v>4.3529999999999998</v>
      </c>
      <c r="D175">
        <f t="shared" si="39"/>
        <v>2.6785000000000001</v>
      </c>
      <c r="E175">
        <f t="shared" si="40"/>
        <v>2.1764999999999999</v>
      </c>
      <c r="F175">
        <f t="shared" si="38"/>
        <v>18.314716265626526</v>
      </c>
    </row>
    <row r="176" spans="1:6">
      <c r="A176" s="3">
        <v>22</v>
      </c>
      <c r="B176">
        <v>14.401</v>
      </c>
      <c r="C176">
        <v>10.396000000000001</v>
      </c>
      <c r="D176">
        <f t="shared" si="39"/>
        <v>7.2004999999999999</v>
      </c>
      <c r="E176">
        <f t="shared" si="40"/>
        <v>5.1980000000000004</v>
      </c>
      <c r="F176">
        <f t="shared" si="38"/>
        <v>117.58415501549685</v>
      </c>
    </row>
    <row r="177" spans="1:6">
      <c r="A177" s="3">
        <v>23</v>
      </c>
      <c r="B177">
        <v>7.8159999999999998</v>
      </c>
      <c r="C177">
        <v>6.9909999999999997</v>
      </c>
      <c r="D177">
        <f t="shared" si="39"/>
        <v>3.9079999999999999</v>
      </c>
      <c r="E177">
        <f t="shared" si="40"/>
        <v>3.4954999999999998</v>
      </c>
      <c r="F177">
        <f t="shared" si="38"/>
        <v>42.915456267395157</v>
      </c>
    </row>
    <row r="178" spans="1:6">
      <c r="A178" s="3">
        <v>24</v>
      </c>
      <c r="B178">
        <v>8.7889999999999997</v>
      </c>
      <c r="C178">
        <v>5.8570000000000002</v>
      </c>
      <c r="D178">
        <f t="shared" si="39"/>
        <v>4.3944999999999999</v>
      </c>
      <c r="E178">
        <f t="shared" si="40"/>
        <v>2.9285000000000001</v>
      </c>
      <c r="F178">
        <f t="shared" si="38"/>
        <v>40.430077131092716</v>
      </c>
    </row>
    <row r="179" spans="1:6">
      <c r="A179" s="3">
        <v>25</v>
      </c>
      <c r="B179">
        <v>7.8090000000000002</v>
      </c>
      <c r="C179">
        <v>7.2430000000000003</v>
      </c>
      <c r="D179">
        <f t="shared" si="39"/>
        <v>3.9045000000000001</v>
      </c>
      <c r="E179">
        <f t="shared" si="40"/>
        <v>3.6215000000000002</v>
      </c>
      <c r="F179">
        <f t="shared" si="38"/>
        <v>44.422581150481591</v>
      </c>
    </row>
    <row r="180" spans="1:6">
      <c r="A180" s="3">
        <v>26</v>
      </c>
      <c r="B180">
        <v>4.3529999999999998</v>
      </c>
      <c r="C180">
        <v>4.7939999999999996</v>
      </c>
      <c r="D180">
        <f t="shared" si="39"/>
        <v>2.1764999999999999</v>
      </c>
      <c r="E180">
        <f t="shared" si="40"/>
        <v>2.3969999999999998</v>
      </c>
      <c r="F180">
        <f t="shared" si="38"/>
        <v>16.389910356060025</v>
      </c>
    </row>
    <row r="181" spans="1:6">
      <c r="A181" s="3">
        <v>27</v>
      </c>
      <c r="B181">
        <v>13.874000000000001</v>
      </c>
      <c r="C181">
        <v>8.7050000000000001</v>
      </c>
      <c r="D181">
        <f t="shared" si="39"/>
        <v>6.9370000000000003</v>
      </c>
      <c r="E181">
        <f t="shared" si="40"/>
        <v>4.3525</v>
      </c>
      <c r="F181">
        <f t="shared" si="38"/>
        <v>94.855025905687796</v>
      </c>
    </row>
    <row r="182" spans="1:6">
      <c r="A182" s="3">
        <v>28</v>
      </c>
      <c r="B182">
        <v>4.9770000000000003</v>
      </c>
      <c r="C182">
        <v>6.6459999999999999</v>
      </c>
      <c r="D182">
        <f t="shared" si="39"/>
        <v>2.4885000000000002</v>
      </c>
      <c r="E182">
        <f t="shared" si="40"/>
        <v>3.323</v>
      </c>
      <c r="F182">
        <f t="shared" si="38"/>
        <v>25.9787265772366</v>
      </c>
    </row>
    <row r="183" spans="1:6">
      <c r="A183" s="3">
        <v>29</v>
      </c>
      <c r="B183">
        <v>4.6870000000000003</v>
      </c>
      <c r="C183">
        <v>2.6789999999999998</v>
      </c>
      <c r="D183">
        <f t="shared" si="39"/>
        <v>2.3435000000000001</v>
      </c>
      <c r="E183">
        <f t="shared" si="40"/>
        <v>1.3394999999999999</v>
      </c>
      <c r="F183">
        <f t="shared" si="38"/>
        <v>9.8618308329496482</v>
      </c>
    </row>
    <row r="184" spans="1:6">
      <c r="A184" s="3">
        <v>30</v>
      </c>
      <c r="B184">
        <v>4.7590000000000003</v>
      </c>
      <c r="C184">
        <v>2.8410000000000002</v>
      </c>
      <c r="D184">
        <f t="shared" si="39"/>
        <v>2.3795000000000002</v>
      </c>
      <c r="E184">
        <f t="shared" si="40"/>
        <v>1.4205000000000001</v>
      </c>
      <c r="F184">
        <f t="shared" si="38"/>
        <v>10.618833711147627</v>
      </c>
    </row>
    <row r="185" spans="1:6">
      <c r="A185" s="3">
        <v>31</v>
      </c>
      <c r="B185">
        <v>13.513999999999999</v>
      </c>
      <c r="C185">
        <v>12.188000000000001</v>
      </c>
      <c r="D185">
        <f t="shared" si="39"/>
        <v>6.7569999999999997</v>
      </c>
      <c r="E185">
        <f t="shared" si="40"/>
        <v>6.0940000000000003</v>
      </c>
      <c r="F185">
        <f t="shared" si="38"/>
        <v>129.36185706850617</v>
      </c>
    </row>
    <row r="186" spans="1:6">
      <c r="A186" s="3">
        <v>32</v>
      </c>
      <c r="B186">
        <v>7.343</v>
      </c>
      <c r="C186">
        <v>4.5049999999999999</v>
      </c>
      <c r="D186">
        <f t="shared" si="39"/>
        <v>3.6715</v>
      </c>
      <c r="E186">
        <f t="shared" si="40"/>
        <v>2.2524999999999999</v>
      </c>
      <c r="F186">
        <f t="shared" si="38"/>
        <v>25.981140105792718</v>
      </c>
    </row>
    <row r="187" spans="1:6">
      <c r="A187" s="3">
        <v>33</v>
      </c>
      <c r="B187">
        <v>10.183</v>
      </c>
      <c r="C187">
        <v>6.2279999999999998</v>
      </c>
      <c r="D187">
        <f t="shared" si="39"/>
        <v>5.0914999999999999</v>
      </c>
      <c r="E187">
        <f t="shared" si="40"/>
        <v>3.1139999999999999</v>
      </c>
      <c r="F187">
        <f t="shared" si="38"/>
        <v>49.809734752773068</v>
      </c>
    </row>
    <row r="188" spans="1:6">
      <c r="A188" s="3">
        <v>34</v>
      </c>
      <c r="B188">
        <v>10.782</v>
      </c>
      <c r="C188">
        <v>6.9029999999999996</v>
      </c>
      <c r="D188">
        <f t="shared" si="39"/>
        <v>5.391</v>
      </c>
      <c r="E188">
        <f t="shared" si="40"/>
        <v>3.4514999999999998</v>
      </c>
      <c r="F188">
        <f t="shared" si="38"/>
        <v>58.455729173477131</v>
      </c>
    </row>
    <row r="189" spans="1:6">
      <c r="A189" s="3">
        <v>35</v>
      </c>
      <c r="B189">
        <v>5.5419999999999998</v>
      </c>
      <c r="C189">
        <v>3.5590000000000002</v>
      </c>
      <c r="D189">
        <f t="shared" si="39"/>
        <v>2.7709999999999999</v>
      </c>
      <c r="E189">
        <f t="shared" si="40"/>
        <v>1.7795000000000001</v>
      </c>
      <c r="F189">
        <f t="shared" si="38"/>
        <v>15.491176096091676</v>
      </c>
    </row>
    <row r="190" spans="1:6">
      <c r="A190" s="3">
        <v>36</v>
      </c>
      <c r="B190">
        <v>10.507999999999999</v>
      </c>
      <c r="C190">
        <v>6.0640000000000001</v>
      </c>
      <c r="D190">
        <f t="shared" si="39"/>
        <v>5.2539999999999996</v>
      </c>
      <c r="E190">
        <f t="shared" si="40"/>
        <v>3.032</v>
      </c>
      <c r="F190">
        <f t="shared" si="38"/>
        <v>50.045973095545065</v>
      </c>
    </row>
    <row r="191" spans="1:6">
      <c r="A191" s="3">
        <v>37</v>
      </c>
      <c r="B191">
        <v>9.6579999999999995</v>
      </c>
      <c r="C191">
        <v>5.2409999999999997</v>
      </c>
      <c r="D191">
        <f t="shared" si="39"/>
        <v>4.8289999999999997</v>
      </c>
      <c r="E191">
        <f t="shared" si="40"/>
        <v>2.6204999999999998</v>
      </c>
      <c r="F191">
        <f t="shared" si="38"/>
        <v>39.754952796827077</v>
      </c>
    </row>
    <row r="192" spans="1:6">
      <c r="A192" s="3">
        <v>38</v>
      </c>
      <c r="B192">
        <v>9.2360000000000007</v>
      </c>
      <c r="C192">
        <v>7.8449999999999998</v>
      </c>
      <c r="D192">
        <f t="shared" si="39"/>
        <v>4.6180000000000003</v>
      </c>
      <c r="E192">
        <f t="shared" si="40"/>
        <v>3.9224999999999999</v>
      </c>
      <c r="F192">
        <f t="shared" si="38"/>
        <v>56.907139194354144</v>
      </c>
    </row>
    <row r="193" spans="1:9">
      <c r="A193" s="3">
        <v>39</v>
      </c>
      <c r="B193">
        <v>10.714</v>
      </c>
      <c r="C193">
        <v>5.0220000000000002</v>
      </c>
      <c r="D193">
        <f t="shared" si="39"/>
        <v>5.3570000000000002</v>
      </c>
      <c r="E193">
        <f t="shared" si="40"/>
        <v>2.5110000000000001</v>
      </c>
      <c r="F193">
        <f t="shared" si="38"/>
        <v>42.258904243499394</v>
      </c>
    </row>
    <row r="194" spans="1:9">
      <c r="A194" s="3">
        <v>40</v>
      </c>
      <c r="B194">
        <v>8.391</v>
      </c>
      <c r="C194">
        <v>6.6959999999999997</v>
      </c>
      <c r="D194">
        <f t="shared" si="39"/>
        <v>4.1955</v>
      </c>
      <c r="E194">
        <f t="shared" si="40"/>
        <v>3.3479999999999999</v>
      </c>
      <c r="F194">
        <f t="shared" si="38"/>
        <v>44.128488022799246</v>
      </c>
    </row>
    <row r="195" spans="1:9">
      <c r="F195" s="31">
        <f>AVERAGE(F155:F194)</f>
        <v>40.493813487959393</v>
      </c>
      <c r="G195">
        <f>COUNT(F155:F194)</f>
        <v>40</v>
      </c>
      <c r="H195">
        <f>F195*G195</f>
        <v>1619.7525395183757</v>
      </c>
      <c r="I195">
        <v>178130.08199999999</v>
      </c>
    </row>
    <row r="197" spans="1:9">
      <c r="A197" s="32" t="s">
        <v>91</v>
      </c>
      <c r="B197" s="32">
        <f>AVERAGE(B123:B130)</f>
        <v>26.518625</v>
      </c>
      <c r="C197" s="32">
        <f>AVERAGE(C123:C130)</f>
        <v>20.581</v>
      </c>
      <c r="D197" s="32">
        <f>AVERAGE(D123:D130)</f>
        <v>13.2593125</v>
      </c>
      <c r="E197" s="32">
        <f>AVERAGE(E123:E130)</f>
        <v>10.2905</v>
      </c>
      <c r="F197" s="32">
        <f>AVERAGE(F123:F130)</f>
        <v>435.26154773198903</v>
      </c>
      <c r="G197" s="32">
        <f>SUM(G195+G152+G131)</f>
        <v>66</v>
      </c>
      <c r="H197" s="32">
        <f>G197*F197</f>
        <v>28727.262150311275</v>
      </c>
      <c r="I197" s="32">
        <f>I195</f>
        <v>178130.08199999999</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R44"/>
  <sheetViews>
    <sheetView workbookViewId="0">
      <selection activeCell="F9" sqref="F9"/>
    </sheetView>
  </sheetViews>
  <sheetFormatPr baseColWidth="10" defaultRowHeight="15" x14ac:dyDescent="0"/>
  <cols>
    <col min="1" max="1" width="17.83203125" customWidth="1"/>
    <col min="9" max="9" width="11" bestFit="1" customWidth="1"/>
  </cols>
  <sheetData>
    <row r="1" spans="1:18">
      <c r="A1" s="36" t="s">
        <v>111</v>
      </c>
    </row>
    <row r="3" spans="1:18">
      <c r="A3" t="s">
        <v>126</v>
      </c>
      <c r="I3" t="s">
        <v>139</v>
      </c>
    </row>
    <row r="4" spans="1:18" ht="49" customHeight="1">
      <c r="I4" s="177" t="s">
        <v>140</v>
      </c>
      <c r="J4" s="177"/>
      <c r="K4" s="177"/>
      <c r="L4" s="177"/>
      <c r="M4" s="177"/>
      <c r="N4" s="177"/>
      <c r="O4" s="177"/>
      <c r="P4" s="177"/>
    </row>
    <row r="6" spans="1:18" ht="45">
      <c r="A6" s="5" t="s">
        <v>112</v>
      </c>
      <c r="B6" s="16" t="s">
        <v>113</v>
      </c>
      <c r="C6" s="5" t="s">
        <v>5</v>
      </c>
      <c r="D6" s="16" t="s">
        <v>141</v>
      </c>
      <c r="E6" s="16" t="s">
        <v>142</v>
      </c>
      <c r="F6" s="16" t="s">
        <v>124</v>
      </c>
      <c r="G6" s="16" t="s">
        <v>143</v>
      </c>
    </row>
    <row r="7" spans="1:18">
      <c r="A7" s="10" t="s">
        <v>114</v>
      </c>
      <c r="B7" s="10">
        <f>AVERAGE(B18:B19,B22:B23,B26:B35,B39:B43)</f>
        <v>86.14815789473684</v>
      </c>
      <c r="C7" s="10">
        <f>AVERAGE(C18:C19,C22:C23,C26:C35,C39:C43)</f>
        <v>242.38515789473686</v>
      </c>
      <c r="D7" s="10">
        <f>I13</f>
        <v>0.97358395335857462</v>
      </c>
      <c r="E7" s="10">
        <f t="shared" ref="E7:G7" si="0">J13</f>
        <v>97.358395335857466</v>
      </c>
      <c r="F7" s="10">
        <f t="shared" si="0"/>
        <v>19.715075055511136</v>
      </c>
      <c r="G7" s="10">
        <f t="shared" si="0"/>
        <v>97.358395335857466</v>
      </c>
    </row>
    <row r="11" spans="1:18">
      <c r="A11" s="31" t="s">
        <v>133</v>
      </c>
      <c r="E11" s="37"/>
    </row>
    <row r="12" spans="1:18" ht="82" customHeight="1">
      <c r="A12" s="12" t="s">
        <v>115</v>
      </c>
      <c r="B12" s="30" t="s">
        <v>116</v>
      </c>
      <c r="C12" s="30" t="s">
        <v>117</v>
      </c>
      <c r="D12" s="30" t="s">
        <v>131</v>
      </c>
      <c r="E12" s="30" t="s">
        <v>118</v>
      </c>
      <c r="F12" s="30" t="s">
        <v>119</v>
      </c>
      <c r="G12" s="30" t="s">
        <v>120</v>
      </c>
      <c r="H12" s="30" t="s">
        <v>121</v>
      </c>
      <c r="I12" s="30" t="s">
        <v>122</v>
      </c>
      <c r="J12" s="30" t="s">
        <v>123</v>
      </c>
      <c r="K12" s="30" t="s">
        <v>124</v>
      </c>
      <c r="L12" s="30" t="s">
        <v>125</v>
      </c>
    </row>
    <row r="13" spans="1:18">
      <c r="A13" s="12" t="s">
        <v>130</v>
      </c>
      <c r="B13" s="12"/>
      <c r="C13" s="12">
        <f>E13/2</f>
        <v>347.47649999999999</v>
      </c>
      <c r="D13" s="39">
        <v>193</v>
      </c>
      <c r="E13" s="12">
        <v>694.95299999999997</v>
      </c>
      <c r="F13" s="12"/>
      <c r="G13" s="12">
        <v>2538720.7030000002</v>
      </c>
      <c r="H13" s="41">
        <f>C13*D13</f>
        <v>67062.964500000002</v>
      </c>
      <c r="I13">
        <f>(G13-H13)/G13</f>
        <v>0.97358395335857462</v>
      </c>
      <c r="J13" s="37">
        <f>(G13-H13)/G13*100</f>
        <v>97.358395335857466</v>
      </c>
      <c r="K13" s="12">
        <f>I13*20.25</f>
        <v>19.715075055511136</v>
      </c>
      <c r="L13" s="37">
        <f>J13</f>
        <v>97.358395335857466</v>
      </c>
      <c r="R13" t="s">
        <v>132</v>
      </c>
    </row>
    <row r="14" spans="1:18">
      <c r="A14" s="12"/>
      <c r="B14" s="12"/>
      <c r="D14" s="12"/>
      <c r="E14" s="39"/>
      <c r="F14" s="12"/>
      <c r="G14" s="12"/>
      <c r="H14" s="40"/>
      <c r="I14" s="40"/>
      <c r="J14" s="12"/>
      <c r="K14" s="12"/>
      <c r="L14" s="12"/>
      <c r="R14" t="s">
        <v>127</v>
      </c>
    </row>
    <row r="15" spans="1:18">
      <c r="A15" s="12"/>
      <c r="B15" s="12"/>
      <c r="C15" s="12"/>
      <c r="D15" s="12"/>
      <c r="E15" s="39"/>
      <c r="F15" s="12"/>
      <c r="G15" s="12"/>
      <c r="H15" s="40"/>
      <c r="I15" s="40"/>
      <c r="J15" s="12"/>
      <c r="K15" s="12"/>
      <c r="L15" s="12"/>
      <c r="R15" t="s">
        <v>128</v>
      </c>
    </row>
    <row r="16" spans="1:18">
      <c r="A16" s="31" t="s">
        <v>134</v>
      </c>
      <c r="B16" s="12"/>
      <c r="C16" s="12"/>
      <c r="D16" s="12"/>
      <c r="E16" s="39"/>
      <c r="F16" s="12"/>
      <c r="G16" s="12"/>
      <c r="H16" s="40"/>
      <c r="I16" s="40"/>
      <c r="J16" s="12"/>
      <c r="K16" s="12"/>
      <c r="L16" s="12"/>
      <c r="R16" t="s">
        <v>129</v>
      </c>
    </row>
    <row r="17" spans="1:12" ht="82" customHeight="1">
      <c r="A17" s="12" t="s">
        <v>115</v>
      </c>
      <c r="B17" s="30" t="s">
        <v>116</v>
      </c>
      <c r="C17" s="30" t="s">
        <v>117</v>
      </c>
      <c r="D17" s="30" t="s">
        <v>131</v>
      </c>
      <c r="E17" s="30" t="s">
        <v>118</v>
      </c>
      <c r="F17" s="30" t="s">
        <v>119</v>
      </c>
      <c r="G17" s="30" t="s">
        <v>120</v>
      </c>
      <c r="H17" s="30" t="s">
        <v>121</v>
      </c>
      <c r="I17" s="30" t="s">
        <v>122</v>
      </c>
      <c r="J17" s="30" t="s">
        <v>123</v>
      </c>
      <c r="K17" s="30" t="s">
        <v>124</v>
      </c>
      <c r="L17" s="30" t="s">
        <v>125</v>
      </c>
    </row>
    <row r="18" spans="1:12">
      <c r="A18" s="12" t="s">
        <v>135</v>
      </c>
      <c r="B18" s="12">
        <v>12.909000000000001</v>
      </c>
      <c r="C18">
        <v>136.38999999999999</v>
      </c>
      <c r="D18" s="12">
        <v>1</v>
      </c>
      <c r="E18" s="39">
        <f>C18*B18</f>
        <v>1760.65851</v>
      </c>
      <c r="F18" s="12">
        <v>670.33699999999999</v>
      </c>
      <c r="G18" s="12">
        <f>F18*F18</f>
        <v>449351.693569</v>
      </c>
      <c r="H18" s="40"/>
      <c r="I18" s="40"/>
      <c r="J18" s="12"/>
      <c r="K18" s="12"/>
      <c r="L18" s="12"/>
    </row>
    <row r="19" spans="1:12">
      <c r="A19" s="12"/>
      <c r="B19" s="12">
        <v>166.94800000000001</v>
      </c>
      <c r="C19" s="12">
        <v>285.67599999999999</v>
      </c>
      <c r="D19" s="12">
        <v>1</v>
      </c>
      <c r="E19" s="39">
        <f>C19*B19</f>
        <v>47693.036848000003</v>
      </c>
      <c r="F19" s="12">
        <v>670.33699999999999</v>
      </c>
      <c r="G19" s="12">
        <f>F19*F19</f>
        <v>449351.693569</v>
      </c>
      <c r="H19" s="40"/>
      <c r="I19" s="40"/>
      <c r="J19" s="12"/>
      <c r="K19" s="12"/>
      <c r="L19" s="12"/>
    </row>
    <row r="20" spans="1:12" ht="16" thickBot="1">
      <c r="A20" s="12"/>
      <c r="B20" s="42">
        <f>AVERAGE(B18:B19)</f>
        <v>89.9285</v>
      </c>
      <c r="C20" s="42">
        <f t="shared" ref="C20:E20" si="1">AVERAGE(C18:C19)</f>
        <v>211.03299999999999</v>
      </c>
      <c r="D20" s="42">
        <f>SUM(D18:D19)</f>
        <v>2</v>
      </c>
      <c r="E20" s="42">
        <f t="shared" si="1"/>
        <v>24726.847679000002</v>
      </c>
      <c r="F20" s="42">
        <f>F19</f>
        <v>670.33699999999999</v>
      </c>
      <c r="G20" s="42">
        <f>F20*B19</f>
        <v>111911.421476</v>
      </c>
      <c r="H20" s="43">
        <f>E19+E18</f>
        <v>49453.695358000004</v>
      </c>
      <c r="I20" s="44">
        <f>H20/G20</f>
        <v>0.44190034141068979</v>
      </c>
      <c r="J20" s="42">
        <f>I20*100</f>
        <v>44.190034141068978</v>
      </c>
      <c r="K20" s="42">
        <f>I20*20.25</f>
        <v>8.9484819135664679</v>
      </c>
      <c r="L20" s="42">
        <f>J20</f>
        <v>44.190034141068978</v>
      </c>
    </row>
    <row r="21" spans="1:12">
      <c r="A21" s="12"/>
      <c r="B21" s="12"/>
      <c r="C21" s="12"/>
      <c r="D21" s="12"/>
      <c r="E21" s="39"/>
      <c r="F21" s="12"/>
      <c r="G21" s="12"/>
      <c r="H21" s="40"/>
      <c r="I21" s="40"/>
      <c r="J21" s="12"/>
      <c r="K21" s="12"/>
      <c r="L21" s="12"/>
    </row>
    <row r="22" spans="1:12">
      <c r="A22" s="12" t="s">
        <v>136</v>
      </c>
      <c r="B22" s="12">
        <v>79.019000000000005</v>
      </c>
      <c r="C22">
        <v>40.216999999999999</v>
      </c>
      <c r="D22" s="12">
        <v>1</v>
      </c>
      <c r="E22" s="39">
        <f>B22*C22</f>
        <v>3177.907123</v>
      </c>
      <c r="F22" s="12">
        <v>249.32400000000001</v>
      </c>
      <c r="G22" s="12">
        <f>F22*F22</f>
        <v>62162.456976000009</v>
      </c>
      <c r="H22" s="40"/>
      <c r="I22" s="40"/>
      <c r="J22" s="12"/>
      <c r="K22" s="12"/>
      <c r="L22" s="12"/>
    </row>
    <row r="23" spans="1:12">
      <c r="A23" s="12"/>
      <c r="B23">
        <v>67.736999999999995</v>
      </c>
      <c r="C23">
        <v>61.13</v>
      </c>
      <c r="D23" s="12">
        <v>1</v>
      </c>
      <c r="E23" s="39">
        <f>B23*C23</f>
        <v>4140.7628100000002</v>
      </c>
      <c r="F23" s="12">
        <v>249.32400000000001</v>
      </c>
      <c r="G23" s="12">
        <f>F23*F23</f>
        <v>62162.456976000009</v>
      </c>
      <c r="H23" s="12"/>
      <c r="I23" s="12"/>
      <c r="J23" s="12"/>
      <c r="K23" s="12"/>
      <c r="L23" s="12"/>
    </row>
    <row r="24" spans="1:12" ht="16" thickBot="1">
      <c r="A24" s="12"/>
      <c r="B24" s="42">
        <f>AVERAGE(B22:B23)</f>
        <v>73.378</v>
      </c>
      <c r="C24" s="42">
        <f t="shared" ref="C24" si="2">AVERAGE(C22:C23)</f>
        <v>50.673500000000004</v>
      </c>
      <c r="D24" s="42">
        <f>SUM(D22:D23)</f>
        <v>2</v>
      </c>
      <c r="E24" s="45">
        <f>AVERAGE(E22:E23)</f>
        <v>3659.3349665000001</v>
      </c>
      <c r="F24" s="42">
        <f>F23</f>
        <v>249.32400000000001</v>
      </c>
      <c r="G24" s="42">
        <f>F24*B22</f>
        <v>19701.333156000001</v>
      </c>
      <c r="H24" s="43">
        <f>E23+E22</f>
        <v>7318.6699330000001</v>
      </c>
      <c r="I24" s="44">
        <f>H24/G24</f>
        <v>0.37148094877889593</v>
      </c>
      <c r="J24" s="42">
        <f>I24*100</f>
        <v>37.148094877889591</v>
      </c>
      <c r="K24" s="42">
        <f>I24*20.25</f>
        <v>7.5224892127726424</v>
      </c>
      <c r="L24" s="42">
        <f>J24</f>
        <v>37.148094877889591</v>
      </c>
    </row>
    <row r="25" spans="1:12">
      <c r="A25" s="12"/>
      <c r="B25" s="37"/>
      <c r="C25" s="37"/>
      <c r="D25" s="37"/>
      <c r="E25" s="37"/>
      <c r="F25" s="12"/>
      <c r="G25" s="12"/>
      <c r="H25" s="12"/>
      <c r="I25" s="12"/>
      <c r="J25" s="12"/>
      <c r="K25" s="12"/>
      <c r="L25" s="12"/>
    </row>
    <row r="26" spans="1:12">
      <c r="A26" s="12"/>
      <c r="B26">
        <v>64.528999999999996</v>
      </c>
      <c r="C26">
        <v>459.13099999999997</v>
      </c>
      <c r="E26" s="12">
        <f>B26*C26</f>
        <v>29627.264298999995</v>
      </c>
      <c r="F26" s="12"/>
      <c r="G26" s="12"/>
      <c r="H26" s="12"/>
      <c r="I26" s="12"/>
      <c r="K26" s="12"/>
      <c r="L26" s="12"/>
    </row>
    <row r="27" spans="1:12">
      <c r="A27" s="38"/>
      <c r="B27">
        <v>96.066999999999993</v>
      </c>
      <c r="C27">
        <v>325.363</v>
      </c>
      <c r="E27" s="12">
        <f t="shared" ref="E27:E35" si="3">B27*C27</f>
        <v>31256.647320999997</v>
      </c>
    </row>
    <row r="28" spans="1:12">
      <c r="B28">
        <v>140.06700000000001</v>
      </c>
      <c r="C28">
        <v>330.76299999999998</v>
      </c>
      <c r="E28" s="12">
        <f t="shared" si="3"/>
        <v>46328.981120999997</v>
      </c>
    </row>
    <row r="29" spans="1:12">
      <c r="B29">
        <v>127.34</v>
      </c>
      <c r="C29">
        <v>242.19</v>
      </c>
      <c r="E29" s="12">
        <f t="shared" si="3"/>
        <v>30840.474600000001</v>
      </c>
    </row>
    <row r="30" spans="1:12">
      <c r="B30">
        <v>90.043000000000006</v>
      </c>
      <c r="C30">
        <v>230.327</v>
      </c>
      <c r="E30" s="12">
        <f t="shared" si="3"/>
        <v>20739.334061000001</v>
      </c>
    </row>
    <row r="31" spans="1:12">
      <c r="B31">
        <v>93.426000000000002</v>
      </c>
      <c r="C31">
        <v>430.67099999999999</v>
      </c>
      <c r="E31" s="12">
        <f t="shared" si="3"/>
        <v>40235.868845999998</v>
      </c>
    </row>
    <row r="32" spans="1:12">
      <c r="B32">
        <v>83.585999999999999</v>
      </c>
      <c r="C32">
        <v>223.714</v>
      </c>
      <c r="E32" s="12">
        <f t="shared" si="3"/>
        <v>18699.358403999999</v>
      </c>
    </row>
    <row r="33" spans="1:12">
      <c r="B33">
        <v>72.144999999999996</v>
      </c>
      <c r="C33">
        <v>430.88</v>
      </c>
      <c r="E33" s="12">
        <f t="shared" si="3"/>
        <v>31085.837599999999</v>
      </c>
    </row>
    <row r="34" spans="1:12">
      <c r="B34">
        <v>62.798999999999999</v>
      </c>
      <c r="C34">
        <v>147.71899999999999</v>
      </c>
      <c r="E34" s="12">
        <f t="shared" si="3"/>
        <v>9276.6054809999987</v>
      </c>
    </row>
    <row r="35" spans="1:12">
      <c r="B35">
        <v>85.129000000000005</v>
      </c>
      <c r="C35">
        <v>648.83100000000002</v>
      </c>
      <c r="E35" s="12">
        <f t="shared" si="3"/>
        <v>55234.334199000004</v>
      </c>
    </row>
    <row r="36" spans="1:12">
      <c r="D36">
        <f>COUNT(C26:C35)</f>
        <v>10</v>
      </c>
      <c r="E36" s="12">
        <f>AVERAGE(E26:E35)</f>
        <v>31332.4705932</v>
      </c>
      <c r="F36">
        <v>5033.5569999999998</v>
      </c>
      <c r="G36">
        <f>F36*B28</f>
        <v>705035.22831899999</v>
      </c>
      <c r="H36">
        <f>D36*E36</f>
        <v>313324.70593200001</v>
      </c>
      <c r="I36">
        <f>H36/G36</f>
        <v>0.44441000016276239</v>
      </c>
      <c r="J36">
        <f>I36*100</f>
        <v>44.441000016276242</v>
      </c>
    </row>
    <row r="38" spans="1:12" ht="82" customHeight="1">
      <c r="A38" s="12" t="s">
        <v>115</v>
      </c>
      <c r="B38" s="30" t="s">
        <v>116</v>
      </c>
      <c r="C38" s="30" t="s">
        <v>117</v>
      </c>
      <c r="D38" s="30" t="s">
        <v>131</v>
      </c>
      <c r="E38" s="30" t="s">
        <v>118</v>
      </c>
      <c r="F38" s="30" t="s">
        <v>119</v>
      </c>
      <c r="G38" s="30" t="s">
        <v>120</v>
      </c>
      <c r="H38" s="30" t="s">
        <v>121</v>
      </c>
      <c r="I38" s="30" t="s">
        <v>122</v>
      </c>
      <c r="J38" s="30" t="s">
        <v>123</v>
      </c>
      <c r="K38" s="30" t="s">
        <v>124</v>
      </c>
      <c r="L38" s="30" t="s">
        <v>125</v>
      </c>
    </row>
    <row r="39" spans="1:12">
      <c r="B39">
        <v>91.275000000000006</v>
      </c>
      <c r="C39">
        <v>129.11000000000001</v>
      </c>
      <c r="E39">
        <f>B39*C39</f>
        <v>11784.515250000002</v>
      </c>
    </row>
    <row r="40" spans="1:12">
      <c r="B40">
        <v>96.793000000000006</v>
      </c>
      <c r="C40">
        <v>139.59700000000001</v>
      </c>
      <c r="E40">
        <f t="shared" ref="E40:E43" si="4">B40*C40</f>
        <v>13512.012421000001</v>
      </c>
    </row>
    <row r="41" spans="1:12">
      <c r="B41">
        <v>110.19799999999999</v>
      </c>
      <c r="C41">
        <v>136.38499999999999</v>
      </c>
      <c r="E41">
        <f t="shared" si="4"/>
        <v>15029.354229999997</v>
      </c>
    </row>
    <row r="42" spans="1:12">
      <c r="B42">
        <v>61.802999999999997</v>
      </c>
      <c r="C42">
        <v>75.597999999999999</v>
      </c>
      <c r="E42">
        <f t="shared" si="4"/>
        <v>4672.1831940000002</v>
      </c>
    </row>
    <row r="43" spans="1:12">
      <c r="B43">
        <v>35.002000000000002</v>
      </c>
      <c r="C43">
        <v>131.626</v>
      </c>
      <c r="E43">
        <f t="shared" si="4"/>
        <v>4607.1732520000005</v>
      </c>
    </row>
    <row r="44" spans="1:12">
      <c r="B44" s="1"/>
      <c r="C44" s="1"/>
      <c r="D44" s="1">
        <f>COUNT(C39:C43)</f>
        <v>5</v>
      </c>
      <c r="E44" s="1">
        <f>AVERAGE(E39:E43)</f>
        <v>9921.047669399999</v>
      </c>
      <c r="F44" s="1">
        <v>822.89700000000005</v>
      </c>
      <c r="G44" s="1">
        <f>F44*B41</f>
        <v>90681.603606000004</v>
      </c>
      <c r="H44" s="1">
        <f>D44*E44</f>
        <v>49605.238346999991</v>
      </c>
      <c r="I44" s="1">
        <f>H44/G44</f>
        <v>0.54702647918014791</v>
      </c>
      <c r="J44" s="1"/>
      <c r="K44" s="1"/>
      <c r="L44" s="1"/>
    </row>
  </sheetData>
  <mergeCells count="1">
    <mergeCell ref="I4:P4"/>
  </mergeCells>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253"/>
  <sheetViews>
    <sheetView workbookViewId="0">
      <selection activeCell="D4" sqref="D4"/>
    </sheetView>
  </sheetViews>
  <sheetFormatPr baseColWidth="10" defaultColWidth="11" defaultRowHeight="15" x14ac:dyDescent="0"/>
  <cols>
    <col min="1" max="1" width="25" customWidth="1"/>
    <col min="2" max="2" width="14.6640625" customWidth="1"/>
    <col min="3" max="4" width="15" customWidth="1"/>
    <col min="8" max="8" width="13" customWidth="1"/>
    <col min="9" max="9" width="14.5" customWidth="1"/>
    <col min="10" max="10" width="12.1640625" customWidth="1"/>
    <col min="11" max="11" width="13.1640625" customWidth="1"/>
    <col min="12" max="12" width="14.5" customWidth="1"/>
  </cols>
  <sheetData>
    <row r="1" spans="1:27">
      <c r="A1" t="s">
        <v>16</v>
      </c>
    </row>
    <row r="3" spans="1:27">
      <c r="A3" t="s">
        <v>17</v>
      </c>
    </row>
    <row r="4" spans="1:27">
      <c r="AA4">
        <v>683.38699999999994</v>
      </c>
    </row>
    <row r="5" spans="1:27">
      <c r="A5" t="s">
        <v>138</v>
      </c>
      <c r="AA5">
        <v>161.41200000000001</v>
      </c>
    </row>
    <row r="6" spans="1:27">
      <c r="A6" t="s">
        <v>167</v>
      </c>
      <c r="B6">
        <v>250</v>
      </c>
    </row>
    <row r="7" spans="1:27">
      <c r="A7" t="s">
        <v>27</v>
      </c>
      <c r="B7">
        <v>100</v>
      </c>
    </row>
    <row r="8" spans="1:27">
      <c r="A8" t="s">
        <v>28</v>
      </c>
      <c r="B8">
        <v>0</v>
      </c>
      <c r="AA8">
        <v>108.583</v>
      </c>
    </row>
    <row r="9" spans="1:27">
      <c r="A9" t="s">
        <v>148</v>
      </c>
      <c r="AA9">
        <v>208.965</v>
      </c>
    </row>
    <row r="10" spans="1:27">
      <c r="A10" s="5" t="s">
        <v>18</v>
      </c>
      <c r="B10" s="18"/>
      <c r="C10" s="18"/>
      <c r="D10" s="18"/>
      <c r="E10" s="18"/>
      <c r="F10" s="18"/>
      <c r="G10" s="18"/>
      <c r="H10" s="18"/>
      <c r="I10" s="18"/>
      <c r="J10" s="18"/>
      <c r="K10" s="18"/>
      <c r="L10" s="18"/>
      <c r="AA10">
        <v>304.226</v>
      </c>
    </row>
    <row r="11" spans="1:27" ht="31" customHeight="1" thickBot="1">
      <c r="A11" s="76" t="s">
        <v>19</v>
      </c>
      <c r="B11" s="76"/>
      <c r="C11" s="76" t="s">
        <v>20</v>
      </c>
      <c r="D11" s="76"/>
      <c r="E11" s="76" t="s">
        <v>21</v>
      </c>
      <c r="F11" s="76"/>
      <c r="G11" s="76" t="s">
        <v>6</v>
      </c>
      <c r="H11" s="76" t="s">
        <v>22</v>
      </c>
      <c r="I11" s="76" t="s">
        <v>23</v>
      </c>
      <c r="J11" s="76" t="s">
        <v>9</v>
      </c>
      <c r="K11" s="77" t="s">
        <v>24</v>
      </c>
      <c r="L11" s="77" t="s">
        <v>25</v>
      </c>
      <c r="M11" s="77" t="s">
        <v>150</v>
      </c>
      <c r="O11" s="83" t="s">
        <v>101</v>
      </c>
      <c r="P11" s="84" t="s">
        <v>4</v>
      </c>
      <c r="Q11" s="83" t="s">
        <v>102</v>
      </c>
      <c r="R11" s="83" t="s">
        <v>27</v>
      </c>
      <c r="S11" s="83" t="s">
        <v>28</v>
      </c>
      <c r="AA11">
        <v>272.70100000000002</v>
      </c>
    </row>
    <row r="12" spans="1:27">
      <c r="A12" s="78" t="s">
        <v>100</v>
      </c>
      <c r="B12" s="79" t="s">
        <v>27</v>
      </c>
      <c r="C12" s="79">
        <f>C51</f>
        <v>167.94300000000001</v>
      </c>
      <c r="D12" s="79">
        <f>D51</f>
        <v>167.94300000000001</v>
      </c>
      <c r="E12" s="79">
        <f t="shared" ref="E12:L13" si="0">E51</f>
        <v>83.971500000000006</v>
      </c>
      <c r="F12" s="79">
        <f t="shared" si="0"/>
        <v>83.971500000000006</v>
      </c>
      <c r="G12" s="79">
        <f t="shared" si="0"/>
        <v>22152.038369862828</v>
      </c>
      <c r="H12" s="79">
        <f t="shared" si="0"/>
        <v>1</v>
      </c>
      <c r="I12" s="79">
        <f t="shared" si="0"/>
        <v>22152.038369862828</v>
      </c>
      <c r="J12" s="79">
        <f t="shared" si="0"/>
        <v>529777.21</v>
      </c>
      <c r="K12" s="79">
        <f t="shared" si="0"/>
        <v>4.1813875628705942E-2</v>
      </c>
      <c r="L12" s="79">
        <f t="shared" si="0"/>
        <v>4.1813875628705945</v>
      </c>
      <c r="M12" s="79">
        <f>K12*100</f>
        <v>4.1813875628705945</v>
      </c>
      <c r="O12" s="83"/>
      <c r="P12" s="83" t="s">
        <v>100</v>
      </c>
      <c r="Q12" s="83"/>
      <c r="R12" s="83">
        <v>819.82600000000002</v>
      </c>
      <c r="S12" s="83">
        <v>146.25200000000001</v>
      </c>
    </row>
    <row r="13" spans="1:27">
      <c r="A13" s="78"/>
      <c r="B13" s="79" t="s">
        <v>28</v>
      </c>
      <c r="C13" s="79">
        <f>C52</f>
        <v>33.892357142857144</v>
      </c>
      <c r="D13" s="79">
        <f>D52</f>
        <v>29.718142857142862</v>
      </c>
      <c r="E13" s="79">
        <f t="shared" si="0"/>
        <v>16.946178571428572</v>
      </c>
      <c r="F13" s="79">
        <f t="shared" si="0"/>
        <v>14.859071428571431</v>
      </c>
      <c r="G13" s="79">
        <f t="shared" si="0"/>
        <v>952.84168690755303</v>
      </c>
      <c r="H13" s="79">
        <f t="shared" si="0"/>
        <v>14</v>
      </c>
      <c r="I13" s="79">
        <f t="shared" si="0"/>
        <v>13339.783616705743</v>
      </c>
      <c r="J13" s="79">
        <f t="shared" si="0"/>
        <v>529777.21</v>
      </c>
      <c r="K13" s="79">
        <f t="shared" si="0"/>
        <v>2.5179987671998468E-2</v>
      </c>
      <c r="L13" s="79">
        <f t="shared" si="0"/>
        <v>2.5179987671998467</v>
      </c>
      <c r="M13" s="79">
        <f t="shared" ref="M13:M25" si="1">K13*100</f>
        <v>2.5179987671998467</v>
      </c>
      <c r="O13" s="83"/>
      <c r="P13" s="83" t="str">
        <f>A218</f>
        <v>Neo-RR-cho-C-10</v>
      </c>
      <c r="Q13" s="83"/>
      <c r="R13" s="83">
        <v>824.38</v>
      </c>
      <c r="S13" s="83">
        <v>192.31100000000001</v>
      </c>
    </row>
    <row r="14" spans="1:27">
      <c r="A14" s="80" t="str">
        <f>A56</f>
        <v>Np-cast2-20</v>
      </c>
      <c r="B14" s="80" t="s">
        <v>102</v>
      </c>
      <c r="C14" s="80">
        <f>C98</f>
        <v>414.31860000000006</v>
      </c>
      <c r="D14" s="80">
        <f t="shared" ref="D14:L14" si="2">D98</f>
        <v>0</v>
      </c>
      <c r="E14" s="80">
        <f t="shared" si="2"/>
        <v>207.15930000000003</v>
      </c>
      <c r="F14" s="80">
        <f t="shared" si="2"/>
        <v>0</v>
      </c>
      <c r="G14" s="80">
        <f t="shared" si="2"/>
        <v>144584.57387458178</v>
      </c>
      <c r="H14" s="80">
        <f t="shared" si="2"/>
        <v>5</v>
      </c>
      <c r="I14" s="80">
        <f t="shared" si="2"/>
        <v>722922.86937290896</v>
      </c>
      <c r="J14" s="80">
        <f t="shared" si="2"/>
        <v>17140759.425000001</v>
      </c>
      <c r="K14" s="80">
        <f t="shared" si="2"/>
        <v>4.2175661617332855E-2</v>
      </c>
      <c r="L14" s="80">
        <f t="shared" si="2"/>
        <v>4.2175661617332851</v>
      </c>
      <c r="M14" s="79">
        <f t="shared" si="1"/>
        <v>4.2175661617332851</v>
      </c>
      <c r="O14" s="83"/>
      <c r="P14" s="83"/>
      <c r="Q14" s="83"/>
      <c r="R14" s="83"/>
      <c r="S14" s="83">
        <v>148.63800000000001</v>
      </c>
    </row>
    <row r="15" spans="1:27">
      <c r="A15" s="79"/>
      <c r="B15" s="79" t="s">
        <v>27</v>
      </c>
      <c r="C15" s="79">
        <f t="shared" ref="C15:L15" si="3">C99</f>
        <v>196.91170000000002</v>
      </c>
      <c r="D15" s="79">
        <f t="shared" si="3"/>
        <v>0</v>
      </c>
      <c r="E15" s="79">
        <f t="shared" si="3"/>
        <v>98.455850000000012</v>
      </c>
      <c r="F15" s="79">
        <f t="shared" si="3"/>
        <v>0</v>
      </c>
      <c r="G15" s="79">
        <f t="shared" si="3"/>
        <v>31214.039413429186</v>
      </c>
      <c r="H15" s="79">
        <f t="shared" si="3"/>
        <v>10</v>
      </c>
      <c r="I15" s="79">
        <f t="shared" si="3"/>
        <v>312140.39413429186</v>
      </c>
      <c r="J15" s="79">
        <f t="shared" si="3"/>
        <v>17140759.425000001</v>
      </c>
      <c r="K15" s="79">
        <f t="shared" si="3"/>
        <v>1.821041800977799E-2</v>
      </c>
      <c r="L15" s="79">
        <f t="shared" si="3"/>
        <v>1.8210418009777989</v>
      </c>
      <c r="M15" s="79">
        <f t="shared" si="1"/>
        <v>1.8210418009777989</v>
      </c>
      <c r="O15" s="83"/>
      <c r="P15" s="83" t="s">
        <v>169</v>
      </c>
      <c r="Q15" s="83"/>
      <c r="R15" s="83">
        <v>1067.925</v>
      </c>
      <c r="S15" s="83"/>
    </row>
    <row r="16" spans="1:27">
      <c r="A16" s="81"/>
      <c r="B16" s="81" t="s">
        <v>28</v>
      </c>
      <c r="C16" s="81">
        <f t="shared" ref="C16:L16" si="4">C100</f>
        <v>52.183833333333347</v>
      </c>
      <c r="D16" s="81">
        <f t="shared" si="4"/>
        <v>0</v>
      </c>
      <c r="E16" s="81">
        <f t="shared" si="4"/>
        <v>26.091916666666673</v>
      </c>
      <c r="F16" s="81">
        <f t="shared" si="4"/>
        <v>0</v>
      </c>
      <c r="G16" s="81">
        <f t="shared" si="4"/>
        <v>2374.3288263525283</v>
      </c>
      <c r="H16" s="81">
        <f t="shared" si="4"/>
        <v>24</v>
      </c>
      <c r="I16" s="81">
        <f t="shared" si="4"/>
        <v>56983.891832460678</v>
      </c>
      <c r="J16" s="81">
        <f t="shared" si="4"/>
        <v>17140759.425000001</v>
      </c>
      <c r="K16" s="81">
        <f t="shared" si="4"/>
        <v>3.3244671615511386E-3</v>
      </c>
      <c r="L16" s="81">
        <f t="shared" si="4"/>
        <v>0.33244671615511384</v>
      </c>
      <c r="M16" s="79">
        <f t="shared" si="1"/>
        <v>0.33244671615511384</v>
      </c>
      <c r="O16" s="83"/>
      <c r="P16" s="83" t="s">
        <v>170</v>
      </c>
      <c r="Q16" s="83">
        <v>2944.154</v>
      </c>
      <c r="R16" s="83">
        <v>451.74799999999999</v>
      </c>
      <c r="S16" s="83">
        <v>510.83</v>
      </c>
    </row>
    <row r="17" spans="1:19">
      <c r="A17" s="79" t="str">
        <f>A102</f>
        <v>Np1-cor5-05-11-26-12</v>
      </c>
      <c r="B17" s="79" t="s">
        <v>27</v>
      </c>
      <c r="C17" s="79">
        <f>C139</f>
        <v>135.91816666666668</v>
      </c>
      <c r="D17" s="79">
        <f t="shared" ref="D17:L17" si="5">D139</f>
        <v>0</v>
      </c>
      <c r="E17" s="79">
        <f t="shared" si="5"/>
        <v>67.959083333333339</v>
      </c>
      <c r="F17" s="79">
        <f t="shared" si="5"/>
        <v>0</v>
      </c>
      <c r="G17" s="79">
        <f t="shared" si="5"/>
        <v>15709.897036429675</v>
      </c>
      <c r="H17" s="79">
        <f t="shared" si="5"/>
        <v>6</v>
      </c>
      <c r="I17" s="79">
        <f t="shared" si="5"/>
        <v>94259.382218578045</v>
      </c>
      <c r="J17" s="79">
        <f t="shared" si="5"/>
        <v>481743</v>
      </c>
      <c r="K17" s="79">
        <f t="shared" si="5"/>
        <v>0.19566321092071509</v>
      </c>
      <c r="L17" s="79">
        <f t="shared" si="5"/>
        <v>19.566321092071508</v>
      </c>
      <c r="M17" s="79">
        <f t="shared" si="1"/>
        <v>19.566321092071508</v>
      </c>
      <c r="O17" s="83"/>
      <c r="P17" s="83"/>
      <c r="Q17" s="83"/>
      <c r="R17" s="83">
        <v>513.00300000000004</v>
      </c>
      <c r="S17" s="83"/>
    </row>
    <row r="18" spans="1:19">
      <c r="A18" s="79"/>
      <c r="B18" s="79" t="s">
        <v>28</v>
      </c>
      <c r="C18" s="79">
        <f>C140</f>
        <v>33.458037037037037</v>
      </c>
      <c r="D18" s="79">
        <f t="shared" ref="D18:L18" si="6">D140</f>
        <v>0</v>
      </c>
      <c r="E18" s="79">
        <f t="shared" si="6"/>
        <v>16.729018518518519</v>
      </c>
      <c r="F18" s="79">
        <f t="shared" si="6"/>
        <v>0</v>
      </c>
      <c r="G18" s="79">
        <f t="shared" si="6"/>
        <v>1480.7298451880206</v>
      </c>
      <c r="H18" s="79">
        <f t="shared" si="6"/>
        <v>27</v>
      </c>
      <c r="I18" s="79">
        <f t="shared" si="6"/>
        <v>39979.705820076553</v>
      </c>
      <c r="J18" s="79">
        <f t="shared" si="6"/>
        <v>481743</v>
      </c>
      <c r="K18" s="79">
        <f t="shared" si="6"/>
        <v>8.2989697452950123E-2</v>
      </c>
      <c r="L18" s="79">
        <f t="shared" si="6"/>
        <v>8.2989697452950129</v>
      </c>
      <c r="M18" s="79">
        <f t="shared" si="1"/>
        <v>8.2989697452950129</v>
      </c>
      <c r="O18" s="83"/>
      <c r="P18" s="83"/>
      <c r="Q18" s="83"/>
      <c r="R18" s="83">
        <v>424.52800000000002</v>
      </c>
      <c r="S18" s="83"/>
    </row>
    <row r="19" spans="1:19">
      <c r="A19" s="80" t="str">
        <f>A148</f>
        <v>Np-cast3-14</v>
      </c>
      <c r="B19" s="80" t="s">
        <v>102</v>
      </c>
      <c r="C19" s="80">
        <f>C179</f>
        <v>352.35</v>
      </c>
      <c r="D19" s="80">
        <f t="shared" ref="D19:L19" si="7">D179</f>
        <v>0</v>
      </c>
      <c r="E19" s="80">
        <f t="shared" si="7"/>
        <v>176.17500000000001</v>
      </c>
      <c r="F19" s="80">
        <f t="shared" si="7"/>
        <v>0</v>
      </c>
      <c r="G19" s="80">
        <f t="shared" si="7"/>
        <v>100427.85551056462</v>
      </c>
      <c r="H19" s="80">
        <f t="shared" si="7"/>
        <v>2</v>
      </c>
      <c r="I19" s="80">
        <f t="shared" si="7"/>
        <v>200855.71102112925</v>
      </c>
      <c r="J19" s="80">
        <f t="shared" si="7"/>
        <v>726617.72</v>
      </c>
      <c r="K19" s="80">
        <f t="shared" si="7"/>
        <v>0.27642556118935452</v>
      </c>
      <c r="L19" s="80">
        <f t="shared" si="7"/>
        <v>27.642556118935453</v>
      </c>
      <c r="M19" s="79">
        <f t="shared" si="1"/>
        <v>27.642556118935453</v>
      </c>
      <c r="O19" s="83"/>
      <c r="P19" s="83"/>
      <c r="Q19" s="83"/>
      <c r="R19" s="83">
        <v>431.185</v>
      </c>
      <c r="S19" s="83"/>
    </row>
    <row r="20" spans="1:19">
      <c r="A20" s="79"/>
      <c r="B20" s="79" t="s">
        <v>27</v>
      </c>
      <c r="C20" s="79">
        <f>C180</f>
        <v>122.47499999999999</v>
      </c>
      <c r="D20" s="79">
        <f t="shared" ref="D20:L20" si="8">D180</f>
        <v>0</v>
      </c>
      <c r="E20" s="79">
        <f t="shared" si="8"/>
        <v>61.237499999999997</v>
      </c>
      <c r="F20" s="79">
        <f t="shared" si="8"/>
        <v>0</v>
      </c>
      <c r="G20" s="79">
        <f t="shared" si="8"/>
        <v>11857.272409914229</v>
      </c>
      <c r="H20" s="79">
        <f t="shared" si="8"/>
        <v>2</v>
      </c>
      <c r="I20" s="79">
        <f t="shared" si="8"/>
        <v>23714.544819828458</v>
      </c>
      <c r="J20" s="79">
        <f t="shared" si="8"/>
        <v>726617.72</v>
      </c>
      <c r="K20" s="79">
        <f t="shared" si="8"/>
        <v>3.2636893055441117E-2</v>
      </c>
      <c r="L20" s="79">
        <f t="shared" si="8"/>
        <v>3.2636893055441116</v>
      </c>
      <c r="M20" s="79">
        <f t="shared" si="1"/>
        <v>3.2636893055441116</v>
      </c>
      <c r="P20" t="s">
        <v>149</v>
      </c>
      <c r="Q20">
        <f>AVERAGE(Q12:Q19)</f>
        <v>2944.154</v>
      </c>
      <c r="R20">
        <f t="shared" ref="R20:S20" si="9">AVERAGE(R12:R19)</f>
        <v>647.51357142857159</v>
      </c>
      <c r="S20">
        <f t="shared" si="9"/>
        <v>249.50774999999999</v>
      </c>
    </row>
    <row r="21" spans="1:19">
      <c r="A21" s="81"/>
      <c r="B21" s="81" t="s">
        <v>28</v>
      </c>
      <c r="C21" s="81">
        <f t="shared" ref="C21:L21" si="10">C181</f>
        <v>39.522333333333336</v>
      </c>
      <c r="D21" s="81">
        <f t="shared" si="10"/>
        <v>0</v>
      </c>
      <c r="E21" s="81">
        <f t="shared" si="10"/>
        <v>19.761166666666668</v>
      </c>
      <c r="F21" s="81">
        <f t="shared" si="10"/>
        <v>0</v>
      </c>
      <c r="G21" s="81">
        <f t="shared" si="10"/>
        <v>1648.7741648960407</v>
      </c>
      <c r="H21" s="81">
        <f t="shared" si="10"/>
        <v>24</v>
      </c>
      <c r="I21" s="81">
        <f t="shared" si="10"/>
        <v>39570.579957504975</v>
      </c>
      <c r="J21" s="81">
        <f t="shared" si="10"/>
        <v>726617.72</v>
      </c>
      <c r="K21" s="81">
        <f t="shared" si="10"/>
        <v>5.4458594758059267E-2</v>
      </c>
      <c r="L21" s="81">
        <f t="shared" si="10"/>
        <v>5.4458594758059267</v>
      </c>
      <c r="M21" s="79">
        <f t="shared" si="1"/>
        <v>5.4458594758059267</v>
      </c>
    </row>
    <row r="22" spans="1:19">
      <c r="A22" s="79" t="str">
        <f>A185</f>
        <v>Neo-RR-cho-C-07</v>
      </c>
      <c r="B22" s="79" t="s">
        <v>28</v>
      </c>
      <c r="C22" s="79">
        <f>C196</f>
        <v>17.519333333333336</v>
      </c>
      <c r="D22" s="79">
        <f t="shared" ref="D22:L22" si="11">D196</f>
        <v>13.624666666666664</v>
      </c>
      <c r="E22" s="79">
        <f t="shared" si="11"/>
        <v>8.7596666666666678</v>
      </c>
      <c r="F22" s="79">
        <f t="shared" si="11"/>
        <v>6.8123333333333322</v>
      </c>
      <c r="G22" s="79">
        <f t="shared" si="11"/>
        <v>377.52576671133488</v>
      </c>
      <c r="H22" s="79">
        <f t="shared" si="11"/>
        <v>6</v>
      </c>
      <c r="I22" s="79">
        <f t="shared" si="11"/>
        <v>2265.1546002680093</v>
      </c>
      <c r="J22" s="79">
        <f t="shared" si="11"/>
        <v>26470.588</v>
      </c>
      <c r="K22" s="79">
        <f t="shared" si="11"/>
        <v>8.5572507881880422E-2</v>
      </c>
      <c r="L22" s="79">
        <f t="shared" si="11"/>
        <v>8.5572507881880426</v>
      </c>
      <c r="M22" s="79">
        <f t="shared" si="1"/>
        <v>8.5572507881880426</v>
      </c>
    </row>
    <row r="23" spans="1:19">
      <c r="A23" s="82" t="str">
        <f>A199</f>
        <v>Neo-RR-cho-C-02</v>
      </c>
      <c r="B23" s="82" t="s">
        <v>28</v>
      </c>
      <c r="C23" s="82">
        <f>C215</f>
        <v>21.61690909090909</v>
      </c>
      <c r="D23" s="82">
        <f t="shared" ref="D23:L23" si="12">D215</f>
        <v>20.065090909090909</v>
      </c>
      <c r="E23" s="82">
        <f t="shared" si="12"/>
        <v>10.808454545454545</v>
      </c>
      <c r="F23" s="82">
        <f t="shared" si="12"/>
        <v>10.032545454545454</v>
      </c>
      <c r="G23" s="82">
        <f t="shared" si="12"/>
        <v>485.28733540751142</v>
      </c>
      <c r="H23" s="82">
        <f t="shared" si="12"/>
        <v>11</v>
      </c>
      <c r="I23" s="82">
        <f t="shared" si="12"/>
        <v>5338.1606894826255</v>
      </c>
      <c r="J23" s="82">
        <f t="shared" si="12"/>
        <v>55771.48</v>
      </c>
      <c r="K23" s="82">
        <f t="shared" si="12"/>
        <v>9.5714883117367963E-2</v>
      </c>
      <c r="L23" s="82">
        <f t="shared" si="12"/>
        <v>9.5714883117367968</v>
      </c>
      <c r="M23" s="79">
        <f t="shared" si="1"/>
        <v>9.5714883117367968</v>
      </c>
    </row>
    <row r="24" spans="1:19">
      <c r="A24" s="79" t="str">
        <f>A218</f>
        <v>Neo-RR-cho-C-10</v>
      </c>
      <c r="B24" s="79" t="s">
        <v>27</v>
      </c>
      <c r="C24" s="79">
        <f>C239</f>
        <v>165.98500000000001</v>
      </c>
      <c r="D24" s="79">
        <f t="shared" ref="D24:L24" si="13">D239</f>
        <v>161.858</v>
      </c>
      <c r="E24" s="79">
        <f t="shared" si="13"/>
        <v>82.992500000000007</v>
      </c>
      <c r="F24" s="79">
        <f t="shared" si="13"/>
        <v>80.929000000000002</v>
      </c>
      <c r="G24" s="79">
        <f t="shared" si="13"/>
        <v>23509.89593260418</v>
      </c>
      <c r="H24" s="79">
        <f t="shared" si="13"/>
        <v>2</v>
      </c>
      <c r="I24" s="79">
        <f t="shared" si="13"/>
        <v>47019.791865208361</v>
      </c>
      <c r="J24" s="79">
        <f t="shared" si="13"/>
        <v>686621.09400000004</v>
      </c>
      <c r="K24" s="79">
        <f t="shared" si="13"/>
        <v>6.8479969922404335E-2</v>
      </c>
      <c r="L24" s="79">
        <f t="shared" si="13"/>
        <v>6.8479969922404331</v>
      </c>
      <c r="M24" s="79">
        <f t="shared" si="1"/>
        <v>6.8479969922404331</v>
      </c>
    </row>
    <row r="25" spans="1:19">
      <c r="A25" s="79"/>
      <c r="B25" s="79" t="s">
        <v>28</v>
      </c>
      <c r="C25" s="79">
        <f>C240</f>
        <v>57.576266666666669</v>
      </c>
      <c r="D25" s="79">
        <f t="shared" ref="D25:L25" si="14">D240</f>
        <v>46.18</v>
      </c>
      <c r="E25" s="79">
        <f t="shared" si="14"/>
        <v>28.788133333333334</v>
      </c>
      <c r="F25" s="79">
        <f t="shared" si="14"/>
        <v>23.09</v>
      </c>
      <c r="G25" s="79">
        <f t="shared" si="14"/>
        <v>3137.0667509106829</v>
      </c>
      <c r="H25" s="79">
        <f t="shared" si="14"/>
        <v>15</v>
      </c>
      <c r="I25" s="79">
        <f t="shared" si="14"/>
        <v>47056.001263660241</v>
      </c>
      <c r="J25" s="79">
        <f t="shared" si="14"/>
        <v>686621.09400000004</v>
      </c>
      <c r="K25" s="79">
        <f t="shared" si="14"/>
        <v>6.8532705556028597E-2</v>
      </c>
      <c r="L25" s="79">
        <f t="shared" si="14"/>
        <v>6.8532705556028599</v>
      </c>
      <c r="M25" s="79">
        <f t="shared" si="1"/>
        <v>6.8532705556028599</v>
      </c>
    </row>
    <row r="26" spans="1:19">
      <c r="A26" s="46" t="s">
        <v>149</v>
      </c>
      <c r="B26" s="46" t="s">
        <v>102</v>
      </c>
      <c r="C26" s="46">
        <f t="shared" ref="C26:M26" si="15">AVERAGE(C14,C19)</f>
        <v>383.33430000000004</v>
      </c>
      <c r="D26" s="46">
        <f t="shared" si="15"/>
        <v>0</v>
      </c>
      <c r="E26" s="46">
        <f t="shared" si="15"/>
        <v>191.66715000000002</v>
      </c>
      <c r="F26" s="46">
        <f t="shared" si="15"/>
        <v>0</v>
      </c>
      <c r="G26" s="46">
        <f t="shared" si="15"/>
        <v>122506.21469257321</v>
      </c>
      <c r="H26" s="46">
        <f t="shared" si="15"/>
        <v>3.5</v>
      </c>
      <c r="I26" s="46">
        <f t="shared" si="15"/>
        <v>461889.29019701912</v>
      </c>
      <c r="J26" s="46">
        <f t="shared" si="15"/>
        <v>8933688.5724999998</v>
      </c>
      <c r="K26" s="46">
        <f t="shared" si="15"/>
        <v>0.15930061140334367</v>
      </c>
      <c r="L26" s="46">
        <f t="shared" si="15"/>
        <v>15.930061140334368</v>
      </c>
      <c r="M26" s="46">
        <f t="shared" si="15"/>
        <v>15.930061140334368</v>
      </c>
    </row>
    <row r="27" spans="1:19">
      <c r="A27" s="46"/>
      <c r="B27" s="46" t="s">
        <v>27</v>
      </c>
      <c r="C27" s="46">
        <f t="shared" ref="C27:M27" si="16">AVERAGE(C12:C12,C15,C17,C20)</f>
        <v>155.81196666666668</v>
      </c>
      <c r="D27" s="46">
        <f t="shared" si="16"/>
        <v>41.985750000000003</v>
      </c>
      <c r="E27" s="46">
        <f t="shared" si="16"/>
        <v>77.905983333333339</v>
      </c>
      <c r="F27" s="46">
        <f t="shared" si="16"/>
        <v>20.992875000000002</v>
      </c>
      <c r="G27" s="46">
        <f t="shared" si="16"/>
        <v>20233.31180740898</v>
      </c>
      <c r="H27" s="46">
        <f t="shared" si="16"/>
        <v>4.75</v>
      </c>
      <c r="I27" s="46">
        <f t="shared" si="16"/>
        <v>113066.58988564031</v>
      </c>
      <c r="J27" s="46">
        <f t="shared" si="16"/>
        <v>4719724.3387500001</v>
      </c>
      <c r="K27" s="46">
        <f t="shared" si="16"/>
        <v>7.2081099403660032E-2</v>
      </c>
      <c r="L27" s="46">
        <f t="shared" si="16"/>
        <v>7.2081099403660032</v>
      </c>
      <c r="M27" s="46">
        <f t="shared" si="16"/>
        <v>7.2081099403660032</v>
      </c>
    </row>
    <row r="28" spans="1:19" ht="16" thickBot="1">
      <c r="A28" s="47"/>
      <c r="B28" s="47" t="s">
        <v>28</v>
      </c>
      <c r="C28" s="47">
        <f t="shared" ref="C28:M28" si="17">AVERAGE(C13,C16,C21,C18,C22,C23)</f>
        <v>33.032133878467214</v>
      </c>
      <c r="D28" s="47">
        <f t="shared" si="17"/>
        <v>10.567983405483405</v>
      </c>
      <c r="E28" s="47">
        <f t="shared" si="17"/>
        <v>16.516066939233607</v>
      </c>
      <c r="F28" s="47">
        <f t="shared" si="17"/>
        <v>5.2839917027417025</v>
      </c>
      <c r="G28" s="47">
        <f t="shared" si="17"/>
        <v>1219.9146042438315</v>
      </c>
      <c r="H28" s="47">
        <f t="shared" si="17"/>
        <v>17.666666666666668</v>
      </c>
      <c r="I28" s="47">
        <f t="shared" si="17"/>
        <v>26246.212752749765</v>
      </c>
      <c r="J28" s="47">
        <f t="shared" si="17"/>
        <v>3160189.9038333334</v>
      </c>
      <c r="K28" s="47">
        <f t="shared" si="17"/>
        <v>5.7873356340634563E-2</v>
      </c>
      <c r="L28" s="47">
        <f t="shared" si="17"/>
        <v>5.7873356340634565</v>
      </c>
      <c r="M28" s="47">
        <f t="shared" si="17"/>
        <v>5.7873356340634565</v>
      </c>
    </row>
    <row r="29" spans="1:19">
      <c r="A29" s="8"/>
      <c r="B29" s="12"/>
      <c r="C29" s="34"/>
      <c r="D29" s="34"/>
      <c r="E29" s="34"/>
      <c r="F29" s="34"/>
      <c r="G29" s="34"/>
      <c r="H29" s="34"/>
      <c r="I29" s="34"/>
      <c r="J29" s="34"/>
      <c r="K29" s="34"/>
      <c r="L29" s="34"/>
    </row>
    <row r="32" spans="1:19">
      <c r="A32" t="s">
        <v>100</v>
      </c>
      <c r="M32" s="3"/>
    </row>
    <row r="33" spans="1:14" ht="30">
      <c r="A33" t="s">
        <v>165</v>
      </c>
      <c r="B33" t="s">
        <v>166</v>
      </c>
      <c r="C33" t="s">
        <v>20</v>
      </c>
      <c r="D33" t="s">
        <v>103</v>
      </c>
      <c r="E33" t="s">
        <v>21</v>
      </c>
      <c r="F33" t="s">
        <v>104</v>
      </c>
      <c r="G33" t="s">
        <v>6</v>
      </c>
      <c r="H33" t="s">
        <v>22</v>
      </c>
      <c r="I33" t="s">
        <v>23</v>
      </c>
      <c r="J33" t="s">
        <v>9</v>
      </c>
      <c r="K33" s="2" t="s">
        <v>24</v>
      </c>
      <c r="L33" s="2" t="s">
        <v>25</v>
      </c>
    </row>
    <row r="34" spans="1:14">
      <c r="B34">
        <v>1</v>
      </c>
      <c r="C34">
        <v>167.94300000000001</v>
      </c>
      <c r="D34">
        <v>167.94300000000001</v>
      </c>
      <c r="E34">
        <f>C34/2</f>
        <v>83.971500000000006</v>
      </c>
      <c r="F34">
        <f>D34/2</f>
        <v>83.971500000000006</v>
      </c>
      <c r="G34">
        <f>PI()*E34^2</f>
        <v>22152.038369862828</v>
      </c>
    </row>
    <row r="35" spans="1:14">
      <c r="B35">
        <v>1</v>
      </c>
      <c r="C35">
        <v>81.81</v>
      </c>
      <c r="D35">
        <v>81.81</v>
      </c>
      <c r="E35">
        <f t="shared" ref="E35:F43" si="18">C35/2</f>
        <v>40.905000000000001</v>
      </c>
      <c r="F35">
        <f t="shared" si="18"/>
        <v>40.905000000000001</v>
      </c>
      <c r="G35">
        <f>PI()*E35*E35</f>
        <v>5256.5725967866765</v>
      </c>
    </row>
    <row r="36" spans="1:14">
      <c r="B36">
        <v>2</v>
      </c>
      <c r="C36">
        <v>28.451000000000001</v>
      </c>
      <c r="D36">
        <v>19.111000000000001</v>
      </c>
      <c r="E36">
        <f t="shared" si="18"/>
        <v>14.2255</v>
      </c>
      <c r="F36">
        <f t="shared" ref="F36:F42" si="19">D36/2</f>
        <v>9.5555000000000003</v>
      </c>
      <c r="G36">
        <f t="shared" ref="G36:G42" si="20">PI()*E36*F36</f>
        <v>427.04223509889238</v>
      </c>
    </row>
    <row r="37" spans="1:14">
      <c r="B37">
        <v>3</v>
      </c>
      <c r="C37">
        <v>43.332999999999998</v>
      </c>
      <c r="D37">
        <v>30.645</v>
      </c>
      <c r="E37">
        <f t="shared" si="18"/>
        <v>21.666499999999999</v>
      </c>
      <c r="F37">
        <f t="shared" si="19"/>
        <v>15.3225</v>
      </c>
      <c r="G37">
        <f t="shared" si="20"/>
        <v>1042.9614682414024</v>
      </c>
    </row>
    <row r="38" spans="1:14">
      <c r="B38">
        <v>4</v>
      </c>
      <c r="C38">
        <v>27.137</v>
      </c>
      <c r="D38">
        <v>16.495000000000001</v>
      </c>
      <c r="E38">
        <f t="shared" si="18"/>
        <v>13.5685</v>
      </c>
      <c r="F38">
        <f t="shared" si="19"/>
        <v>8.2475000000000005</v>
      </c>
      <c r="G38">
        <f t="shared" si="20"/>
        <v>351.56370759212257</v>
      </c>
    </row>
    <row r="39" spans="1:14">
      <c r="B39">
        <v>5</v>
      </c>
      <c r="C39">
        <v>32.270000000000003</v>
      </c>
      <c r="D39">
        <v>25.109000000000002</v>
      </c>
      <c r="E39">
        <f t="shared" si="18"/>
        <v>16.135000000000002</v>
      </c>
      <c r="F39">
        <f t="shared" si="19"/>
        <v>12.554500000000001</v>
      </c>
      <c r="G39">
        <f t="shared" si="20"/>
        <v>636.38255138277066</v>
      </c>
    </row>
    <row r="40" spans="1:14">
      <c r="B40">
        <v>6</v>
      </c>
      <c r="C40">
        <v>56.466000000000001</v>
      </c>
      <c r="D40">
        <v>57.813000000000002</v>
      </c>
      <c r="E40">
        <f t="shared" si="18"/>
        <v>28.233000000000001</v>
      </c>
      <c r="F40">
        <f t="shared" si="19"/>
        <v>28.906500000000001</v>
      </c>
      <c r="G40">
        <f t="shared" si="20"/>
        <v>2563.9078455413655</v>
      </c>
    </row>
    <row r="41" spans="1:14">
      <c r="B41">
        <v>7</v>
      </c>
      <c r="C41">
        <v>32.503</v>
      </c>
      <c r="D41">
        <v>29.148</v>
      </c>
      <c r="E41">
        <f t="shared" si="18"/>
        <v>16.2515</v>
      </c>
      <c r="F41">
        <f t="shared" si="19"/>
        <v>14.574</v>
      </c>
      <c r="G41">
        <f t="shared" si="20"/>
        <v>744.08421252503683</v>
      </c>
    </row>
    <row r="42" spans="1:14">
      <c r="B42">
        <v>8</v>
      </c>
      <c r="C42">
        <v>35.142000000000003</v>
      </c>
      <c r="D42">
        <v>28.579000000000001</v>
      </c>
      <c r="E42">
        <f t="shared" si="18"/>
        <v>17.571000000000002</v>
      </c>
      <c r="F42">
        <f t="shared" si="19"/>
        <v>14.2895</v>
      </c>
      <c r="G42">
        <f t="shared" si="20"/>
        <v>788.79361087461518</v>
      </c>
    </row>
    <row r="43" spans="1:14">
      <c r="B43">
        <v>9</v>
      </c>
      <c r="C43">
        <v>44.640999999999998</v>
      </c>
      <c r="D43">
        <v>44.640999999999998</v>
      </c>
      <c r="E43">
        <f t="shared" si="18"/>
        <v>22.320499999999999</v>
      </c>
      <c r="F43">
        <f t="shared" si="18"/>
        <v>22.320499999999999</v>
      </c>
      <c r="G43">
        <f>PI()*E44*F44</f>
        <v>312.08697031370662</v>
      </c>
    </row>
    <row r="44" spans="1:14">
      <c r="A44" s="8"/>
      <c r="B44">
        <v>1</v>
      </c>
      <c r="C44">
        <v>21.152000000000001</v>
      </c>
      <c r="D44">
        <v>18.786000000000001</v>
      </c>
      <c r="E44">
        <f t="shared" ref="E44:F47" si="21">C44/2</f>
        <v>10.576000000000001</v>
      </c>
      <c r="F44">
        <f t="shared" si="21"/>
        <v>9.3930000000000007</v>
      </c>
      <c r="G44" s="8">
        <f>PI()*E44*F44</f>
        <v>312.08697031370662</v>
      </c>
      <c r="H44" s="8"/>
      <c r="I44" s="8"/>
    </row>
    <row r="45" spans="1:14">
      <c r="A45" s="8"/>
      <c r="B45">
        <v>2</v>
      </c>
      <c r="C45">
        <v>13.119</v>
      </c>
      <c r="D45">
        <v>17.053000000000001</v>
      </c>
      <c r="E45">
        <f t="shared" si="21"/>
        <v>6.5594999999999999</v>
      </c>
      <c r="F45">
        <f t="shared" si="21"/>
        <v>8.5265000000000004</v>
      </c>
      <c r="G45" s="8">
        <f>PI()*E45*F45</f>
        <v>175.70794743618652</v>
      </c>
      <c r="H45" s="8"/>
      <c r="I45" s="8"/>
    </row>
    <row r="46" spans="1:14">
      <c r="A46" s="8"/>
      <c r="B46">
        <v>3</v>
      </c>
      <c r="C46">
        <v>15.715999999999999</v>
      </c>
      <c r="D46">
        <v>11.8</v>
      </c>
      <c r="E46">
        <f t="shared" si="21"/>
        <v>7.8579999999999997</v>
      </c>
      <c r="F46">
        <f t="shared" si="21"/>
        <v>5.9</v>
      </c>
      <c r="G46" s="8">
        <f>PI()*E46*F46</f>
        <v>145.6511469242607</v>
      </c>
      <c r="H46" s="8"/>
      <c r="I46" s="8"/>
      <c r="N46" t="s">
        <v>107</v>
      </c>
    </row>
    <row r="47" spans="1:14">
      <c r="A47" s="8"/>
      <c r="B47">
        <v>4</v>
      </c>
      <c r="C47">
        <v>23.111999999999998</v>
      </c>
      <c r="D47">
        <v>15.423</v>
      </c>
      <c r="E47">
        <f t="shared" si="21"/>
        <v>11.555999999999999</v>
      </c>
      <c r="F47">
        <f t="shared" si="21"/>
        <v>7.7115</v>
      </c>
      <c r="G47" s="8">
        <f>PI()*E47*F47</f>
        <v>279.9601830417102</v>
      </c>
      <c r="H47" s="8"/>
      <c r="I47" s="8"/>
    </row>
    <row r="48" spans="1:14">
      <c r="A48" s="8"/>
      <c r="B48">
        <v>5</v>
      </c>
      <c r="C48">
        <v>19.640999999999998</v>
      </c>
      <c r="D48">
        <v>19.640999999999998</v>
      </c>
      <c r="E48">
        <f>C48/2</f>
        <v>9.8204999999999991</v>
      </c>
      <c r="F48">
        <f>D48/2</f>
        <v>9.8204999999999991</v>
      </c>
      <c r="G48" s="8">
        <f>PI()*E48*E48</f>
        <v>302.98217063328872</v>
      </c>
      <c r="H48" s="8"/>
      <c r="I48" s="8"/>
      <c r="J48" s="3"/>
    </row>
    <row r="49" spans="1:12" s="31" customFormat="1">
      <c r="A49" s="32" t="s">
        <v>91</v>
      </c>
      <c r="B49" s="32">
        <f>COUNT(B34:B48)</f>
        <v>15</v>
      </c>
      <c r="C49" s="32">
        <f>AVERAGE(C34:C48)</f>
        <v>42.82906666666667</v>
      </c>
      <c r="D49" s="32">
        <f>AVERAGE(D34:D48)</f>
        <v>38.93313333333333</v>
      </c>
      <c r="E49" s="32">
        <f>AVERAGE(E34:E48)</f>
        <v>21.414533333333335</v>
      </c>
      <c r="F49" s="32">
        <f>AVERAGE(F34:F48)</f>
        <v>19.466566666666665</v>
      </c>
      <c r="G49" s="32">
        <f>AVERAGE(G34:G48)</f>
        <v>2366.121465771238</v>
      </c>
      <c r="H49" s="35">
        <f>B49</f>
        <v>15</v>
      </c>
      <c r="I49" s="70">
        <f>H49*G49</f>
        <v>35491.821986568568</v>
      </c>
      <c r="J49" s="72">
        <v>529777.21</v>
      </c>
      <c r="K49" s="72">
        <f>I49/J49</f>
        <v>6.6993863300704407E-2</v>
      </c>
      <c r="L49" s="72">
        <f>K49*100</f>
        <v>6.6993863300704408</v>
      </c>
    </row>
    <row r="50" spans="1:12">
      <c r="A50" s="8" t="s">
        <v>102</v>
      </c>
      <c r="B50">
        <f>COUNTIF(C34:C48,"&gt;"&amp;$B$6)</f>
        <v>0</v>
      </c>
      <c r="C50" s="8" t="e">
        <f>AVERAGEIF(C34:C48,"&gt;"&amp;$B$6)</f>
        <v>#DIV/0!</v>
      </c>
      <c r="D50" s="8" t="e">
        <f>AVERAGEIF(D34:D48,"&gt;"&amp;$B$6)</f>
        <v>#DIV/0!</v>
      </c>
      <c r="E50" s="8" t="e">
        <f>AVERAGEIF(C34:C48,"&gt;"&amp;$B$6,E34:E48)</f>
        <v>#DIV/0!</v>
      </c>
      <c r="F50" s="8" t="e">
        <f>AVERAGEIF(D34:D48,"&gt;"&amp;$B$6,F34:F48)</f>
        <v>#DIV/0!</v>
      </c>
      <c r="G50" s="8" t="e">
        <f>AVERAGEIF(C34:C48,"&gt;"&amp;$B$6,G34:G48)</f>
        <v>#DIV/0!</v>
      </c>
      <c r="H50" s="8">
        <f>B50</f>
        <v>0</v>
      </c>
      <c r="I50" s="73" t="e">
        <f>H50*G50</f>
        <v>#DIV/0!</v>
      </c>
      <c r="J50" s="74">
        <v>529777.21</v>
      </c>
      <c r="K50" s="74" t="e">
        <f>I50/J50</f>
        <v>#DIV/0!</v>
      </c>
      <c r="L50" s="74" t="e">
        <f>K50*100</f>
        <v>#DIV/0!</v>
      </c>
    </row>
    <row r="51" spans="1:12">
      <c r="A51" t="s">
        <v>27</v>
      </c>
      <c r="B51">
        <f>COUNTIF(C34:C48,"&gt;"&amp;$B$7)-COUNTIF(C34:C48,"&gt;"&amp;$B$6)</f>
        <v>1</v>
      </c>
      <c r="C51">
        <f>AVERAGEIFS(C34:C48,C34:C48,"&gt;"&amp;$B$7,C34:C48,"&lt;"&amp;$B$6)</f>
        <v>167.94300000000001</v>
      </c>
      <c r="D51">
        <f>AVERAGEIFS(D34:D48,D34:D48,"&gt;"&amp;$B$7,D34:D48,"&lt;"&amp;$B$6)</f>
        <v>167.94300000000001</v>
      </c>
      <c r="E51">
        <f>AVERAGEIFS(E34:E48,C34:C48,"&gt;"&amp;$B$7,C34:C48,"&lt;"&amp;$B$6)</f>
        <v>83.971500000000006</v>
      </c>
      <c r="F51">
        <f>AVERAGEIFS(F34:F48,D34:D48,"&gt;"&amp;$B$7,D34:D48,"&lt;"&amp;$B$6)</f>
        <v>83.971500000000006</v>
      </c>
      <c r="G51">
        <f>AVERAGEIFS(G34:G48,C34:C48,"&gt;"&amp;$B$7,C34:C48,"&lt;"&amp;$B$6)</f>
        <v>22152.038369862828</v>
      </c>
      <c r="H51" s="8">
        <f t="shared" ref="H51" si="22">B51</f>
        <v>1</v>
      </c>
      <c r="I51" s="71">
        <f>H51*G51</f>
        <v>22152.038369862828</v>
      </c>
      <c r="J51" s="75">
        <v>529777.21</v>
      </c>
      <c r="K51" s="75">
        <f>I51/J51</f>
        <v>4.1813875628705942E-2</v>
      </c>
      <c r="L51" s="75">
        <f>K51*100</f>
        <v>4.1813875628705945</v>
      </c>
    </row>
    <row r="52" spans="1:12">
      <c r="A52" s="34" t="s">
        <v>28</v>
      </c>
      <c r="B52">
        <f>COUNTIF(C34:C48,"&gt;"&amp;$B$8)-COUNTIF(C34:C48,"&gt;"&amp;$B$7)</f>
        <v>14</v>
      </c>
      <c r="C52">
        <f>AVERAGEIFS(C35:C48,C35:C48,"&gt;"&amp;$B$8,C35:C48,"&lt;"&amp;$B$7)</f>
        <v>33.892357142857144</v>
      </c>
      <c r="D52">
        <f>AVERAGEIFS(D35:D48,D35:D48,"&gt;"&amp;$B$8,D35:D48,"&lt;"&amp;$B$7)</f>
        <v>29.718142857142862</v>
      </c>
      <c r="E52">
        <f>AVERAGEIFS(E34:E48,C34:C48,"&gt;"&amp;$B$8,C34:C48,"&lt;"&amp;$B$7)</f>
        <v>16.946178571428572</v>
      </c>
      <c r="F52">
        <f>AVERAGEIFS(F34:F48,D34:D48,"&gt;"&amp;$B$8,D34:D48,"&lt;"&amp;$B$7)</f>
        <v>14.859071428571431</v>
      </c>
      <c r="G52">
        <f>AVERAGEIFS(G34:G48,C34:C48,"&gt;"&amp;$B$8,C34:C48,"&lt;"&amp;$B$7)</f>
        <v>952.84168690755303</v>
      </c>
      <c r="H52" s="8">
        <f>B52</f>
        <v>14</v>
      </c>
      <c r="I52" s="71">
        <f>H52*G52</f>
        <v>13339.783616705743</v>
      </c>
      <c r="J52" s="75">
        <v>529777.21</v>
      </c>
      <c r="K52" s="75">
        <f>I52/J52</f>
        <v>2.5179987671998468E-2</v>
      </c>
      <c r="L52" s="75">
        <f>K52*100</f>
        <v>2.5179987671998467</v>
      </c>
    </row>
    <row r="54" spans="1:12">
      <c r="F54" s="8"/>
      <c r="G54" s="8"/>
      <c r="H54" s="8"/>
      <c r="I54" s="8"/>
    </row>
    <row r="55" spans="1:12">
      <c r="A55" t="s">
        <v>110</v>
      </c>
      <c r="F55" s="8"/>
      <c r="G55" s="8"/>
      <c r="H55" s="8"/>
      <c r="I55" s="8"/>
    </row>
    <row r="56" spans="1:12">
      <c r="A56" t="s">
        <v>137</v>
      </c>
      <c r="F56" s="8"/>
      <c r="G56" s="8"/>
      <c r="H56" s="8"/>
      <c r="I56" s="8"/>
    </row>
    <row r="57" spans="1:12" ht="30">
      <c r="A57" t="s">
        <v>165</v>
      </c>
      <c r="B57" t="s">
        <v>26</v>
      </c>
      <c r="C57" t="s">
        <v>20</v>
      </c>
      <c r="D57" t="s">
        <v>103</v>
      </c>
      <c r="E57" t="s">
        <v>21</v>
      </c>
      <c r="F57" t="s">
        <v>104</v>
      </c>
      <c r="G57" t="s">
        <v>6</v>
      </c>
      <c r="H57" t="s">
        <v>22</v>
      </c>
      <c r="I57" t="s">
        <v>23</v>
      </c>
      <c r="J57" t="s">
        <v>9</v>
      </c>
      <c r="K57" s="2" t="s">
        <v>24</v>
      </c>
      <c r="L57" s="2" t="s">
        <v>25</v>
      </c>
    </row>
    <row r="58" spans="1:12">
      <c r="C58">
        <v>265.50400000000002</v>
      </c>
      <c r="D58" s="8"/>
      <c r="E58" s="8">
        <f>C58/2</f>
        <v>132.75200000000001</v>
      </c>
      <c r="F58" s="8"/>
      <c r="G58" s="8">
        <f>PI()*E58*E58</f>
        <v>55364.581085692407</v>
      </c>
      <c r="H58" s="8"/>
      <c r="I58" s="8"/>
    </row>
    <row r="59" spans="1:12">
      <c r="C59">
        <v>160.09200000000001</v>
      </c>
      <c r="D59" s="8"/>
      <c r="E59" s="8">
        <f t="shared" ref="E59:E73" si="23">C59/2</f>
        <v>80.046000000000006</v>
      </c>
      <c r="F59" s="8"/>
      <c r="G59" s="8">
        <f t="shared" ref="G59:G73" si="24">PI()*E59*E59</f>
        <v>20129.321752515156</v>
      </c>
      <c r="H59" s="8"/>
      <c r="I59" s="8"/>
    </row>
    <row r="60" spans="1:12">
      <c r="C60">
        <v>379.65499999999997</v>
      </c>
      <c r="E60" s="8">
        <f t="shared" si="23"/>
        <v>189.82749999999999</v>
      </c>
      <c r="G60" s="8">
        <f t="shared" si="24"/>
        <v>113205.6568781651</v>
      </c>
      <c r="H60" s="8"/>
      <c r="I60" s="8"/>
    </row>
    <row r="61" spans="1:12">
      <c r="C61">
        <v>210.1</v>
      </c>
      <c r="E61" s="8">
        <f t="shared" si="23"/>
        <v>105.05</v>
      </c>
      <c r="G61" s="8">
        <f t="shared" si="24"/>
        <v>34669.053582671797</v>
      </c>
      <c r="H61" s="8"/>
      <c r="I61" s="8"/>
    </row>
    <row r="62" spans="1:12">
      <c r="C62">
        <v>243.19</v>
      </c>
      <c r="E62" s="8">
        <f t="shared" si="23"/>
        <v>121.595</v>
      </c>
      <c r="G62" s="8">
        <f t="shared" si="24"/>
        <v>46449.528169737736</v>
      </c>
      <c r="H62" s="8"/>
      <c r="I62" s="8"/>
    </row>
    <row r="63" spans="1:12">
      <c r="A63" s="8"/>
      <c r="C63">
        <v>584.779</v>
      </c>
      <c r="E63" s="8">
        <f t="shared" si="23"/>
        <v>292.3895</v>
      </c>
      <c r="G63" s="8">
        <f t="shared" si="24"/>
        <v>268579.84442521376</v>
      </c>
      <c r="H63" s="8"/>
      <c r="I63" s="8"/>
    </row>
    <row r="64" spans="1:12">
      <c r="A64" s="8"/>
      <c r="C64">
        <v>212.233</v>
      </c>
      <c r="E64" s="8">
        <f t="shared" si="23"/>
        <v>106.1165</v>
      </c>
      <c r="G64" s="8">
        <f t="shared" si="24"/>
        <v>35376.568749574173</v>
      </c>
      <c r="H64" s="8"/>
      <c r="I64" s="8"/>
    </row>
    <row r="65" spans="1:9">
      <c r="A65" s="8"/>
      <c r="C65" s="8">
        <v>490.346</v>
      </c>
      <c r="E65" s="8">
        <f t="shared" si="23"/>
        <v>245.173</v>
      </c>
      <c r="G65" s="8">
        <f t="shared" si="24"/>
        <v>188840.50586569868</v>
      </c>
      <c r="H65" s="8"/>
      <c r="I65" s="8"/>
    </row>
    <row r="66" spans="1:9">
      <c r="A66" s="8"/>
      <c r="C66">
        <v>150.072</v>
      </c>
      <c r="E66" s="8">
        <f t="shared" si="23"/>
        <v>75.036000000000001</v>
      </c>
      <c r="G66" s="8">
        <f t="shared" si="24"/>
        <v>17688.427348276051</v>
      </c>
    </row>
    <row r="67" spans="1:9">
      <c r="A67" s="8"/>
      <c r="C67">
        <v>98.23</v>
      </c>
      <c r="E67" s="8">
        <f t="shared" si="23"/>
        <v>49.115000000000002</v>
      </c>
      <c r="G67" s="8">
        <f t="shared" si="24"/>
        <v>7578.4112580378951</v>
      </c>
      <c r="H67" s="8"/>
      <c r="I67" s="8"/>
    </row>
    <row r="68" spans="1:9">
      <c r="A68" s="8"/>
      <c r="C68">
        <v>186.851</v>
      </c>
      <c r="E68" s="8">
        <f t="shared" si="23"/>
        <v>93.4255</v>
      </c>
      <c r="G68" s="8">
        <f t="shared" si="24"/>
        <v>27420.838714416506</v>
      </c>
      <c r="H68" s="8"/>
      <c r="I68" s="8"/>
    </row>
    <row r="69" spans="1:9">
      <c r="A69" s="8"/>
      <c r="C69">
        <v>179.083</v>
      </c>
      <c r="E69" s="8">
        <f t="shared" si="23"/>
        <v>89.541499999999999</v>
      </c>
      <c r="G69" s="8">
        <f t="shared" si="24"/>
        <v>25188.285285052778</v>
      </c>
      <c r="H69" s="8"/>
      <c r="I69" s="8"/>
    </row>
    <row r="70" spans="1:9">
      <c r="A70" s="8"/>
      <c r="C70">
        <v>176.32300000000001</v>
      </c>
      <c r="E70" s="8">
        <f t="shared" si="23"/>
        <v>88.161500000000004</v>
      </c>
      <c r="G70" s="8">
        <f t="shared" si="24"/>
        <v>24417.872078789987</v>
      </c>
      <c r="H70" s="8"/>
      <c r="I70" s="8"/>
    </row>
    <row r="71" spans="1:9">
      <c r="A71" s="8"/>
      <c r="C71">
        <v>249.03700000000001</v>
      </c>
      <c r="E71" s="8">
        <f t="shared" si="23"/>
        <v>124.5185</v>
      </c>
      <c r="G71" s="8">
        <f t="shared" si="24"/>
        <v>48709.944350574035</v>
      </c>
      <c r="H71" s="8"/>
      <c r="I71" s="8"/>
    </row>
    <row r="72" spans="1:9">
      <c r="A72" s="8"/>
      <c r="C72">
        <v>202.136</v>
      </c>
      <c r="E72" s="8">
        <f t="shared" si="23"/>
        <v>101.068</v>
      </c>
      <c r="G72" s="8">
        <f t="shared" si="24"/>
        <v>32090.554102683618</v>
      </c>
      <c r="H72" s="8"/>
      <c r="I72" s="8"/>
    </row>
    <row r="73" spans="1:9">
      <c r="A73" s="8"/>
      <c r="C73">
        <v>351.30900000000003</v>
      </c>
      <c r="E73" s="8">
        <f t="shared" si="23"/>
        <v>175.65450000000001</v>
      </c>
      <c r="G73" s="8">
        <f t="shared" si="24"/>
        <v>96932.281118138926</v>
      </c>
      <c r="H73" s="8"/>
      <c r="I73" s="8"/>
    </row>
    <row r="74" spans="1:9">
      <c r="C74">
        <v>33.557000000000002</v>
      </c>
      <c r="E74" s="8">
        <f>C74/2</f>
        <v>16.778500000000001</v>
      </c>
      <c r="G74" s="8">
        <f>PI()*E74*E74</f>
        <v>884.41507621743415</v>
      </c>
    </row>
    <row r="75" spans="1:9">
      <c r="C75">
        <v>27.030999999999999</v>
      </c>
      <c r="E75" s="8">
        <f t="shared" ref="E75:E96" si="25">C75/2</f>
        <v>13.515499999999999</v>
      </c>
      <c r="G75" s="8">
        <f t="shared" ref="G75:G96" si="26">PI()*E75*E75</f>
        <v>573.87077240990209</v>
      </c>
    </row>
    <row r="76" spans="1:9">
      <c r="C76">
        <v>42.447000000000003</v>
      </c>
      <c r="E76" s="8">
        <f t="shared" si="25"/>
        <v>21.223500000000001</v>
      </c>
      <c r="G76" s="8">
        <f t="shared" si="26"/>
        <v>1415.0894200939767</v>
      </c>
    </row>
    <row r="77" spans="1:9">
      <c r="C77">
        <v>32.030999999999999</v>
      </c>
      <c r="E77" s="8">
        <f t="shared" si="25"/>
        <v>16.015499999999999</v>
      </c>
      <c r="G77" s="8">
        <f t="shared" si="26"/>
        <v>805.80670404280249</v>
      </c>
    </row>
    <row r="78" spans="1:9">
      <c r="C78">
        <v>39.579000000000001</v>
      </c>
      <c r="E78" s="8">
        <f t="shared" si="25"/>
        <v>19.7895</v>
      </c>
      <c r="G78" s="8">
        <f t="shared" si="26"/>
        <v>1230.3240560485699</v>
      </c>
    </row>
    <row r="79" spans="1:9">
      <c r="C79">
        <v>33.631999999999998</v>
      </c>
      <c r="E79" s="8">
        <f t="shared" si="25"/>
        <v>16.815999999999999</v>
      </c>
      <c r="G79" s="8">
        <f t="shared" si="26"/>
        <v>888.3728350074723</v>
      </c>
    </row>
    <row r="80" spans="1:9">
      <c r="C80">
        <v>20.625</v>
      </c>
      <c r="E80" s="8">
        <f t="shared" si="25"/>
        <v>10.3125</v>
      </c>
      <c r="G80" s="8">
        <f t="shared" si="26"/>
        <v>334.10101560149263</v>
      </c>
    </row>
    <row r="81" spans="3:31">
      <c r="C81">
        <v>51.89</v>
      </c>
      <c r="E81" s="8">
        <f t="shared" si="25"/>
        <v>25.945</v>
      </c>
      <c r="G81" s="8">
        <f t="shared" si="26"/>
        <v>2114.7411821552105</v>
      </c>
    </row>
    <row r="82" spans="3:31">
      <c r="C82">
        <v>54.109000000000002</v>
      </c>
      <c r="E82" s="8">
        <f t="shared" si="25"/>
        <v>27.054500000000001</v>
      </c>
      <c r="G82" s="8">
        <f t="shared" si="26"/>
        <v>2299.4760829620536</v>
      </c>
    </row>
    <row r="83" spans="3:31">
      <c r="C83">
        <v>49.216999999999999</v>
      </c>
      <c r="E83" s="8">
        <f t="shared" si="25"/>
        <v>24.608499999999999</v>
      </c>
      <c r="G83" s="8">
        <f t="shared" si="26"/>
        <v>1902.4802512741996</v>
      </c>
      <c r="Z83" s="8" t="s">
        <v>105</v>
      </c>
    </row>
    <row r="84" spans="3:31">
      <c r="C84">
        <v>55.253</v>
      </c>
      <c r="E84" s="8">
        <f t="shared" si="25"/>
        <v>27.6265</v>
      </c>
      <c r="G84" s="8">
        <f t="shared" si="26"/>
        <v>2397.737347715673</v>
      </c>
      <c r="Z84" s="8">
        <v>1</v>
      </c>
      <c r="AA84">
        <f t="shared" ref="AA84:AA113" si="27">AC84*2</f>
        <v>19.446134443285722</v>
      </c>
      <c r="AB84" s="8"/>
      <c r="AC84" s="8">
        <f t="shared" ref="AC84:AC113" si="28">SQRT(AE84/PI())</f>
        <v>9.7230672216428609</v>
      </c>
      <c r="AD84" s="8"/>
      <c r="AE84" s="8">
        <v>297</v>
      </c>
    </row>
    <row r="85" spans="3:31">
      <c r="C85">
        <v>58.209000000000003</v>
      </c>
      <c r="E85" s="8">
        <f t="shared" si="25"/>
        <v>29.104500000000002</v>
      </c>
      <c r="G85" s="8">
        <f t="shared" si="26"/>
        <v>2661.1549217195993</v>
      </c>
      <c r="Z85" s="8">
        <v>2</v>
      </c>
      <c r="AA85">
        <f t="shared" si="27"/>
        <v>22.56758334191025</v>
      </c>
      <c r="AB85" s="8"/>
      <c r="AC85" s="8">
        <f t="shared" si="28"/>
        <v>11.283791670955125</v>
      </c>
      <c r="AD85" s="8"/>
      <c r="AE85" s="8">
        <v>400</v>
      </c>
    </row>
    <row r="86" spans="3:31">
      <c r="C86">
        <v>51.89</v>
      </c>
      <c r="E86" s="8">
        <f t="shared" si="25"/>
        <v>25.945</v>
      </c>
      <c r="G86" s="8">
        <f t="shared" si="26"/>
        <v>2114.7411821552105</v>
      </c>
      <c r="Z86" s="8">
        <v>3</v>
      </c>
      <c r="AA86">
        <f t="shared" si="27"/>
        <v>11.617374563210365</v>
      </c>
      <c r="AB86" s="8"/>
      <c r="AC86" s="8">
        <f t="shared" si="28"/>
        <v>5.8086872816051827</v>
      </c>
      <c r="AD86" s="8"/>
      <c r="AE86" s="8">
        <v>106</v>
      </c>
    </row>
    <row r="87" spans="3:31">
      <c r="C87">
        <v>68.186999999999998</v>
      </c>
      <c r="E87" s="8">
        <f t="shared" si="25"/>
        <v>34.093499999999999</v>
      </c>
      <c r="G87" s="8">
        <f t="shared" si="26"/>
        <v>3651.6828182297004</v>
      </c>
      <c r="Z87" s="8">
        <v>4</v>
      </c>
      <c r="AA87">
        <f t="shared" si="27"/>
        <v>14.712264360219255</v>
      </c>
      <c r="AB87" s="8"/>
      <c r="AC87" s="8">
        <f t="shared" si="28"/>
        <v>7.3561321801096273</v>
      </c>
      <c r="AD87" s="8"/>
      <c r="AE87" s="8">
        <v>170</v>
      </c>
    </row>
    <row r="88" spans="3:31">
      <c r="C88">
        <v>46.12</v>
      </c>
      <c r="E88" s="8">
        <f t="shared" si="25"/>
        <v>23.06</v>
      </c>
      <c r="G88" s="8">
        <f t="shared" si="26"/>
        <v>1670.584619206461</v>
      </c>
      <c r="Z88" s="8">
        <v>5</v>
      </c>
      <c r="AA88">
        <f t="shared" si="27"/>
        <v>55.749239714085178</v>
      </c>
      <c r="AB88" s="8"/>
      <c r="AC88" s="8">
        <f t="shared" si="28"/>
        <v>27.874619857042589</v>
      </c>
      <c r="AD88" s="8"/>
      <c r="AE88" s="8">
        <v>2441</v>
      </c>
    </row>
    <row r="89" spans="3:31">
      <c r="C89">
        <v>41.613</v>
      </c>
      <c r="E89" s="8">
        <f t="shared" si="25"/>
        <v>20.8065</v>
      </c>
      <c r="G89" s="8">
        <f t="shared" si="26"/>
        <v>1360.0282650349084</v>
      </c>
      <c r="Z89" s="8">
        <v>6</v>
      </c>
      <c r="AA89">
        <f t="shared" si="27"/>
        <v>13.398760233979036</v>
      </c>
      <c r="AB89" s="8"/>
      <c r="AC89" s="8">
        <f t="shared" si="28"/>
        <v>6.6993801169895182</v>
      </c>
      <c r="AD89" s="8"/>
      <c r="AE89" s="8">
        <v>141</v>
      </c>
    </row>
    <row r="90" spans="3:31">
      <c r="C90">
        <v>57.927999999999997</v>
      </c>
      <c r="E90" s="8">
        <f t="shared" si="25"/>
        <v>28.963999999999999</v>
      </c>
      <c r="G90" s="8">
        <f t="shared" si="26"/>
        <v>2635.5238477123989</v>
      </c>
      <c r="Z90" s="8">
        <v>7</v>
      </c>
      <c r="AA90">
        <f t="shared" si="27"/>
        <v>49.802315539983645</v>
      </c>
      <c r="AB90" s="8"/>
      <c r="AC90" s="8">
        <f t="shared" si="28"/>
        <v>24.901157769991823</v>
      </c>
      <c r="AD90" s="8"/>
      <c r="AE90" s="8">
        <v>1948</v>
      </c>
    </row>
    <row r="91" spans="3:31">
      <c r="C91">
        <v>46.619</v>
      </c>
      <c r="E91" s="8">
        <f t="shared" si="25"/>
        <v>23.3095</v>
      </c>
      <c r="G91" s="8">
        <f t="shared" si="26"/>
        <v>1706.9303023038437</v>
      </c>
      <c r="Z91" s="8">
        <v>8</v>
      </c>
      <c r="AA91">
        <f t="shared" si="27"/>
        <v>17.517155313611116</v>
      </c>
      <c r="AB91" s="8"/>
      <c r="AC91" s="8">
        <f t="shared" si="28"/>
        <v>8.7585776568055582</v>
      </c>
      <c r="AD91" s="8"/>
      <c r="AE91" s="8">
        <v>241</v>
      </c>
    </row>
    <row r="92" spans="3:31">
      <c r="C92">
        <v>59.368000000000002</v>
      </c>
      <c r="E92" s="8">
        <f t="shared" si="25"/>
        <v>29.684000000000001</v>
      </c>
      <c r="G92" s="8">
        <f t="shared" si="26"/>
        <v>2768.1824983947686</v>
      </c>
      <c r="Z92" s="8">
        <v>9</v>
      </c>
      <c r="AA92">
        <f t="shared" si="27"/>
        <v>11.672044863118989</v>
      </c>
      <c r="AB92" s="12"/>
      <c r="AC92" s="8">
        <f t="shared" si="28"/>
        <v>5.8360224315594946</v>
      </c>
      <c r="AD92" s="8"/>
      <c r="AE92" s="12">
        <v>107</v>
      </c>
    </row>
    <row r="93" spans="3:31">
      <c r="C93">
        <v>77.471999999999994</v>
      </c>
      <c r="E93" s="8">
        <f t="shared" si="25"/>
        <v>38.735999999999997</v>
      </c>
      <c r="G93" s="8">
        <f t="shared" si="26"/>
        <v>4713.8897066289383</v>
      </c>
      <c r="Z93" s="8">
        <v>10</v>
      </c>
      <c r="AA93">
        <f t="shared" si="27"/>
        <v>13.207339536360731</v>
      </c>
      <c r="AB93" s="12"/>
      <c r="AC93" s="8">
        <f t="shared" si="28"/>
        <v>6.6036697681803656</v>
      </c>
      <c r="AD93" s="8"/>
      <c r="AE93" s="12">
        <v>137</v>
      </c>
    </row>
    <row r="94" spans="3:31">
      <c r="C94">
        <v>66.861999999999995</v>
      </c>
      <c r="E94" s="8">
        <f t="shared" si="25"/>
        <v>33.430999999999997</v>
      </c>
      <c r="G94" s="8">
        <f t="shared" si="26"/>
        <v>3511.1437297762227</v>
      </c>
      <c r="Z94" s="8">
        <v>11</v>
      </c>
      <c r="AA94">
        <f t="shared" si="27"/>
        <v>18.575465448360347</v>
      </c>
      <c r="AB94" s="12"/>
      <c r="AC94" s="8">
        <f t="shared" si="28"/>
        <v>9.2877327241801737</v>
      </c>
      <c r="AD94" s="8"/>
      <c r="AE94" s="12">
        <v>271</v>
      </c>
    </row>
    <row r="95" spans="3:31">
      <c r="C95">
        <v>67.947999999999993</v>
      </c>
      <c r="E95" s="8">
        <f t="shared" si="25"/>
        <v>33.973999999999997</v>
      </c>
      <c r="G95" s="8">
        <f t="shared" si="26"/>
        <v>3626.1288954548872</v>
      </c>
      <c r="Z95" s="8">
        <v>12</v>
      </c>
      <c r="AA95">
        <f t="shared" si="27"/>
        <v>17.55346033766304</v>
      </c>
      <c r="AB95" s="8"/>
      <c r="AC95" s="8">
        <f t="shared" si="28"/>
        <v>8.77673016883152</v>
      </c>
      <c r="AD95" s="8"/>
      <c r="AE95" s="8">
        <v>242</v>
      </c>
    </row>
    <row r="96" spans="3:31">
      <c r="C96">
        <v>72.594999999999999</v>
      </c>
      <c r="E96" s="8">
        <f t="shared" si="25"/>
        <v>36.297499999999999</v>
      </c>
      <c r="G96" s="8">
        <f t="shared" si="26"/>
        <v>4139.0750442770614</v>
      </c>
      <c r="Z96" s="8">
        <v>13</v>
      </c>
      <c r="AA96">
        <f t="shared" si="27"/>
        <v>18.19456736586892</v>
      </c>
      <c r="AB96" s="8"/>
      <c r="AC96" s="8">
        <f t="shared" si="28"/>
        <v>9.0972836829344601</v>
      </c>
      <c r="AD96" s="8"/>
      <c r="AE96" s="8">
        <v>260</v>
      </c>
    </row>
    <row r="97" spans="1:31">
      <c r="A97" s="32" t="s">
        <v>91</v>
      </c>
      <c r="B97" s="32">
        <f>COUNT(C58:C96)</f>
        <v>39</v>
      </c>
      <c r="C97" s="32">
        <f>AVERAGE(C74:C96,C58:C73)</f>
        <v>135.72107692307696</v>
      </c>
      <c r="D97" s="32"/>
      <c r="E97" s="32">
        <f>AVERAGE(E74:E96,E58:E73)</f>
        <v>67.860538461538482</v>
      </c>
      <c r="F97" s="32"/>
      <c r="G97" s="32">
        <f>AVERAGE(G74:G96,G58:G73)</f>
        <v>28001.209111273365</v>
      </c>
      <c r="H97" s="35">
        <f>B97</f>
        <v>39</v>
      </c>
      <c r="I97" s="35">
        <f>H97*G97</f>
        <v>1092047.1553396613</v>
      </c>
      <c r="J97" s="7">
        <v>17140759.425000001</v>
      </c>
      <c r="K97" s="72">
        <f>I97/J97</f>
        <v>6.3710546788661976E-2</v>
      </c>
      <c r="L97" s="72">
        <f>K97*100</f>
        <v>6.3710546788661979</v>
      </c>
      <c r="Z97">
        <v>15</v>
      </c>
      <c r="AA97">
        <f t="shared" si="27"/>
        <v>11.507254783503184</v>
      </c>
      <c r="AC97" s="8">
        <f t="shared" si="28"/>
        <v>5.7536273917515919</v>
      </c>
      <c r="AE97">
        <v>104</v>
      </c>
    </row>
    <row r="98" spans="1:31">
      <c r="A98" s="8" t="s">
        <v>102</v>
      </c>
      <c r="B98">
        <f>COUNTIF(C58:C96,"&gt;"&amp;$B$6)</f>
        <v>5</v>
      </c>
      <c r="C98" s="8">
        <f>AVERAGEIF(C58:C96,"&gt;"&amp;$B$6)</f>
        <v>414.31860000000006</v>
      </c>
      <c r="D98" s="8"/>
      <c r="E98" s="8">
        <f>AVERAGEIF(C58:C96,"&gt;"&amp;$B$6,E58:E96)</f>
        <v>207.15930000000003</v>
      </c>
      <c r="F98" s="8"/>
      <c r="G98" s="8">
        <f>AVERAGEIF(C58:C96,"&gt;"&amp;$B$6,G58:G96)</f>
        <v>144584.57387458178</v>
      </c>
      <c r="H98">
        <f>B98</f>
        <v>5</v>
      </c>
      <c r="I98">
        <f>H98*G98</f>
        <v>722922.86937290896</v>
      </c>
      <c r="J98" s="7">
        <v>17140759.425000001</v>
      </c>
      <c r="K98" s="72">
        <f>I98/J98</f>
        <v>4.2175661617332855E-2</v>
      </c>
      <c r="L98" s="72">
        <f>K98*100</f>
        <v>4.2175661617332851</v>
      </c>
      <c r="Z98">
        <v>16</v>
      </c>
      <c r="AA98">
        <f t="shared" si="27"/>
        <v>12.514330345744634</v>
      </c>
      <c r="AC98" s="8">
        <f t="shared" si="28"/>
        <v>6.257165172872317</v>
      </c>
      <c r="AE98">
        <v>123</v>
      </c>
    </row>
    <row r="99" spans="1:31">
      <c r="A99" t="s">
        <v>27</v>
      </c>
      <c r="B99">
        <f>COUNTIF(C58:C96,"&gt;"&amp;$B$7)-COUNTIF(C58:C96,"&gt;"&amp;$B$6)</f>
        <v>10</v>
      </c>
      <c r="C99">
        <f>AVERAGEIFS(C58:C96,C58:C96,"&gt;"&amp;$B$7,C58:C96,"&lt;"&amp;$B$6)</f>
        <v>196.91170000000002</v>
      </c>
      <c r="E99">
        <f>AVERAGEIFS(E58:E96,C58:C96,"&gt;"&amp;$B$7,C58:C96,"&lt;"&amp;$B$6)</f>
        <v>98.455850000000012</v>
      </c>
      <c r="G99">
        <f>AVERAGEIFS(G58:G96,C58:C96,"&gt;"&amp;$B$7,C58:C96,"&lt;"&amp;$B$6)</f>
        <v>31214.039413429186</v>
      </c>
      <c r="H99">
        <f t="shared" ref="H99:H100" si="29">B99</f>
        <v>10</v>
      </c>
      <c r="I99">
        <f t="shared" ref="I99:I100" si="30">H99*G99</f>
        <v>312140.39413429186</v>
      </c>
      <c r="J99" s="8">
        <v>17140759.425000001</v>
      </c>
      <c r="K99" s="33">
        <f t="shared" ref="K99:K100" si="31">I99/J99</f>
        <v>1.821041800977799E-2</v>
      </c>
      <c r="L99" s="33">
        <f t="shared" ref="L99:L100" si="32">K99*100</f>
        <v>1.8210418009777989</v>
      </c>
      <c r="Z99">
        <v>17</v>
      </c>
      <c r="AA99">
        <f t="shared" si="27"/>
        <v>12.100518486599809</v>
      </c>
      <c r="AC99" s="8">
        <f t="shared" si="28"/>
        <v>6.0502592432999043</v>
      </c>
      <c r="AE99">
        <v>115</v>
      </c>
    </row>
    <row r="100" spans="1:31">
      <c r="A100" s="34" t="s">
        <v>28</v>
      </c>
      <c r="B100">
        <f>COUNTIF(C58:C96,"&gt;"&amp;$B$8)-COUNTIF(C58:C96,"&gt;"&amp;$B$7)</f>
        <v>24</v>
      </c>
      <c r="C100">
        <f>AVERAGEIFS(C58:C96,C58:C96,"&gt;"&amp;$B$8,C58:C96,"&lt;"&amp;$B$7)</f>
        <v>52.183833333333347</v>
      </c>
      <c r="E100">
        <f>AVERAGEIFS(E58:E96,C58:C96,"&gt;"&amp;$B$8,C58:C96,"&lt;"&amp;$B$7)</f>
        <v>26.091916666666673</v>
      </c>
      <c r="G100">
        <f>AVERAGEIFS(G58:G96,C58:C96,"&gt;"&amp;$B$8,C58:C96,"&lt;"&amp;$B$7)</f>
        <v>2374.3288263525283</v>
      </c>
      <c r="H100">
        <f t="shared" si="29"/>
        <v>24</v>
      </c>
      <c r="I100">
        <f t="shared" si="30"/>
        <v>56983.891832460678</v>
      </c>
      <c r="J100" s="8">
        <v>17140759.425000001</v>
      </c>
      <c r="K100" s="33">
        <f t="shared" si="31"/>
        <v>3.3244671615511386E-3</v>
      </c>
      <c r="L100" s="33">
        <f t="shared" si="32"/>
        <v>0.33244671615511384</v>
      </c>
      <c r="Z100">
        <v>18</v>
      </c>
      <c r="AA100">
        <f t="shared" si="27"/>
        <v>11.672044863118989</v>
      </c>
      <c r="AC100" s="8">
        <f t="shared" si="28"/>
        <v>5.8360224315594946</v>
      </c>
      <c r="AE100">
        <v>107</v>
      </c>
    </row>
    <row r="101" spans="1:31">
      <c r="AC101" s="8"/>
    </row>
    <row r="102" spans="1:31">
      <c r="A102" t="s">
        <v>106</v>
      </c>
      <c r="AC102" s="8"/>
    </row>
    <row r="103" spans="1:31" ht="30">
      <c r="B103" t="s">
        <v>26</v>
      </c>
      <c r="C103" t="s">
        <v>20</v>
      </c>
      <c r="D103" t="s">
        <v>103</v>
      </c>
      <c r="E103" t="s">
        <v>21</v>
      </c>
      <c r="F103" t="s">
        <v>104</v>
      </c>
      <c r="G103" t="s">
        <v>6</v>
      </c>
      <c r="H103" t="s">
        <v>22</v>
      </c>
      <c r="I103" t="s">
        <v>23</v>
      </c>
      <c r="J103" t="s">
        <v>9</v>
      </c>
      <c r="K103" s="2" t="s">
        <v>24</v>
      </c>
      <c r="L103" s="2" t="s">
        <v>25</v>
      </c>
      <c r="Z103">
        <v>19</v>
      </c>
      <c r="AA103">
        <f t="shared" si="27"/>
        <v>78.371599216823597</v>
      </c>
      <c r="AC103" s="8">
        <f t="shared" si="28"/>
        <v>39.185799608411799</v>
      </c>
      <c r="AE103">
        <v>4824</v>
      </c>
    </row>
    <row r="104" spans="1:31">
      <c r="C104">
        <v>118.935</v>
      </c>
      <c r="E104">
        <f>C104/2</f>
        <v>59.467500000000001</v>
      </c>
      <c r="G104" s="8">
        <f t="shared" ref="G104:G107" si="33">PI()*E104*E104</f>
        <v>11109.876600590747</v>
      </c>
      <c r="Z104">
        <v>20</v>
      </c>
      <c r="AA104">
        <f t="shared" si="27"/>
        <v>19.380548642824149</v>
      </c>
      <c r="AC104" s="8">
        <f t="shared" si="28"/>
        <v>9.6902743214120743</v>
      </c>
      <c r="AE104">
        <v>295</v>
      </c>
    </row>
    <row r="105" spans="1:31">
      <c r="C105">
        <v>135.13499999999999</v>
      </c>
      <c r="E105">
        <f t="shared" ref="E105:E108" si="34">C105/2</f>
        <v>67.567499999999995</v>
      </c>
      <c r="G105" s="8">
        <f t="shared" si="33"/>
        <v>14342.523604855858</v>
      </c>
      <c r="Z105">
        <v>21</v>
      </c>
      <c r="AA105">
        <f t="shared" si="27"/>
        <v>12.815923738491737</v>
      </c>
      <c r="AC105" s="8">
        <f t="shared" si="28"/>
        <v>6.4079618692458684</v>
      </c>
      <c r="AE105">
        <v>129</v>
      </c>
    </row>
    <row r="106" spans="1:31">
      <c r="C106">
        <v>217.761</v>
      </c>
      <c r="E106">
        <f t="shared" si="34"/>
        <v>108.8805</v>
      </c>
      <c r="G106" s="8">
        <f t="shared" si="33"/>
        <v>37243.465549810157</v>
      </c>
      <c r="Z106">
        <v>22</v>
      </c>
      <c r="AA106">
        <f t="shared" si="27"/>
        <v>38.348294279786593</v>
      </c>
      <c r="AC106" s="8">
        <f t="shared" si="28"/>
        <v>19.174147139893297</v>
      </c>
      <c r="AE106">
        <v>1155</v>
      </c>
    </row>
    <row r="107" spans="1:31">
      <c r="C107">
        <v>99.742999999999995</v>
      </c>
      <c r="E107">
        <f t="shared" si="34"/>
        <v>49.871499999999997</v>
      </c>
      <c r="G107" s="8">
        <f t="shared" si="33"/>
        <v>7813.6640431391479</v>
      </c>
      <c r="Z107">
        <v>23</v>
      </c>
      <c r="AA107">
        <f t="shared" si="27"/>
        <v>16.42944866646031</v>
      </c>
      <c r="AC107" s="8">
        <f t="shared" si="28"/>
        <v>8.2147243332301549</v>
      </c>
      <c r="AE107">
        <v>212</v>
      </c>
    </row>
    <row r="108" spans="1:31">
      <c r="C108">
        <v>137.66800000000001</v>
      </c>
      <c r="E108">
        <f t="shared" si="34"/>
        <v>68.834000000000003</v>
      </c>
      <c r="G108" s="8">
        <f>PI()*E108*E108</f>
        <v>14885.241588959732</v>
      </c>
      <c r="Z108">
        <v>24</v>
      </c>
      <c r="AA108">
        <f t="shared" si="27"/>
        <v>12.514330345744634</v>
      </c>
      <c r="AC108" s="8">
        <f t="shared" si="28"/>
        <v>6.257165172872317</v>
      </c>
      <c r="AE108">
        <v>123</v>
      </c>
    </row>
    <row r="109" spans="1:31">
      <c r="C109">
        <v>100.232</v>
      </c>
      <c r="E109">
        <f t="shared" ref="E109:E120" si="35">C109/2</f>
        <v>50.116</v>
      </c>
      <c r="G109" s="8">
        <f>PI()*E109*E109</f>
        <v>7890.4663820268706</v>
      </c>
      <c r="Z109">
        <v>28</v>
      </c>
      <c r="AA109">
        <f t="shared" si="27"/>
        <v>11.562445770562215</v>
      </c>
      <c r="AC109" s="8">
        <f t="shared" si="28"/>
        <v>5.7812228852811076</v>
      </c>
      <c r="AE109">
        <v>105</v>
      </c>
    </row>
    <row r="110" spans="1:31">
      <c r="C110">
        <v>73.367000000000004</v>
      </c>
      <c r="E110">
        <f t="shared" si="35"/>
        <v>36.683500000000002</v>
      </c>
      <c r="G110" s="8">
        <f t="shared" ref="G110:G120" si="36">PI()*E110*E110</f>
        <v>4227.5758016293939</v>
      </c>
      <c r="Z110">
        <v>29</v>
      </c>
      <c r="AA110">
        <f t="shared" si="27"/>
        <v>30.130048048354833</v>
      </c>
      <c r="AC110" s="8">
        <f t="shared" si="28"/>
        <v>15.065024024177417</v>
      </c>
      <c r="AE110">
        <v>713</v>
      </c>
    </row>
    <row r="111" spans="1:31">
      <c r="C111">
        <v>92.569000000000003</v>
      </c>
      <c r="E111">
        <f t="shared" si="35"/>
        <v>46.284500000000001</v>
      </c>
      <c r="G111" s="8">
        <f t="shared" si="36"/>
        <v>6730.0923824058409</v>
      </c>
      <c r="Z111">
        <v>30</v>
      </c>
      <c r="AA111">
        <f t="shared" si="27"/>
        <v>70.674739009040877</v>
      </c>
      <c r="AC111" s="8">
        <f t="shared" si="28"/>
        <v>35.337369504520439</v>
      </c>
      <c r="AE111">
        <v>3923</v>
      </c>
    </row>
    <row r="112" spans="1:31">
      <c r="C112">
        <v>85.578999999999994</v>
      </c>
      <c r="E112">
        <f t="shared" si="35"/>
        <v>42.789499999999997</v>
      </c>
      <c r="G112" s="8">
        <f t="shared" si="36"/>
        <v>5752.0717694354698</v>
      </c>
      <c r="Z112">
        <v>31</v>
      </c>
      <c r="AA112">
        <f t="shared" si="27"/>
        <v>25.532305945691693</v>
      </c>
      <c r="AC112" s="8">
        <f t="shared" si="28"/>
        <v>12.766152972845846</v>
      </c>
      <c r="AE112">
        <v>512</v>
      </c>
    </row>
    <row r="113" spans="3:31">
      <c r="C113">
        <v>105.77800000000001</v>
      </c>
      <c r="E113">
        <f t="shared" si="35"/>
        <v>52.889000000000003</v>
      </c>
      <c r="G113" s="8">
        <f t="shared" si="36"/>
        <v>8787.8084923346778</v>
      </c>
      <c r="Z113">
        <v>32</v>
      </c>
      <c r="AA113">
        <f t="shared" si="27"/>
        <v>20.026743534373637</v>
      </c>
      <c r="AC113" s="8">
        <f t="shared" si="28"/>
        <v>10.013371767186818</v>
      </c>
      <c r="AE113">
        <v>315</v>
      </c>
    </row>
    <row r="114" spans="3:31">
      <c r="C114">
        <v>61.832000000000001</v>
      </c>
      <c r="E114">
        <f t="shared" si="35"/>
        <v>30.916</v>
      </c>
      <c r="G114" s="8">
        <f t="shared" si="36"/>
        <v>3002.7312926376594</v>
      </c>
      <c r="Z114">
        <v>33</v>
      </c>
      <c r="AA114">
        <f t="shared" ref="AA114:AA144" si="37">AC114*2</f>
        <v>12.205286835384658</v>
      </c>
      <c r="AC114" s="8">
        <f t="shared" ref="AC114:AC144" si="38">SQRT(AE114/PI())</f>
        <v>6.1026434176923292</v>
      </c>
      <c r="AE114">
        <v>117</v>
      </c>
    </row>
    <row r="115" spans="3:31">
      <c r="C115">
        <v>63.642000000000003</v>
      </c>
      <c r="E115">
        <f t="shared" si="35"/>
        <v>31.821000000000002</v>
      </c>
      <c r="G115" s="8">
        <f t="shared" si="36"/>
        <v>3181.1014516066375</v>
      </c>
      <c r="S115" t="s">
        <v>145</v>
      </c>
      <c r="Z115">
        <v>34</v>
      </c>
      <c r="AA115">
        <f t="shared" si="37"/>
        <v>14.002817212590296</v>
      </c>
      <c r="AC115" s="8">
        <f t="shared" si="38"/>
        <v>7.0014086062951479</v>
      </c>
      <c r="AE115">
        <v>154</v>
      </c>
    </row>
    <row r="116" spans="3:31">
      <c r="C116">
        <v>41.250999999999998</v>
      </c>
      <c r="E116">
        <f t="shared" si="35"/>
        <v>20.625499999999999</v>
      </c>
      <c r="G116" s="8">
        <f t="shared" si="36"/>
        <v>1336.468858539849</v>
      </c>
      <c r="S116" t="s">
        <v>144</v>
      </c>
      <c r="Z116">
        <v>35</v>
      </c>
      <c r="AA116">
        <f t="shared" si="37"/>
        <v>13.110581167104948</v>
      </c>
      <c r="AC116" s="8">
        <f t="shared" si="38"/>
        <v>6.5552905835524742</v>
      </c>
      <c r="AE116">
        <v>135</v>
      </c>
    </row>
    <row r="117" spans="3:31">
      <c r="C117">
        <v>39.627000000000002</v>
      </c>
      <c r="E117">
        <f t="shared" si="35"/>
        <v>19.813500000000001</v>
      </c>
      <c r="G117" s="8">
        <f t="shared" si="36"/>
        <v>1233.3100519012128</v>
      </c>
      <c r="S117" t="s">
        <v>146</v>
      </c>
      <c r="Z117">
        <v>36</v>
      </c>
      <c r="AA117">
        <f t="shared" si="37"/>
        <v>15.594510349620345</v>
      </c>
      <c r="AC117" s="8">
        <f t="shared" si="38"/>
        <v>7.7972551748101724</v>
      </c>
      <c r="AE117">
        <v>191</v>
      </c>
    </row>
    <row r="118" spans="3:31">
      <c r="C118">
        <v>44.03</v>
      </c>
      <c r="E118">
        <f t="shared" si="35"/>
        <v>22.015000000000001</v>
      </c>
      <c r="G118" s="8">
        <f t="shared" si="36"/>
        <v>1522.6050023471762</v>
      </c>
      <c r="Z118">
        <v>37</v>
      </c>
      <c r="AA118">
        <f t="shared" si="37"/>
        <v>13.110581167104948</v>
      </c>
      <c r="AC118" s="8">
        <f t="shared" si="38"/>
        <v>6.5552905835524742</v>
      </c>
      <c r="AE118">
        <v>135</v>
      </c>
    </row>
    <row r="119" spans="3:31">
      <c r="C119">
        <v>46.531999999999996</v>
      </c>
      <c r="E119">
        <f t="shared" si="35"/>
        <v>23.265999999999998</v>
      </c>
      <c r="G119" s="8">
        <f t="shared" si="36"/>
        <v>1700.5653279881224</v>
      </c>
      <c r="Z119">
        <v>38</v>
      </c>
      <c r="AA119">
        <f t="shared" si="37"/>
        <v>30.570538527078803</v>
      </c>
      <c r="AC119" s="8">
        <f t="shared" si="38"/>
        <v>15.285269263539401</v>
      </c>
      <c r="AE119">
        <v>734</v>
      </c>
    </row>
    <row r="120" spans="3:31">
      <c r="C120">
        <v>27.783999999999999</v>
      </c>
      <c r="E120">
        <f t="shared" si="35"/>
        <v>13.891999999999999</v>
      </c>
      <c r="G120" s="8">
        <f t="shared" si="36"/>
        <v>606.28862745585536</v>
      </c>
      <c r="Z120">
        <v>39</v>
      </c>
      <c r="AA120">
        <f t="shared" si="37"/>
        <v>11.283791670955125</v>
      </c>
      <c r="AC120" s="8">
        <f t="shared" si="38"/>
        <v>5.6418958354775626</v>
      </c>
      <c r="AE120">
        <v>100</v>
      </c>
    </row>
    <row r="121" spans="3:31">
      <c r="C121">
        <v>6.8440000000000003</v>
      </c>
      <c r="E121">
        <f t="shared" ref="E121:E136" si="39">C121/2</f>
        <v>3.4220000000000002</v>
      </c>
      <c r="G121" s="8">
        <f t="shared" ref="G121:G136" si="40">PI()*E121*E121</f>
        <v>36.788313867319381</v>
      </c>
      <c r="Z121">
        <v>43</v>
      </c>
      <c r="AA121">
        <f t="shared" si="37"/>
        <v>18.575465448360347</v>
      </c>
      <c r="AC121" s="8">
        <f t="shared" si="38"/>
        <v>9.2877327241801737</v>
      </c>
      <c r="AE121">
        <v>271</v>
      </c>
    </row>
    <row r="122" spans="3:31">
      <c r="C122">
        <v>14.318</v>
      </c>
      <c r="E122">
        <f t="shared" si="39"/>
        <v>7.1589999999999998</v>
      </c>
      <c r="G122" s="8">
        <f t="shared" si="40"/>
        <v>161.01064787666613</v>
      </c>
      <c r="Z122">
        <v>44</v>
      </c>
      <c r="AA122">
        <f t="shared" si="37"/>
        <v>18.779972148319072</v>
      </c>
      <c r="AC122" s="8">
        <f t="shared" si="38"/>
        <v>9.3899860741595358</v>
      </c>
      <c r="AE122">
        <v>277</v>
      </c>
    </row>
    <row r="123" spans="3:31">
      <c r="C123">
        <v>24.31</v>
      </c>
      <c r="E123">
        <f t="shared" si="39"/>
        <v>12.154999999999999</v>
      </c>
      <c r="G123" s="8">
        <f t="shared" si="40"/>
        <v>464.15154355178669</v>
      </c>
      <c r="Z123">
        <v>45</v>
      </c>
      <c r="AA123">
        <f t="shared" si="37"/>
        <v>12.514330345744634</v>
      </c>
      <c r="AC123" s="8">
        <f t="shared" si="38"/>
        <v>6.257165172872317</v>
      </c>
      <c r="AE123">
        <v>123</v>
      </c>
    </row>
    <row r="124" spans="3:31">
      <c r="C124">
        <v>17.829999999999998</v>
      </c>
      <c r="E124">
        <f t="shared" si="39"/>
        <v>8.9149999999999991</v>
      </c>
      <c r="G124" s="8">
        <f t="shared" si="40"/>
        <v>249.685066187703</v>
      </c>
      <c r="Z124">
        <v>46</v>
      </c>
      <c r="AA124">
        <f t="shared" si="37"/>
        <v>14.755472278097805</v>
      </c>
      <c r="AC124" s="8">
        <f t="shared" si="38"/>
        <v>7.3777361390489027</v>
      </c>
      <c r="AE124">
        <v>171</v>
      </c>
    </row>
    <row r="125" spans="3:31">
      <c r="C125">
        <v>11.46</v>
      </c>
      <c r="E125">
        <f t="shared" si="39"/>
        <v>5.73</v>
      </c>
      <c r="G125" s="8">
        <f t="shared" si="40"/>
        <v>103.14759743604834</v>
      </c>
      <c r="Z125">
        <v>47</v>
      </c>
      <c r="AA125">
        <f t="shared" si="37"/>
        <v>33.129027869252518</v>
      </c>
      <c r="AC125" s="8">
        <f t="shared" si="38"/>
        <v>16.564513934626259</v>
      </c>
      <c r="AE125">
        <v>862</v>
      </c>
    </row>
    <row r="126" spans="3:31">
      <c r="C126">
        <v>18.448</v>
      </c>
      <c r="E126">
        <f t="shared" si="39"/>
        <v>9.2240000000000002</v>
      </c>
      <c r="G126" s="8">
        <f t="shared" si="40"/>
        <v>267.2935390730338</v>
      </c>
      <c r="Z126">
        <v>48</v>
      </c>
      <c r="AA126">
        <f t="shared" si="37"/>
        <v>18.299234963936271</v>
      </c>
      <c r="AC126" s="8">
        <f t="shared" si="38"/>
        <v>9.1496174819681357</v>
      </c>
      <c r="AE126">
        <v>263</v>
      </c>
    </row>
    <row r="127" spans="3:31">
      <c r="C127">
        <v>10.775</v>
      </c>
      <c r="E127">
        <f t="shared" si="39"/>
        <v>5.3875000000000002</v>
      </c>
      <c r="G127" s="8">
        <f t="shared" si="40"/>
        <v>91.185217644295875</v>
      </c>
      <c r="Z127">
        <v>49</v>
      </c>
      <c r="AA127">
        <f t="shared" si="37"/>
        <v>11.941642642883693</v>
      </c>
      <c r="AC127" s="8">
        <f t="shared" si="38"/>
        <v>5.9708213214418464</v>
      </c>
      <c r="AE127">
        <v>112</v>
      </c>
    </row>
    <row r="128" spans="3:31">
      <c r="C128">
        <v>9.6790000000000003</v>
      </c>
      <c r="E128">
        <f t="shared" si="39"/>
        <v>4.8395000000000001</v>
      </c>
      <c r="G128" s="8">
        <f t="shared" si="40"/>
        <v>73.578488342887852</v>
      </c>
      <c r="Z128">
        <v>50</v>
      </c>
      <c r="AA128">
        <f t="shared" si="37"/>
        <v>17.805522925178455</v>
      </c>
      <c r="AC128" s="8">
        <f t="shared" si="38"/>
        <v>8.9027614625892273</v>
      </c>
      <c r="AE128">
        <v>249</v>
      </c>
    </row>
    <row r="129" spans="1:31">
      <c r="C129">
        <v>8.25</v>
      </c>
      <c r="E129">
        <f t="shared" si="39"/>
        <v>4.125</v>
      </c>
      <c r="G129" s="8">
        <f t="shared" si="40"/>
        <v>53.456162496238825</v>
      </c>
      <c r="Z129">
        <v>51</v>
      </c>
      <c r="AA129">
        <f t="shared" si="37"/>
        <v>16.312788383647018</v>
      </c>
      <c r="AC129" s="8">
        <f t="shared" si="38"/>
        <v>8.1563941918235088</v>
      </c>
      <c r="AE129">
        <v>209</v>
      </c>
    </row>
    <row r="130" spans="1:31">
      <c r="C130">
        <v>10.202999999999999</v>
      </c>
      <c r="E130">
        <f t="shared" si="39"/>
        <v>5.1014999999999997</v>
      </c>
      <c r="G130" s="8">
        <f t="shared" si="40"/>
        <v>81.760898356053914</v>
      </c>
      <c r="Z130">
        <v>52</v>
      </c>
      <c r="AA130">
        <f t="shared" si="37"/>
        <v>13.446189622059965</v>
      </c>
      <c r="AC130" s="8">
        <f t="shared" si="38"/>
        <v>6.7230948110299824</v>
      </c>
      <c r="AE130">
        <v>142</v>
      </c>
    </row>
    <row r="131" spans="1:31">
      <c r="C131">
        <v>10.202999999999999</v>
      </c>
      <c r="E131">
        <f t="shared" si="39"/>
        <v>5.1014999999999997</v>
      </c>
      <c r="G131" s="8">
        <f t="shared" si="40"/>
        <v>81.760898356053914</v>
      </c>
      <c r="Z131">
        <v>53</v>
      </c>
      <c r="AA131">
        <f t="shared" si="37"/>
        <v>31.433006326383836</v>
      </c>
      <c r="AC131" s="8">
        <f t="shared" si="38"/>
        <v>15.716503163191918</v>
      </c>
      <c r="AE131">
        <v>776</v>
      </c>
    </row>
    <row r="132" spans="1:31">
      <c r="C132">
        <v>22.532</v>
      </c>
      <c r="E132">
        <f t="shared" si="39"/>
        <v>11.266</v>
      </c>
      <c r="G132" s="8">
        <f t="shared" si="40"/>
        <v>398.73959782296981</v>
      </c>
      <c r="Z132">
        <v>54</v>
      </c>
      <c r="AA132">
        <f t="shared" si="37"/>
        <v>12.666024736934256</v>
      </c>
      <c r="AC132" s="8">
        <f t="shared" si="38"/>
        <v>6.333012368467128</v>
      </c>
      <c r="AE132">
        <v>126</v>
      </c>
    </row>
    <row r="133" spans="1:31">
      <c r="C133">
        <v>15.317</v>
      </c>
      <c r="E133">
        <f t="shared" si="39"/>
        <v>7.6585000000000001</v>
      </c>
      <c r="G133" s="8">
        <f t="shared" si="40"/>
        <v>184.26264717437724</v>
      </c>
      <c r="Z133">
        <v>55</v>
      </c>
      <c r="AA133">
        <f t="shared" si="37"/>
        <v>12.514330345744634</v>
      </c>
      <c r="AC133" s="8">
        <f t="shared" si="38"/>
        <v>6.257165172872317</v>
      </c>
      <c r="AE133">
        <v>123</v>
      </c>
    </row>
    <row r="134" spans="1:31">
      <c r="C134">
        <v>13.659000000000001</v>
      </c>
      <c r="E134">
        <f t="shared" si="39"/>
        <v>6.8295000000000003</v>
      </c>
      <c r="G134" s="8">
        <f t="shared" si="40"/>
        <v>146.53038524561904</v>
      </c>
      <c r="Z134">
        <v>56</v>
      </c>
      <c r="AA134">
        <f t="shared" si="37"/>
        <v>18.19456736586892</v>
      </c>
      <c r="AC134" s="8">
        <f t="shared" si="38"/>
        <v>9.0972836829344601</v>
      </c>
      <c r="AE134">
        <v>260</v>
      </c>
    </row>
    <row r="135" spans="1:31">
      <c r="C135">
        <v>11.939</v>
      </c>
      <c r="E135">
        <f t="shared" si="39"/>
        <v>5.9695</v>
      </c>
      <c r="G135" s="8">
        <f t="shared" si="40"/>
        <v>111.9504350845847</v>
      </c>
      <c r="Z135">
        <v>57</v>
      </c>
      <c r="AA135">
        <f t="shared" si="37"/>
        <v>21.646065519224038</v>
      </c>
      <c r="AC135" s="8">
        <f t="shared" si="38"/>
        <v>10.823032759612019</v>
      </c>
      <c r="AE135">
        <v>368</v>
      </c>
    </row>
    <row r="136" spans="1:31">
      <c r="C136">
        <v>21.643999999999998</v>
      </c>
      <c r="E136">
        <f t="shared" si="39"/>
        <v>10.821999999999999</v>
      </c>
      <c r="G136" s="8">
        <f t="shared" si="40"/>
        <v>367.92977247454365</v>
      </c>
      <c r="Z136">
        <v>58</v>
      </c>
      <c r="AA136">
        <f t="shared" si="37"/>
        <v>12.6156626101008</v>
      </c>
      <c r="AC136" s="8">
        <f t="shared" si="38"/>
        <v>6.3078313050504002</v>
      </c>
      <c r="AE136">
        <v>125</v>
      </c>
    </row>
    <row r="137" spans="1:31">
      <c r="A137" s="32" t="s">
        <v>91</v>
      </c>
      <c r="B137" s="32">
        <f>COUNT(C104:C136)</f>
        <v>33</v>
      </c>
      <c r="C137" s="32">
        <f>AVERAGE(C121:C136,C109:C120,C104:C108)</f>
        <v>52.087151515151504</v>
      </c>
      <c r="D137" s="32"/>
      <c r="E137" s="32">
        <f>AVERAGE(E121:E136,E109:E120,E104:E108)</f>
        <v>26.043575757575752</v>
      </c>
      <c r="F137" s="32"/>
      <c r="G137" s="32">
        <f>AVERAGE(G121:G136,G109:G120,G104:G108)</f>
        <v>4067.8511526865027</v>
      </c>
      <c r="H137" s="32">
        <f>COUNT(G121:G136,G109:G120,G104:G108)</f>
        <v>33</v>
      </c>
      <c r="I137" s="35">
        <f>H137*G137</f>
        <v>134239.08803865459</v>
      </c>
      <c r="J137">
        <v>481743</v>
      </c>
      <c r="K137" s="32">
        <f>I137/J137</f>
        <v>0.27865290837366519</v>
      </c>
      <c r="L137" s="32">
        <f>K137*100</f>
        <v>27.865290837366519</v>
      </c>
      <c r="Z137">
        <v>60</v>
      </c>
      <c r="AA137">
        <f t="shared" si="37"/>
        <v>77.866338760910324</v>
      </c>
      <c r="AC137" s="8">
        <f t="shared" si="38"/>
        <v>38.933169380455162</v>
      </c>
      <c r="AE137">
        <v>4762</v>
      </c>
    </row>
    <row r="138" spans="1:31">
      <c r="A138" s="8" t="s">
        <v>102</v>
      </c>
      <c r="B138">
        <f>COUNTIF(C104:C136,"&gt;"&amp;$B$6)</f>
        <v>0</v>
      </c>
      <c r="C138" s="8" t="e">
        <f>AVERAGEIF(C104:C136,"&gt;"&amp;$B$6)</f>
        <v>#DIV/0!</v>
      </c>
      <c r="D138" s="8"/>
      <c r="E138" s="8" t="e">
        <f>AVERAGEIF(C104:C136,"&gt;"&amp;$B$6,E104:E136)</f>
        <v>#DIV/0!</v>
      </c>
      <c r="F138" s="8"/>
      <c r="G138" s="8" t="e">
        <f>AVERAGEIF(C104:C136,"&gt;"&amp;$B$6,G104:G136)</f>
        <v>#DIV/0!</v>
      </c>
      <c r="H138">
        <f>B138</f>
        <v>0</v>
      </c>
      <c r="I138" t="e">
        <f>H138*G138</f>
        <v>#DIV/0!</v>
      </c>
      <c r="J138">
        <v>481743</v>
      </c>
      <c r="K138" s="72" t="e">
        <f>I138/J138</f>
        <v>#DIV/0!</v>
      </c>
      <c r="L138" s="72" t="e">
        <f>K138*100</f>
        <v>#DIV/0!</v>
      </c>
      <c r="Z138">
        <v>61</v>
      </c>
      <c r="AA138">
        <f t="shared" si="37"/>
        <v>15.347615963921077</v>
      </c>
      <c r="AC138" s="8">
        <f t="shared" si="38"/>
        <v>7.6738079819605387</v>
      </c>
      <c r="AE138">
        <v>185</v>
      </c>
    </row>
    <row r="139" spans="1:31">
      <c r="A139" t="s">
        <v>27</v>
      </c>
      <c r="B139">
        <f>COUNTIF(C104:C136,"&gt;"&amp;$B$7)-COUNTIF(C104:C136,"&gt;"&amp;$B$6)</f>
        <v>6</v>
      </c>
      <c r="C139">
        <f>AVERAGEIFS(C104:C136,C104:C136,"&gt;"&amp;$B$7,C104:C136,"&lt;"&amp;$B$6)</f>
        <v>135.91816666666668</v>
      </c>
      <c r="E139">
        <f>AVERAGEIFS(E104:E136,C104:C136,"&gt;"&amp;$B$7,C104:C136,"&lt;"&amp;$B$6)</f>
        <v>67.959083333333339</v>
      </c>
      <c r="G139">
        <f>AVERAGEIFS(G104:G136,C104:C136,"&gt;"&amp;$B$7,C104:C136,"&lt;"&amp;$B$6)</f>
        <v>15709.897036429675</v>
      </c>
      <c r="H139">
        <f t="shared" ref="H139:H140" si="41">B139</f>
        <v>6</v>
      </c>
      <c r="I139">
        <f t="shared" ref="I139:I140" si="42">H139*G139</f>
        <v>94259.382218578045</v>
      </c>
      <c r="J139">
        <v>481743</v>
      </c>
      <c r="K139" s="33">
        <f t="shared" ref="K139:K140" si="43">I139/J139</f>
        <v>0.19566321092071509</v>
      </c>
      <c r="L139" s="33">
        <f t="shared" ref="L139:L140" si="44">K139*100</f>
        <v>19.566321092071508</v>
      </c>
      <c r="AC139" s="8"/>
    </row>
    <row r="140" spans="1:31">
      <c r="A140" s="34" t="s">
        <v>28</v>
      </c>
      <c r="B140">
        <f>COUNTIF(C104:C136,"&gt;"&amp;$B$8)-COUNTIF(C104:C136,"&gt;"&amp;$B$7)</f>
        <v>27</v>
      </c>
      <c r="C140">
        <f>AVERAGEIFS(C104:C136,C104:C136,"&gt;"&amp;$B$8,C104:C136,"&lt;"&amp;$B$7)</f>
        <v>33.458037037037037</v>
      </c>
      <c r="E140">
        <f>AVERAGEIFS(E104:E136,C104:C136,"&gt;"&amp;$B$8,C104:C136,"&lt;"&amp;$B$7)</f>
        <v>16.729018518518519</v>
      </c>
      <c r="G140">
        <f>AVERAGEIFS(G104:G136,C104:C136,"&gt;"&amp;$B$8,C104:C136,"&lt;"&amp;$B$7)</f>
        <v>1480.7298451880206</v>
      </c>
      <c r="H140">
        <f t="shared" si="41"/>
        <v>27</v>
      </c>
      <c r="I140">
        <f t="shared" si="42"/>
        <v>39979.705820076553</v>
      </c>
      <c r="J140">
        <v>481743</v>
      </c>
      <c r="K140" s="33">
        <f t="shared" si="43"/>
        <v>8.2989697452950123E-2</v>
      </c>
      <c r="L140" s="33">
        <f t="shared" si="44"/>
        <v>8.2989697452950129</v>
      </c>
      <c r="AC140" s="8"/>
    </row>
    <row r="141" spans="1:31">
      <c r="AC141" s="8"/>
    </row>
    <row r="142" spans="1:31">
      <c r="Z142">
        <v>62</v>
      </c>
      <c r="AA142">
        <f t="shared" si="37"/>
        <v>12.205286835384658</v>
      </c>
      <c r="AC142" s="8">
        <f t="shared" si="38"/>
        <v>6.1026434176923292</v>
      </c>
      <c r="AE142">
        <v>117</v>
      </c>
    </row>
    <row r="143" spans="1:31">
      <c r="A143" s="8" t="s">
        <v>105</v>
      </c>
      <c r="C143" s="8"/>
      <c r="D143" s="8"/>
      <c r="E143" s="8"/>
      <c r="F143" s="8"/>
      <c r="G143" s="8"/>
      <c r="H143" s="8"/>
      <c r="I143" s="8"/>
      <c r="Z143">
        <v>63</v>
      </c>
      <c r="AA143">
        <f t="shared" si="37"/>
        <v>76.17186229414466</v>
      </c>
      <c r="AC143" s="8">
        <f t="shared" si="38"/>
        <v>38.08593114707233</v>
      </c>
      <c r="AE143">
        <v>4557</v>
      </c>
    </row>
    <row r="144" spans="1:31">
      <c r="A144" s="8"/>
      <c r="C144" s="31">
        <f>AVERAGE(AA84:AA152)</f>
        <v>23.268435376570363</v>
      </c>
      <c r="D144" s="31"/>
      <c r="E144" s="31">
        <f>AVERAGE(AC84:AC152)</f>
        <v>11.634217688285181</v>
      </c>
      <c r="F144" s="31"/>
      <c r="G144" s="31">
        <f>AVERAGE(AE84:AE152)</f>
        <v>699.78125</v>
      </c>
      <c r="H144">
        <f>Z152</f>
        <v>75</v>
      </c>
      <c r="I144">
        <f>G144*H144</f>
        <v>52483.59375</v>
      </c>
      <c r="J144">
        <v>481743</v>
      </c>
      <c r="K144">
        <f>I144/J144</f>
        <v>0.10894521300776555</v>
      </c>
      <c r="L144">
        <f>K144*100</f>
        <v>10.894521300776555</v>
      </c>
      <c r="Z144">
        <v>64</v>
      </c>
      <c r="AA144">
        <f t="shared" si="37"/>
        <v>11.672044863118989</v>
      </c>
      <c r="AC144" s="8">
        <f t="shared" si="38"/>
        <v>5.8360224315594946</v>
      </c>
      <c r="AE144">
        <v>107</v>
      </c>
    </row>
    <row r="145" spans="1:31">
      <c r="F145" s="8"/>
      <c r="G145" s="8"/>
      <c r="H145" s="8"/>
      <c r="I145" s="8"/>
      <c r="Z145">
        <v>65</v>
      </c>
      <c r="AA145">
        <f t="shared" ref="AA145:AA152" si="45">AC145*2</f>
        <v>89.199069025691244</v>
      </c>
      <c r="AC145" s="8">
        <f t="shared" ref="AC145:AC152" si="46">SQRT(AE145/PI())</f>
        <v>44.599534512845622</v>
      </c>
      <c r="AE145">
        <v>6249</v>
      </c>
    </row>
    <row r="146" spans="1:31">
      <c r="Z146">
        <v>66</v>
      </c>
      <c r="AA146">
        <f t="shared" si="45"/>
        <v>49.878954183227499</v>
      </c>
      <c r="AC146" s="8">
        <f t="shared" si="46"/>
        <v>24.93947709161375</v>
      </c>
      <c r="AE146">
        <v>1954</v>
      </c>
    </row>
    <row r="147" spans="1:31">
      <c r="Z147">
        <v>67</v>
      </c>
      <c r="AA147">
        <f t="shared" si="45"/>
        <v>16.46815177937675</v>
      </c>
      <c r="AC147" s="8">
        <f t="shared" si="46"/>
        <v>8.2340758896883752</v>
      </c>
      <c r="AE147">
        <v>213</v>
      </c>
    </row>
    <row r="148" spans="1:31">
      <c r="A148" t="s">
        <v>147</v>
      </c>
      <c r="Z148">
        <v>68</v>
      </c>
      <c r="AA148">
        <f t="shared" si="45"/>
        <v>11.941642642883693</v>
      </c>
      <c r="AC148" s="8">
        <f t="shared" si="46"/>
        <v>5.9708213214418464</v>
      </c>
      <c r="AE148">
        <v>112</v>
      </c>
    </row>
    <row r="149" spans="1:31" ht="30">
      <c r="A149" t="s">
        <v>102</v>
      </c>
      <c r="B149" t="s">
        <v>26</v>
      </c>
      <c r="C149" t="s">
        <v>20</v>
      </c>
      <c r="D149" t="s">
        <v>103</v>
      </c>
      <c r="E149" t="s">
        <v>21</v>
      </c>
      <c r="F149" t="s">
        <v>104</v>
      </c>
      <c r="G149" t="s">
        <v>6</v>
      </c>
      <c r="H149" t="s">
        <v>22</v>
      </c>
      <c r="I149" t="s">
        <v>23</v>
      </c>
      <c r="J149" t="s">
        <v>9</v>
      </c>
      <c r="K149" s="2" t="s">
        <v>24</v>
      </c>
      <c r="L149" s="2" t="s">
        <v>25</v>
      </c>
      <c r="Z149">
        <v>69</v>
      </c>
      <c r="AA149">
        <f t="shared" si="45"/>
        <v>15.91774699517169</v>
      </c>
      <c r="AC149" s="8">
        <f t="shared" si="46"/>
        <v>7.9588734975858451</v>
      </c>
      <c r="AE149">
        <v>199</v>
      </c>
    </row>
    <row r="150" spans="1:31">
      <c r="C150">
        <v>413.327</v>
      </c>
      <c r="E150">
        <f>C150/2</f>
        <v>206.6635</v>
      </c>
      <c r="G150" s="8">
        <f t="shared" ref="G150:G151" si="47">PI()*E150*E150</f>
        <v>134176.80092910957</v>
      </c>
      <c r="Z150">
        <v>70</v>
      </c>
      <c r="AA150">
        <f t="shared" si="45"/>
        <v>11.672044863118989</v>
      </c>
      <c r="AC150" s="8">
        <f t="shared" si="46"/>
        <v>5.8360224315594946</v>
      </c>
      <c r="AE150">
        <v>107</v>
      </c>
    </row>
    <row r="151" spans="1:31">
      <c r="C151">
        <v>291.37299999999999</v>
      </c>
      <c r="E151">
        <f>C151/2</f>
        <v>145.6865</v>
      </c>
      <c r="G151" s="8">
        <f t="shared" si="47"/>
        <v>66678.91009201968</v>
      </c>
      <c r="Z151">
        <v>71</v>
      </c>
      <c r="AA151">
        <f t="shared" si="45"/>
        <v>27.174968922638978</v>
      </c>
      <c r="AC151" s="8">
        <f t="shared" si="46"/>
        <v>13.587484461319489</v>
      </c>
      <c r="AE151">
        <v>580</v>
      </c>
    </row>
    <row r="152" spans="1:31">
      <c r="C152">
        <v>132.32499999999999</v>
      </c>
      <c r="E152">
        <f>C152/2</f>
        <v>66.162499999999994</v>
      </c>
      <c r="G152" s="8">
        <f t="shared" ref="G152:G155" si="48">PI()*E152*E152</f>
        <v>13752.247719137647</v>
      </c>
      <c r="Z152">
        <v>75</v>
      </c>
      <c r="AA152">
        <f t="shared" si="45"/>
        <v>11.562445770562215</v>
      </c>
      <c r="AC152" s="8">
        <f t="shared" si="46"/>
        <v>5.7812228852811076</v>
      </c>
      <c r="AE152">
        <v>105</v>
      </c>
    </row>
    <row r="153" spans="1:31">
      <c r="C153">
        <v>112.625</v>
      </c>
      <c r="E153">
        <f t="shared" ref="E153:E155" si="49">C153/2</f>
        <v>56.3125</v>
      </c>
      <c r="G153" s="8">
        <f t="shared" si="48"/>
        <v>9962.2971006908101</v>
      </c>
    </row>
    <row r="154" spans="1:31">
      <c r="C154">
        <v>86.582999999999998</v>
      </c>
      <c r="E154">
        <f t="shared" si="49"/>
        <v>43.291499999999999</v>
      </c>
      <c r="G154" s="8">
        <f t="shared" si="48"/>
        <v>5887.8283509167286</v>
      </c>
    </row>
    <row r="155" spans="1:31">
      <c r="C155">
        <v>91.835999999999999</v>
      </c>
      <c r="E155">
        <f t="shared" si="49"/>
        <v>45.917999999999999</v>
      </c>
      <c r="G155" s="8">
        <f t="shared" si="48"/>
        <v>6623.9310040863238</v>
      </c>
    </row>
    <row r="156" spans="1:31">
      <c r="C156">
        <v>54.945</v>
      </c>
      <c r="E156">
        <f t="shared" ref="E156:E177" si="50">C156/2</f>
        <v>27.4725</v>
      </c>
      <c r="G156" s="8">
        <f t="shared" ref="G156:G177" si="51">PI()*E156*E156</f>
        <v>2371.0801612181708</v>
      </c>
    </row>
    <row r="157" spans="1:31">
      <c r="C157">
        <v>66.08</v>
      </c>
      <c r="E157">
        <f t="shared" si="50"/>
        <v>33.04</v>
      </c>
      <c r="G157" s="8">
        <f t="shared" si="51"/>
        <v>3429.4932309130072</v>
      </c>
    </row>
    <row r="158" spans="1:31">
      <c r="C158">
        <v>82.849000000000004</v>
      </c>
      <c r="E158">
        <f t="shared" si="50"/>
        <v>41.424500000000002</v>
      </c>
      <c r="G158" s="8">
        <f t="shared" si="51"/>
        <v>5390.9390651448248</v>
      </c>
    </row>
    <row r="159" spans="1:31">
      <c r="C159">
        <v>51.261000000000003</v>
      </c>
      <c r="E159">
        <f t="shared" si="50"/>
        <v>25.630500000000001</v>
      </c>
      <c r="G159" s="8">
        <f t="shared" si="51"/>
        <v>2063.7829950110186</v>
      </c>
    </row>
    <row r="160" spans="1:31">
      <c r="C160">
        <v>19.78</v>
      </c>
      <c r="E160">
        <f t="shared" si="50"/>
        <v>9.89</v>
      </c>
      <c r="G160" s="8">
        <f t="shared" si="51"/>
        <v>307.28577479219024</v>
      </c>
    </row>
    <row r="161" spans="3:7">
      <c r="C161">
        <v>40.405999999999999</v>
      </c>
      <c r="E161">
        <f t="shared" si="50"/>
        <v>20.202999999999999</v>
      </c>
      <c r="G161" s="8">
        <f t="shared" si="51"/>
        <v>1282.2762556747282</v>
      </c>
    </row>
    <row r="162" spans="3:7">
      <c r="C162">
        <v>33.548000000000002</v>
      </c>
      <c r="E162">
        <f t="shared" si="50"/>
        <v>16.774000000000001</v>
      </c>
      <c r="G162" s="8">
        <f t="shared" si="51"/>
        <v>883.94073892364111</v>
      </c>
    </row>
    <row r="163" spans="3:7">
      <c r="C163">
        <v>32.450000000000003</v>
      </c>
      <c r="E163">
        <f t="shared" si="50"/>
        <v>16.225000000000001</v>
      </c>
      <c r="G163" s="8">
        <f t="shared" si="51"/>
        <v>827.02622955292168</v>
      </c>
    </row>
    <row r="164" spans="3:7">
      <c r="C164">
        <v>45.890999999999998</v>
      </c>
      <c r="E164">
        <f t="shared" si="50"/>
        <v>22.945499999999999</v>
      </c>
      <c r="G164" s="8">
        <f t="shared" si="51"/>
        <v>1654.0358722820304</v>
      </c>
    </row>
    <row r="165" spans="3:7">
      <c r="C165">
        <v>35.777999999999999</v>
      </c>
      <c r="E165">
        <f t="shared" si="50"/>
        <v>17.888999999999999</v>
      </c>
      <c r="G165" s="8">
        <f t="shared" si="51"/>
        <v>1005.3609230824329</v>
      </c>
    </row>
    <row r="166" spans="3:7">
      <c r="C166">
        <v>55.076999999999998</v>
      </c>
      <c r="E166">
        <f t="shared" si="50"/>
        <v>27.538499999999999</v>
      </c>
      <c r="G166" s="8">
        <f t="shared" si="51"/>
        <v>2382.4864233469684</v>
      </c>
    </row>
    <row r="167" spans="3:7">
      <c r="C167">
        <v>18.905999999999999</v>
      </c>
      <c r="E167">
        <f t="shared" si="50"/>
        <v>9.4529999999999994</v>
      </c>
      <c r="G167" s="8">
        <f t="shared" si="51"/>
        <v>280.7302345249949</v>
      </c>
    </row>
    <row r="168" spans="3:7">
      <c r="C168">
        <v>37.363</v>
      </c>
      <c r="E168">
        <f t="shared" si="50"/>
        <v>18.6815</v>
      </c>
      <c r="G168" s="8">
        <f t="shared" si="51"/>
        <v>1096.4109422868817</v>
      </c>
    </row>
    <row r="169" spans="3:7">
      <c r="C169">
        <v>10.989000000000001</v>
      </c>
      <c r="E169">
        <f t="shared" si="50"/>
        <v>5.4945000000000004</v>
      </c>
      <c r="G169" s="8">
        <f t="shared" si="51"/>
        <v>94.843206448726832</v>
      </c>
    </row>
    <row r="170" spans="3:7">
      <c r="C170">
        <v>11.836</v>
      </c>
      <c r="E170">
        <f t="shared" si="50"/>
        <v>5.9180000000000001</v>
      </c>
      <c r="G170" s="8">
        <f t="shared" si="51"/>
        <v>110.02713242710294</v>
      </c>
    </row>
    <row r="171" spans="3:7">
      <c r="C171">
        <v>23.773</v>
      </c>
      <c r="E171">
        <f t="shared" si="50"/>
        <v>11.8865</v>
      </c>
      <c r="G171" s="8">
        <f t="shared" si="51"/>
        <v>443.87211451051331</v>
      </c>
    </row>
    <row r="172" spans="3:7">
      <c r="C172">
        <v>20.263000000000002</v>
      </c>
      <c r="E172">
        <f t="shared" si="50"/>
        <v>10.131500000000001</v>
      </c>
      <c r="G172" s="8">
        <f t="shared" si="51"/>
        <v>322.47597924348457</v>
      </c>
    </row>
    <row r="173" spans="3:7">
      <c r="C173">
        <v>14.743</v>
      </c>
      <c r="E173">
        <f t="shared" si="50"/>
        <v>7.3715000000000002</v>
      </c>
      <c r="G173" s="8">
        <f t="shared" si="51"/>
        <v>170.71104168792579</v>
      </c>
    </row>
    <row r="174" spans="3:7">
      <c r="C174">
        <v>17.582000000000001</v>
      </c>
      <c r="E174">
        <f t="shared" si="50"/>
        <v>8.7910000000000004</v>
      </c>
      <c r="G174" s="8">
        <f t="shared" si="51"/>
        <v>242.7875612866699</v>
      </c>
    </row>
    <row r="175" spans="3:7">
      <c r="C175">
        <v>42.460999999999999</v>
      </c>
      <c r="E175">
        <f t="shared" si="50"/>
        <v>21.230499999999999</v>
      </c>
      <c r="G175" s="8">
        <f t="shared" si="51"/>
        <v>1416.0230323155847</v>
      </c>
    </row>
    <row r="176" spans="3:7">
      <c r="C176">
        <v>36.247</v>
      </c>
      <c r="E176">
        <f t="shared" si="50"/>
        <v>18.1235</v>
      </c>
      <c r="G176" s="8">
        <f t="shared" si="51"/>
        <v>1031.8914570575039</v>
      </c>
    </row>
    <row r="177" spans="1:12">
      <c r="C177">
        <v>17.888999999999999</v>
      </c>
      <c r="E177">
        <f t="shared" si="50"/>
        <v>8.9444999999999997</v>
      </c>
      <c r="G177" s="8">
        <f t="shared" si="51"/>
        <v>251.34023077060823</v>
      </c>
    </row>
    <row r="178" spans="1:12">
      <c r="A178" s="32" t="s">
        <v>91</v>
      </c>
      <c r="B178" s="32">
        <f>COUNT(C150:C177)</f>
        <v>28</v>
      </c>
      <c r="C178" s="32">
        <f>AVERAGE(C150:C177)</f>
        <v>67.792357142857142</v>
      </c>
      <c r="D178" s="32"/>
      <c r="E178" s="32">
        <f>AVERAGE(E150:E177)</f>
        <v>33.896178571428571</v>
      </c>
      <c r="F178" s="32"/>
      <c r="G178" s="32">
        <f>AVERAGE(G150:G177)</f>
        <v>9433.601278516524</v>
      </c>
      <c r="H178" s="32">
        <f>B178</f>
        <v>28</v>
      </c>
      <c r="I178" s="35">
        <f>H178*G178</f>
        <v>264140.83579846268</v>
      </c>
      <c r="J178" s="32">
        <v>726617.72</v>
      </c>
      <c r="K178" s="32">
        <f>I178/J178</f>
        <v>0.36352104900285487</v>
      </c>
      <c r="L178" s="32">
        <f>K178*100</f>
        <v>36.352104900285489</v>
      </c>
    </row>
    <row r="179" spans="1:12">
      <c r="A179" s="8" t="s">
        <v>102</v>
      </c>
      <c r="B179">
        <f>COUNTIF(C150:C177,"&gt;"&amp;$B$6)</f>
        <v>2</v>
      </c>
      <c r="C179" s="8">
        <f>AVERAGEIF(C150:C177,"&gt;"&amp;$B$6)</f>
        <v>352.35</v>
      </c>
      <c r="D179" s="8"/>
      <c r="E179" s="8">
        <f>AVERAGEIF(C150:C177,"&gt;"&amp;$B$6,E150:E177)</f>
        <v>176.17500000000001</v>
      </c>
      <c r="F179" s="8"/>
      <c r="G179" s="8">
        <f>AVERAGEIF(C150:C177,"&gt;"&amp;$B$6,G150:G177)</f>
        <v>100427.85551056462</v>
      </c>
      <c r="H179">
        <f>B179</f>
        <v>2</v>
      </c>
      <c r="I179">
        <f>H179*G179</f>
        <v>200855.71102112925</v>
      </c>
      <c r="J179" s="1">
        <v>726617.72</v>
      </c>
      <c r="K179" s="72">
        <f>I179/J179</f>
        <v>0.27642556118935452</v>
      </c>
      <c r="L179" s="72">
        <f>K179*100</f>
        <v>27.642556118935453</v>
      </c>
    </row>
    <row r="180" spans="1:12">
      <c r="A180" t="s">
        <v>27</v>
      </c>
      <c r="B180">
        <f>COUNTIF(C150:C177,"&gt;"&amp;$B$7)-COUNTIF(C150:C177,"&gt;"&amp;$B$6)</f>
        <v>2</v>
      </c>
      <c r="C180">
        <f>AVERAGEIFS(C150:C177,C150:C177,"&gt;"&amp;$B$7,C150:C177,"&lt;"&amp;$B$6)</f>
        <v>122.47499999999999</v>
      </c>
      <c r="E180">
        <f>AVERAGEIFS(E150:E177,C150:C177,"&gt;"&amp;$B$7,C150:C177,"&lt;"&amp;$B$6)</f>
        <v>61.237499999999997</v>
      </c>
      <c r="G180">
        <f>AVERAGEIFS(G150:G177,C150:C177,"&gt;"&amp;$B$7,C150:C177,"&lt;"&amp;$B$6)</f>
        <v>11857.272409914229</v>
      </c>
      <c r="H180">
        <f t="shared" ref="H180:H181" si="52">B180</f>
        <v>2</v>
      </c>
      <c r="I180">
        <f t="shared" ref="I180:I181" si="53">H180*G180</f>
        <v>23714.544819828458</v>
      </c>
      <c r="J180" s="1">
        <v>726617.72</v>
      </c>
      <c r="K180" s="33">
        <f t="shared" ref="K180:K181" si="54">I180/J180</f>
        <v>3.2636893055441117E-2</v>
      </c>
      <c r="L180" s="33">
        <f t="shared" ref="L180:L181" si="55">K180*100</f>
        <v>3.2636893055441116</v>
      </c>
    </row>
    <row r="181" spans="1:12">
      <c r="A181" s="34" t="s">
        <v>28</v>
      </c>
      <c r="B181">
        <f>COUNTIF(C150:C177,"&gt;"&amp;$B$8)-COUNTIF(C150:C177,"&gt;"&amp;$B$7)</f>
        <v>24</v>
      </c>
      <c r="C181">
        <f>AVERAGEIFS(C150:C177,C150:C177,"&gt;"&amp;$B$8,C150:C177,"&lt;"&amp;$B$7)</f>
        <v>39.522333333333336</v>
      </c>
      <c r="E181">
        <f>AVERAGEIFS(E150:E177,C150:C177,"&gt;"&amp;$B$8,C150:C177,"&lt;"&amp;$B$7)</f>
        <v>19.761166666666668</v>
      </c>
      <c r="G181">
        <f>AVERAGEIFS(G150:G177,C150:C177,"&gt;"&amp;$B$8,C150:C177,"&lt;"&amp;$B$7)</f>
        <v>1648.7741648960407</v>
      </c>
      <c r="H181">
        <f t="shared" si="52"/>
        <v>24</v>
      </c>
      <c r="I181">
        <f t="shared" si="53"/>
        <v>39570.579957504975</v>
      </c>
      <c r="J181" s="1">
        <v>726617.72</v>
      </c>
      <c r="K181" s="33">
        <f t="shared" si="54"/>
        <v>5.4458594758059267E-2</v>
      </c>
      <c r="L181" s="33">
        <f t="shared" si="55"/>
        <v>5.4458594758059267</v>
      </c>
    </row>
    <row r="185" spans="1:12">
      <c r="A185" t="s">
        <v>153</v>
      </c>
    </row>
    <row r="186" spans="1:12" ht="30">
      <c r="B186" t="s">
        <v>26</v>
      </c>
      <c r="C186" t="s">
        <v>20</v>
      </c>
      <c r="D186" t="s">
        <v>103</v>
      </c>
      <c r="E186" t="s">
        <v>21</v>
      </c>
      <c r="F186" t="s">
        <v>104</v>
      </c>
      <c r="G186" t="s">
        <v>6</v>
      </c>
      <c r="H186" t="s">
        <v>22</v>
      </c>
      <c r="I186" t="s">
        <v>23</v>
      </c>
      <c r="J186" t="s">
        <v>9</v>
      </c>
      <c r="K186" s="2" t="s">
        <v>24</v>
      </c>
      <c r="L186" s="2" t="s">
        <v>25</v>
      </c>
    </row>
    <row r="187" spans="1:12">
      <c r="C187">
        <v>29.254999999999999</v>
      </c>
      <c r="D187">
        <v>17.902000000000001</v>
      </c>
      <c r="E187">
        <f>C187/2</f>
        <v>14.6275</v>
      </c>
      <c r="F187">
        <f>D187/2</f>
        <v>8.9510000000000005</v>
      </c>
      <c r="G187" s="8">
        <f t="shared" ref="G187:G192" si="56">PI()*E187*E187</f>
        <v>672.18696476947707</v>
      </c>
    </row>
    <row r="188" spans="1:12">
      <c r="C188">
        <v>41.624000000000002</v>
      </c>
      <c r="D188">
        <v>33.091000000000001</v>
      </c>
      <c r="E188">
        <f t="shared" ref="E188:E192" si="57">C188/2</f>
        <v>20.812000000000001</v>
      </c>
      <c r="F188">
        <f t="shared" ref="F188:F192" si="58">D188/2</f>
        <v>16.545500000000001</v>
      </c>
      <c r="G188" s="8">
        <f t="shared" si="56"/>
        <v>1360.7473810911024</v>
      </c>
    </row>
    <row r="189" spans="1:12">
      <c r="C189">
        <v>7.867</v>
      </c>
      <c r="D189">
        <v>7.867</v>
      </c>
      <c r="E189">
        <f t="shared" si="57"/>
        <v>3.9335</v>
      </c>
      <c r="F189">
        <f t="shared" si="58"/>
        <v>3.9335</v>
      </c>
      <c r="G189" s="8">
        <f t="shared" si="56"/>
        <v>48.608048073839257</v>
      </c>
    </row>
    <row r="190" spans="1:12">
      <c r="C190">
        <v>8.2710000000000008</v>
      </c>
      <c r="D190">
        <v>7.5940000000000003</v>
      </c>
      <c r="E190">
        <f t="shared" si="57"/>
        <v>4.1355000000000004</v>
      </c>
      <c r="F190">
        <f t="shared" si="58"/>
        <v>3.7970000000000002</v>
      </c>
      <c r="G190" s="8">
        <f t="shared" si="56"/>
        <v>53.72864932044611</v>
      </c>
    </row>
    <row r="191" spans="1:12">
      <c r="C191">
        <v>9.94</v>
      </c>
      <c r="D191">
        <v>8.7880000000000003</v>
      </c>
      <c r="E191">
        <f t="shared" si="57"/>
        <v>4.97</v>
      </c>
      <c r="F191">
        <f t="shared" si="58"/>
        <v>4.3940000000000001</v>
      </c>
      <c r="G191" s="8">
        <f t="shared" si="56"/>
        <v>77.600165977056108</v>
      </c>
    </row>
    <row r="192" spans="1:12">
      <c r="C192">
        <v>8.1590000000000007</v>
      </c>
      <c r="D192">
        <v>6.5060000000000002</v>
      </c>
      <c r="E192">
        <f t="shared" si="57"/>
        <v>4.0795000000000003</v>
      </c>
      <c r="F192">
        <f t="shared" si="58"/>
        <v>3.2530000000000001</v>
      </c>
      <c r="G192" s="8">
        <f t="shared" si="56"/>
        <v>52.283391036088659</v>
      </c>
    </row>
    <row r="193" spans="1:12">
      <c r="A193" s="32" t="s">
        <v>91</v>
      </c>
      <c r="B193" s="32">
        <f>COUNT(C187:C192)</f>
        <v>6</v>
      </c>
      <c r="C193" s="32">
        <f>AVERAGE(C187:C192)</f>
        <v>17.519333333333336</v>
      </c>
      <c r="D193" s="32">
        <f>AVERAGE(D187:D192)</f>
        <v>13.624666666666664</v>
      </c>
      <c r="E193" s="32">
        <f>AVERAGE(E187:E192)</f>
        <v>8.7596666666666678</v>
      </c>
      <c r="F193" s="32">
        <f>AVERAGE(F187:F192)</f>
        <v>6.8123333333333322</v>
      </c>
      <c r="G193" s="32">
        <f>AVERAGE(G187:G192)</f>
        <v>377.52576671133488</v>
      </c>
      <c r="H193" s="32">
        <f>B193</f>
        <v>6</v>
      </c>
      <c r="I193" s="35">
        <f>H193*G193</f>
        <v>2265.1546002680093</v>
      </c>
      <c r="J193">
        <v>26470.588</v>
      </c>
      <c r="K193" s="32">
        <f>I193/J193</f>
        <v>8.5572507881880422E-2</v>
      </c>
      <c r="L193" s="32">
        <f>K193*100</f>
        <v>8.5572507881880426</v>
      </c>
    </row>
    <row r="194" spans="1:12">
      <c r="A194" s="8" t="s">
        <v>102</v>
      </c>
      <c r="B194">
        <f>COUNTIF(C187:C192,"&gt;"&amp;$B$6)</f>
        <v>0</v>
      </c>
      <c r="C194" s="8" t="e">
        <f>AVERAGEIF(C187:C192,"&gt;"&amp;$B$6)</f>
        <v>#DIV/0!</v>
      </c>
      <c r="D194" s="8" t="e">
        <f>AVERAGEIF(D187:D192,"&gt;"&amp;$B$6)</f>
        <v>#DIV/0!</v>
      </c>
      <c r="E194" s="8" t="e">
        <f>AVERAGEIF(C187:C192,"&gt;"&amp;$B$6,E187:E192)</f>
        <v>#DIV/0!</v>
      </c>
      <c r="F194" s="8" t="e">
        <f>AVERAGEIF(D187:D192,"&gt;"&amp;$B$6,F187:F192)</f>
        <v>#DIV/0!</v>
      </c>
      <c r="G194" s="8" t="e">
        <f>AVERAGEIF(C187:C192,"&gt;"&amp;$B$6,G187:G192)</f>
        <v>#DIV/0!</v>
      </c>
      <c r="H194">
        <f>B194</f>
        <v>0</v>
      </c>
      <c r="I194" t="e">
        <f>H194*G194</f>
        <v>#DIV/0!</v>
      </c>
      <c r="J194">
        <v>26470.588</v>
      </c>
      <c r="K194" s="72" t="e">
        <f>I194/J194</f>
        <v>#DIV/0!</v>
      </c>
      <c r="L194" s="72" t="e">
        <f>K194*100</f>
        <v>#DIV/0!</v>
      </c>
    </row>
    <row r="195" spans="1:12">
      <c r="A195" t="s">
        <v>27</v>
      </c>
      <c r="B195">
        <f>COUNTIF(C187:C192,"&gt;"&amp;$B$7)-COUNTIF(C187:C192,"&gt;"&amp;$B$6)</f>
        <v>0</v>
      </c>
      <c r="C195" t="e">
        <f>AVERAGEIFS(C187:C192,C187:C192,"&gt;"&amp;$B$7,C187:C192,"&lt;"&amp;$B$6)</f>
        <v>#DIV/0!</v>
      </c>
      <c r="D195" t="e">
        <f>AVERAGEIFS(D187:D192,D187:D192,"&gt;"&amp;$B$7,D187:D192,"&lt;"&amp;$B$6)</f>
        <v>#DIV/0!</v>
      </c>
      <c r="E195" t="e">
        <f>AVERAGEIFS(E187:E192,C187:C192,"&gt;"&amp;$B$7,C187:C192,"&lt;"&amp;$B$6)</f>
        <v>#DIV/0!</v>
      </c>
      <c r="F195" t="e">
        <f>AVERAGEIFS(F187:F192,D187:D192,"&gt;"&amp;$B$7,D187:D192,"&lt;"&amp;$B$6)</f>
        <v>#DIV/0!</v>
      </c>
      <c r="G195" t="e">
        <f>AVERAGEIFS(G187:G192,C187:C192,"&gt;"&amp;$B$7,C187:C192,"&lt;"&amp;$B$6)</f>
        <v>#DIV/0!</v>
      </c>
      <c r="H195">
        <f t="shared" ref="H195:H196" si="59">B195</f>
        <v>0</v>
      </c>
      <c r="I195" t="e">
        <f t="shared" ref="I195:I196" si="60">H195*G195</f>
        <v>#DIV/0!</v>
      </c>
      <c r="J195">
        <v>26470.588</v>
      </c>
      <c r="K195" s="33" t="e">
        <f t="shared" ref="K195:K196" si="61">I195/J195</f>
        <v>#DIV/0!</v>
      </c>
      <c r="L195" s="33" t="e">
        <f t="shared" ref="L195:L196" si="62">K195*100</f>
        <v>#DIV/0!</v>
      </c>
    </row>
    <row r="196" spans="1:12">
      <c r="A196" s="34" t="s">
        <v>28</v>
      </c>
      <c r="B196">
        <f>COUNTIF(C187:C192,"&gt;"&amp;$B$8)-COUNTIF(C187:C192,"&gt;"&amp;$B$7)</f>
        <v>6</v>
      </c>
      <c r="C196">
        <f>AVERAGEIFS(C187:C192,C187:C192,"&gt;"&amp;$B$8,C187:C192,"&lt;"&amp;$B$7)</f>
        <v>17.519333333333336</v>
      </c>
      <c r="D196">
        <f>AVERAGEIFS(D187:D192,D187:D192,"&gt;"&amp;$B$8,D187:D192,"&lt;"&amp;$B$7)</f>
        <v>13.624666666666664</v>
      </c>
      <c r="E196">
        <f>AVERAGEIFS(E187:E192,C187:C192,"&gt;"&amp;$B$8,C187:C192,"&lt;"&amp;$B$7)</f>
        <v>8.7596666666666678</v>
      </c>
      <c r="F196">
        <f>AVERAGEIFS(F187:F192,D187:D192,"&gt;"&amp;$B$8,D187:D192,"&lt;"&amp;$B$7)</f>
        <v>6.8123333333333322</v>
      </c>
      <c r="G196">
        <f>AVERAGEIFS(G187:G192,C187:C192,"&gt;"&amp;$B$8,C187:C192,"&lt;"&amp;$B$7)</f>
        <v>377.52576671133488</v>
      </c>
      <c r="H196">
        <f t="shared" si="59"/>
        <v>6</v>
      </c>
      <c r="I196">
        <f t="shared" si="60"/>
        <v>2265.1546002680093</v>
      </c>
      <c r="J196">
        <v>26470.588</v>
      </c>
      <c r="K196" s="33">
        <f t="shared" si="61"/>
        <v>8.5572507881880422E-2</v>
      </c>
      <c r="L196" s="33">
        <f t="shared" si="62"/>
        <v>8.5572507881880426</v>
      </c>
    </row>
    <row r="199" spans="1:12">
      <c r="A199" t="s">
        <v>163</v>
      </c>
    </row>
    <row r="200" spans="1:12" ht="30">
      <c r="B200" t="s">
        <v>26</v>
      </c>
      <c r="C200" t="s">
        <v>20</v>
      </c>
      <c r="D200" t="s">
        <v>103</v>
      </c>
      <c r="E200" t="s">
        <v>21</v>
      </c>
      <c r="F200" t="s">
        <v>104</v>
      </c>
      <c r="G200" t="s">
        <v>6</v>
      </c>
      <c r="H200" t="s">
        <v>22</v>
      </c>
      <c r="I200" t="s">
        <v>23</v>
      </c>
      <c r="J200" t="s">
        <v>9</v>
      </c>
      <c r="K200" s="2" t="s">
        <v>24</v>
      </c>
      <c r="L200" s="2" t="s">
        <v>25</v>
      </c>
    </row>
    <row r="201" spans="1:12">
      <c r="C201">
        <v>10.371</v>
      </c>
      <c r="D201">
        <v>12.087999999999999</v>
      </c>
      <c r="E201">
        <f>C201/2</f>
        <v>5.1855000000000002</v>
      </c>
      <c r="F201">
        <f>D201/2</f>
        <v>6.0439999999999996</v>
      </c>
      <c r="G201" s="8">
        <f t="shared" ref="G201" si="63">PI()*E201*E201</f>
        <v>84.475573700762098</v>
      </c>
    </row>
    <row r="202" spans="1:12">
      <c r="C202">
        <v>32.215000000000003</v>
      </c>
      <c r="D202">
        <v>29.823</v>
      </c>
      <c r="E202">
        <f t="shared" ref="E202:E211" si="64">C202/2</f>
        <v>16.107500000000002</v>
      </c>
      <c r="F202">
        <f t="shared" ref="F202:F211" si="65">D202/2</f>
        <v>14.9115</v>
      </c>
      <c r="G202" s="8">
        <f t="shared" ref="G202:G211" si="66">PI()*E202*E202</f>
        <v>815.09110307743913</v>
      </c>
    </row>
    <row r="203" spans="1:12">
      <c r="C203">
        <v>30.512</v>
      </c>
      <c r="D203">
        <v>30.512</v>
      </c>
      <c r="E203">
        <f t="shared" si="64"/>
        <v>15.256</v>
      </c>
      <c r="F203">
        <f t="shared" si="65"/>
        <v>15.256</v>
      </c>
      <c r="G203" s="8">
        <f t="shared" si="66"/>
        <v>731.19166605341877</v>
      </c>
    </row>
    <row r="204" spans="1:12">
      <c r="C204">
        <v>7.7409999999999997</v>
      </c>
      <c r="D204">
        <v>7.7409999999999997</v>
      </c>
      <c r="E204">
        <f t="shared" si="64"/>
        <v>3.8704999999999998</v>
      </c>
      <c r="F204">
        <f t="shared" si="65"/>
        <v>3.8704999999999998</v>
      </c>
      <c r="G204" s="8">
        <f t="shared" si="66"/>
        <v>47.063477762516527</v>
      </c>
    </row>
    <row r="205" spans="1:12">
      <c r="C205">
        <v>38.887999999999998</v>
      </c>
      <c r="D205">
        <v>38.887999999999998</v>
      </c>
      <c r="E205">
        <f t="shared" si="64"/>
        <v>19.443999999999999</v>
      </c>
      <c r="F205">
        <f t="shared" si="65"/>
        <v>19.443999999999999</v>
      </c>
      <c r="G205" s="8">
        <f t="shared" si="66"/>
        <v>1187.7392202066403</v>
      </c>
    </row>
    <row r="206" spans="1:12">
      <c r="C206">
        <v>35.695</v>
      </c>
      <c r="D206">
        <v>34.048999999999999</v>
      </c>
      <c r="E206">
        <f t="shared" si="64"/>
        <v>17.8475</v>
      </c>
      <c r="F206">
        <f t="shared" si="65"/>
        <v>17.0245</v>
      </c>
      <c r="G206" s="8">
        <f t="shared" si="66"/>
        <v>1000.701737759035</v>
      </c>
    </row>
    <row r="207" spans="1:12">
      <c r="C207">
        <v>16.664000000000001</v>
      </c>
      <c r="D207">
        <v>14.808</v>
      </c>
      <c r="E207">
        <f t="shared" si="64"/>
        <v>8.3320000000000007</v>
      </c>
      <c r="F207">
        <f t="shared" si="65"/>
        <v>7.4039999999999999</v>
      </c>
      <c r="G207" s="8">
        <f t="shared" si="66"/>
        <v>218.09634891426506</v>
      </c>
    </row>
    <row r="208" spans="1:12">
      <c r="C208">
        <v>7.0780000000000003</v>
      </c>
      <c r="D208">
        <v>7.0780000000000003</v>
      </c>
      <c r="E208">
        <f t="shared" si="64"/>
        <v>3.5390000000000001</v>
      </c>
      <c r="F208">
        <f t="shared" si="65"/>
        <v>3.5390000000000001</v>
      </c>
      <c r="G208" s="8">
        <f t="shared" si="66"/>
        <v>39.346943163331098</v>
      </c>
    </row>
    <row r="209" spans="1:12">
      <c r="C209">
        <v>20.439</v>
      </c>
      <c r="D209">
        <v>15.217000000000001</v>
      </c>
      <c r="E209">
        <f t="shared" si="64"/>
        <v>10.2195</v>
      </c>
      <c r="F209">
        <f t="shared" si="65"/>
        <v>7.6085000000000003</v>
      </c>
      <c r="G209" s="8">
        <f t="shared" si="66"/>
        <v>328.10221982768661</v>
      </c>
    </row>
    <row r="210" spans="1:12">
      <c r="C210">
        <v>33.225999999999999</v>
      </c>
      <c r="D210">
        <v>25.277000000000001</v>
      </c>
      <c r="E210">
        <f t="shared" si="64"/>
        <v>16.613</v>
      </c>
      <c r="F210">
        <f t="shared" si="65"/>
        <v>12.638500000000001</v>
      </c>
      <c r="G210" s="8">
        <f t="shared" si="66"/>
        <v>867.05371394165115</v>
      </c>
    </row>
    <row r="211" spans="1:12">
      <c r="C211">
        <v>4.9569999999999999</v>
      </c>
      <c r="D211">
        <v>5.2350000000000003</v>
      </c>
      <c r="E211">
        <f t="shared" si="64"/>
        <v>2.4784999999999999</v>
      </c>
      <c r="F211">
        <f t="shared" si="65"/>
        <v>2.6175000000000002</v>
      </c>
      <c r="G211" s="8">
        <f t="shared" si="66"/>
        <v>19.298685075879426</v>
      </c>
    </row>
    <row r="212" spans="1:12">
      <c r="A212" s="32" t="s">
        <v>91</v>
      </c>
      <c r="B212" s="32">
        <f>COUNT(C201:C211)</f>
        <v>11</v>
      </c>
      <c r="C212" s="32">
        <f>AVERAGE(C201:C211)</f>
        <v>21.61690909090909</v>
      </c>
      <c r="D212" s="32">
        <f>AVERAGE(D201:D211)</f>
        <v>20.065090909090909</v>
      </c>
      <c r="E212" s="32">
        <f>AVERAGE(E201:E211)</f>
        <v>10.808454545454545</v>
      </c>
      <c r="F212" s="32">
        <f>AVERAGE(F201:F211)</f>
        <v>10.032545454545454</v>
      </c>
      <c r="G212" s="32">
        <f>AVERAGE(G201:G211)</f>
        <v>485.28733540751142</v>
      </c>
      <c r="H212" s="32">
        <f>B212</f>
        <v>11</v>
      </c>
      <c r="I212" s="35">
        <f>H212*G212</f>
        <v>5338.1606894826255</v>
      </c>
      <c r="J212">
        <v>55771.48</v>
      </c>
      <c r="K212" s="32">
        <f>I212/J212</f>
        <v>9.5714883117367963E-2</v>
      </c>
      <c r="L212" s="32">
        <f>K212*100</f>
        <v>9.5714883117367968</v>
      </c>
    </row>
    <row r="213" spans="1:12">
      <c r="A213" s="8" t="s">
        <v>102</v>
      </c>
      <c r="B213">
        <f>COUNTIF(C201:C211,"&gt;"&amp;$B$6)</f>
        <v>0</v>
      </c>
      <c r="C213" s="8" t="e">
        <f>AVERAGEIF(C201:C211,"&gt;"&amp;$B$6)</f>
        <v>#DIV/0!</v>
      </c>
      <c r="D213" s="8" t="e">
        <f>AVERAGEIF(D201:D211,"&gt;"&amp;$B$6)</f>
        <v>#DIV/0!</v>
      </c>
      <c r="E213" s="8" t="e">
        <f>AVERAGEIF(C201:C211,"&gt;"&amp;$B$6,E201:E211)</f>
        <v>#DIV/0!</v>
      </c>
      <c r="F213" s="8" t="e">
        <f>AVERAGEIF(D201:D211,"&gt;"&amp;$B$6,F201:F211)</f>
        <v>#DIV/0!</v>
      </c>
      <c r="G213" s="8" t="e">
        <f>AVERAGEIF(C201:C211,"&gt;"&amp;$B$6,G201:G211)</f>
        <v>#DIV/0!</v>
      </c>
      <c r="H213">
        <f>B213</f>
        <v>0</v>
      </c>
      <c r="I213" t="e">
        <f>H213*G213</f>
        <v>#DIV/0!</v>
      </c>
      <c r="J213">
        <v>55771.48</v>
      </c>
      <c r="K213" s="72" t="e">
        <f>I213/J213</f>
        <v>#DIV/0!</v>
      </c>
      <c r="L213" s="72" t="e">
        <f>K213*100</f>
        <v>#DIV/0!</v>
      </c>
    </row>
    <row r="214" spans="1:12">
      <c r="A214" t="s">
        <v>27</v>
      </c>
      <c r="B214">
        <f>COUNTIF(C201:C211,"&gt;"&amp;$B$7)-COUNTIF(C201:C211,"&gt;"&amp;$B$6)</f>
        <v>0</v>
      </c>
      <c r="C214" t="e">
        <f>AVERAGEIFS(C201:C211,C201:C211,"&gt;"&amp;$B$7,C201:C211,"&lt;"&amp;$B$6)</f>
        <v>#DIV/0!</v>
      </c>
      <c r="D214" t="e">
        <f>AVERAGEIFS(D201:D211,D201:D211,"&gt;"&amp;$B$7,D201:D211,"&lt;"&amp;$B$6)</f>
        <v>#DIV/0!</v>
      </c>
      <c r="E214" t="e">
        <f>AVERAGEIFS(E201:E211,C201:C211,"&gt;"&amp;$B$7,C201:C211,"&lt;"&amp;$B$6)</f>
        <v>#DIV/0!</v>
      </c>
      <c r="F214" t="e">
        <f>AVERAGEIFS(F201:F211,D201:D211,"&gt;"&amp;$B$7,D201:D211,"&lt;"&amp;$B$6)</f>
        <v>#DIV/0!</v>
      </c>
      <c r="G214" t="e">
        <f>AVERAGEIFS(G201:G211,C201:C211,"&gt;"&amp;$B$7,C201:C211,"&lt;"&amp;$B$6)</f>
        <v>#DIV/0!</v>
      </c>
      <c r="H214">
        <f t="shared" ref="H214:H215" si="67">B214</f>
        <v>0</v>
      </c>
      <c r="I214" t="e">
        <f t="shared" ref="I214:I215" si="68">H214*G214</f>
        <v>#DIV/0!</v>
      </c>
      <c r="J214">
        <v>55771.48</v>
      </c>
      <c r="K214" s="33" t="e">
        <f t="shared" ref="K214:K215" si="69">I214/J214</f>
        <v>#DIV/0!</v>
      </c>
      <c r="L214" s="33" t="e">
        <f t="shared" ref="L214:L215" si="70">K214*100</f>
        <v>#DIV/0!</v>
      </c>
    </row>
    <row r="215" spans="1:12">
      <c r="A215" s="34" t="s">
        <v>28</v>
      </c>
      <c r="B215">
        <f>COUNTIF(C201:C211,"&gt;"&amp;$B$8)-COUNTIF(C201:C211,"&gt;"&amp;$B$7)</f>
        <v>11</v>
      </c>
      <c r="C215">
        <f>AVERAGEIFS(C201:C211,C201:C211,"&gt;"&amp;$B$8,C201:C211,"&lt;"&amp;$B$7)</f>
        <v>21.61690909090909</v>
      </c>
      <c r="D215">
        <f>AVERAGEIFS(D201:D211,D201:D211,"&gt;"&amp;$B$8,D201:D211,"&lt;"&amp;$B$7)</f>
        <v>20.065090909090909</v>
      </c>
      <c r="E215">
        <f>AVERAGEIFS(E201:E211,C201:C211,"&gt;"&amp;$B$8,C201:C211,"&lt;"&amp;$B$7)</f>
        <v>10.808454545454545</v>
      </c>
      <c r="F215">
        <f>AVERAGEIFS(F201:F211,D201:D211,"&gt;"&amp;$B$8,D201:D211,"&lt;"&amp;$B$7)</f>
        <v>10.032545454545454</v>
      </c>
      <c r="G215">
        <f>AVERAGEIFS(G201:G211,C201:C211,"&gt;"&amp;$B$8,C201:C211,"&lt;"&amp;$B$7)</f>
        <v>485.28733540751142</v>
      </c>
      <c r="H215">
        <f t="shared" si="67"/>
        <v>11</v>
      </c>
      <c r="I215">
        <f t="shared" si="68"/>
        <v>5338.1606894826255</v>
      </c>
      <c r="J215">
        <v>55771.48</v>
      </c>
      <c r="K215" s="33">
        <f t="shared" si="69"/>
        <v>9.5714883117367963E-2</v>
      </c>
      <c r="L215" s="33">
        <f t="shared" si="70"/>
        <v>9.5714883117367968</v>
      </c>
    </row>
    <row r="218" spans="1:12">
      <c r="A218" t="s">
        <v>168</v>
      </c>
    </row>
    <row r="219" spans="1:12" ht="30">
      <c r="B219" t="s">
        <v>26</v>
      </c>
      <c r="C219" t="s">
        <v>20</v>
      </c>
      <c r="D219" t="s">
        <v>103</v>
      </c>
      <c r="E219" t="s">
        <v>21</v>
      </c>
      <c r="F219" t="s">
        <v>104</v>
      </c>
      <c r="G219" t="s">
        <v>6</v>
      </c>
      <c r="H219" t="s">
        <v>22</v>
      </c>
      <c r="I219" t="s">
        <v>23</v>
      </c>
      <c r="J219" t="s">
        <v>9</v>
      </c>
      <c r="K219" s="2" t="s">
        <v>24</v>
      </c>
      <c r="L219" s="2" t="s">
        <v>25</v>
      </c>
    </row>
    <row r="220" spans="1:12">
      <c r="C220">
        <v>96.037000000000006</v>
      </c>
      <c r="D220">
        <v>55.561</v>
      </c>
      <c r="E220">
        <f t="shared" ref="E220" si="71">C220/2</f>
        <v>48.018500000000003</v>
      </c>
      <c r="F220">
        <f t="shared" ref="F220" si="72">D220/2</f>
        <v>27.7805</v>
      </c>
      <c r="G220" s="8">
        <f t="shared" ref="G220" si="73">PI()*E220*E220</f>
        <v>7243.8100176337457</v>
      </c>
    </row>
    <row r="221" spans="1:12">
      <c r="C221">
        <v>31.527000000000001</v>
      </c>
      <c r="D221">
        <v>31.527000000000001</v>
      </c>
      <c r="E221">
        <f t="shared" ref="E221:E236" si="74">C221/2</f>
        <v>15.763500000000001</v>
      </c>
      <c r="F221">
        <f t="shared" ref="F221:F236" si="75">D221/2</f>
        <v>15.763500000000001</v>
      </c>
      <c r="G221" s="8">
        <f t="shared" ref="G221:G236" si="76">PI()*E221*E221</f>
        <v>780.64786246231824</v>
      </c>
    </row>
    <row r="222" spans="1:12">
      <c r="C222">
        <v>41.314</v>
      </c>
      <c r="D222">
        <v>30.76</v>
      </c>
      <c r="E222">
        <f t="shared" si="74"/>
        <v>20.657</v>
      </c>
      <c r="F222">
        <f t="shared" si="75"/>
        <v>15.38</v>
      </c>
      <c r="G222" s="8">
        <f t="shared" si="76"/>
        <v>1340.5541816995865</v>
      </c>
    </row>
    <row r="223" spans="1:12">
      <c r="C223">
        <v>89.435000000000002</v>
      </c>
      <c r="D223">
        <v>82.712999999999994</v>
      </c>
      <c r="E223">
        <f t="shared" si="74"/>
        <v>44.717500000000001</v>
      </c>
      <c r="F223">
        <f t="shared" si="75"/>
        <v>41.356499999999997</v>
      </c>
      <c r="G223" s="8">
        <f t="shared" si="76"/>
        <v>6282.1008490305212</v>
      </c>
    </row>
    <row r="224" spans="1:12">
      <c r="C224">
        <v>95.884</v>
      </c>
      <c r="D224">
        <v>108.91800000000001</v>
      </c>
      <c r="E224">
        <f t="shared" si="74"/>
        <v>47.942</v>
      </c>
      <c r="F224">
        <f t="shared" si="75"/>
        <v>54.459000000000003</v>
      </c>
      <c r="G224" s="8">
        <f t="shared" si="76"/>
        <v>7220.7476542933819</v>
      </c>
    </row>
    <row r="225" spans="1:12">
      <c r="C225">
        <v>89</v>
      </c>
      <c r="D225">
        <v>55.011000000000003</v>
      </c>
      <c r="E225">
        <f t="shared" si="74"/>
        <v>44.5</v>
      </c>
      <c r="F225">
        <f t="shared" si="75"/>
        <v>27.505500000000001</v>
      </c>
      <c r="G225" s="8">
        <f t="shared" si="76"/>
        <v>6221.1388522711886</v>
      </c>
    </row>
    <row r="226" spans="1:12">
      <c r="C226">
        <v>69.876999999999995</v>
      </c>
      <c r="D226">
        <v>52.89</v>
      </c>
      <c r="E226">
        <f t="shared" si="74"/>
        <v>34.938499999999998</v>
      </c>
      <c r="F226">
        <f t="shared" si="75"/>
        <v>26.445</v>
      </c>
      <c r="G226" s="8">
        <f t="shared" si="76"/>
        <v>3834.9383265626061</v>
      </c>
    </row>
    <row r="227" spans="1:12">
      <c r="C227">
        <v>117.172</v>
      </c>
      <c r="D227">
        <v>78.125</v>
      </c>
      <c r="E227">
        <f t="shared" si="74"/>
        <v>58.585999999999999</v>
      </c>
      <c r="F227">
        <f t="shared" si="75"/>
        <v>39.0625</v>
      </c>
      <c r="G227" s="8">
        <f t="shared" si="76"/>
        <v>10782.949399247356</v>
      </c>
    </row>
    <row r="228" spans="1:12">
      <c r="C228">
        <v>68.781999999999996</v>
      </c>
      <c r="D228">
        <v>47.917000000000002</v>
      </c>
      <c r="E228">
        <f t="shared" si="74"/>
        <v>34.390999999999998</v>
      </c>
      <c r="F228">
        <f t="shared" si="75"/>
        <v>23.958500000000001</v>
      </c>
      <c r="G228" s="8">
        <f t="shared" si="76"/>
        <v>3715.6900628499197</v>
      </c>
    </row>
    <row r="229" spans="1:12">
      <c r="C229">
        <v>21.974</v>
      </c>
      <c r="D229">
        <v>11.877000000000001</v>
      </c>
      <c r="E229">
        <f t="shared" si="74"/>
        <v>10.987</v>
      </c>
      <c r="F229">
        <f t="shared" si="75"/>
        <v>5.9385000000000003</v>
      </c>
      <c r="G229" s="8">
        <f t="shared" si="76"/>
        <v>379.23474651459674</v>
      </c>
    </row>
    <row r="230" spans="1:12">
      <c r="C230">
        <v>31.337</v>
      </c>
      <c r="D230">
        <v>27.263000000000002</v>
      </c>
      <c r="E230">
        <f t="shared" si="74"/>
        <v>15.6685</v>
      </c>
      <c r="F230">
        <f t="shared" si="75"/>
        <v>13.631500000000001</v>
      </c>
      <c r="G230" s="8">
        <f t="shared" si="76"/>
        <v>771.26694113499298</v>
      </c>
    </row>
    <row r="231" spans="1:12">
      <c r="C231">
        <v>54.616</v>
      </c>
      <c r="D231">
        <v>54.616</v>
      </c>
      <c r="E231">
        <f t="shared" si="74"/>
        <v>27.308</v>
      </c>
      <c r="F231">
        <f t="shared" si="75"/>
        <v>27.308</v>
      </c>
      <c r="G231" s="8">
        <f t="shared" si="76"/>
        <v>2342.7700375269546</v>
      </c>
    </row>
    <row r="232" spans="1:12">
      <c r="C232">
        <v>32.292000000000002</v>
      </c>
      <c r="D232">
        <v>32.292000000000002</v>
      </c>
      <c r="E232">
        <f t="shared" si="74"/>
        <v>16.146000000000001</v>
      </c>
      <c r="F232">
        <f t="shared" si="75"/>
        <v>16.146000000000001</v>
      </c>
      <c r="G232" s="8">
        <f t="shared" si="76"/>
        <v>818.99220638556255</v>
      </c>
    </row>
    <row r="233" spans="1:12">
      <c r="C233">
        <v>20.64</v>
      </c>
      <c r="D233">
        <v>11.218999999999999</v>
      </c>
      <c r="E233">
        <f t="shared" si="74"/>
        <v>10.32</v>
      </c>
      <c r="F233">
        <f t="shared" si="75"/>
        <v>5.6094999999999997</v>
      </c>
      <c r="G233" s="8">
        <f t="shared" si="76"/>
        <v>334.58715742968161</v>
      </c>
    </row>
    <row r="234" spans="1:12">
      <c r="C234">
        <v>214.798</v>
      </c>
      <c r="D234">
        <v>214.798</v>
      </c>
      <c r="E234">
        <f t="shared" si="74"/>
        <v>107.399</v>
      </c>
      <c r="F234">
        <f t="shared" si="75"/>
        <v>107.399</v>
      </c>
      <c r="G234" s="8">
        <f t="shared" si="76"/>
        <v>36236.842465961003</v>
      </c>
    </row>
    <row r="235" spans="1:12">
      <c r="C235">
        <v>56.337000000000003</v>
      </c>
      <c r="D235">
        <v>56.337000000000003</v>
      </c>
      <c r="E235">
        <f t="shared" si="74"/>
        <v>28.168500000000002</v>
      </c>
      <c r="F235">
        <f t="shared" si="75"/>
        <v>28.168500000000002</v>
      </c>
      <c r="G235" s="8">
        <f t="shared" si="76"/>
        <v>2492.7419055776904</v>
      </c>
    </row>
    <row r="236" spans="1:12">
      <c r="C236">
        <v>64.591999999999999</v>
      </c>
      <c r="D236">
        <v>64.591999999999999</v>
      </c>
      <c r="E236">
        <f t="shared" si="74"/>
        <v>32.295999999999999</v>
      </c>
      <c r="F236">
        <f t="shared" si="75"/>
        <v>32.295999999999999</v>
      </c>
      <c r="G236" s="8">
        <f t="shared" si="76"/>
        <v>3276.7804622874901</v>
      </c>
    </row>
    <row r="237" spans="1:12">
      <c r="A237" s="32" t="s">
        <v>91</v>
      </c>
      <c r="B237" s="32">
        <f>COUNT(C220:C236)</f>
        <v>17</v>
      </c>
      <c r="C237" s="32">
        <f>AVERAGE(C220:C236)</f>
        <v>70.330235294117642</v>
      </c>
      <c r="D237" s="32">
        <f>AVERAGE(D220:D236)</f>
        <v>59.789176470588238</v>
      </c>
      <c r="E237" s="32">
        <f>AVERAGE(E220:E236)</f>
        <v>35.165117647058821</v>
      </c>
      <c r="F237" s="32">
        <f>AVERAGE(F220:F236)</f>
        <v>29.894588235294119</v>
      </c>
      <c r="G237" s="32">
        <f>AVERAGE(G220:G236)</f>
        <v>5533.8701840510939</v>
      </c>
      <c r="H237" s="32">
        <f>B237</f>
        <v>17</v>
      </c>
      <c r="I237" s="35">
        <f>H237*G237</f>
        <v>94075.793128868594</v>
      </c>
      <c r="J237">
        <v>686621.09400000004</v>
      </c>
      <c r="K237" s="32">
        <f>I237/J237</f>
        <v>0.13701267547843293</v>
      </c>
      <c r="L237" s="32">
        <f>K237*100</f>
        <v>13.701267547843294</v>
      </c>
    </row>
    <row r="238" spans="1:12">
      <c r="A238" s="8" t="s">
        <v>102</v>
      </c>
      <c r="B238">
        <f>COUNTIF(C220:C236,"&gt;"&amp;$B$6)</f>
        <v>0</v>
      </c>
      <c r="C238" s="8" t="e">
        <f>AVERAGEIF(C220:C236,"&gt;"&amp;$B$6)</f>
        <v>#DIV/0!</v>
      </c>
      <c r="D238" s="8" t="e">
        <f>AVERAGEIF(D220:D236,"&gt;"&amp;$B$6)</f>
        <v>#DIV/0!</v>
      </c>
      <c r="E238" s="8" t="e">
        <f>AVERAGEIF(C220:C236,"&gt;"&amp;$B$6,E220:E236)</f>
        <v>#DIV/0!</v>
      </c>
      <c r="F238" s="8" t="e">
        <f ca="1">AVERAGEIF(D220:D236,"&gt;"&amp;$B$6,F226:F236)</f>
        <v>#DIV/0!</v>
      </c>
      <c r="G238" s="8" t="e">
        <f>AVERAGEIF(C220:C236,"&gt;"&amp;$B$6,G220:G236)</f>
        <v>#DIV/0!</v>
      </c>
      <c r="H238">
        <f>B238</f>
        <v>0</v>
      </c>
      <c r="I238" t="e">
        <f>H238*G238</f>
        <v>#DIV/0!</v>
      </c>
      <c r="J238">
        <v>686621.09400000004</v>
      </c>
      <c r="K238" s="72" t="e">
        <f>I238/J238</f>
        <v>#DIV/0!</v>
      </c>
      <c r="L238" s="72" t="e">
        <f>K238*100</f>
        <v>#DIV/0!</v>
      </c>
    </row>
    <row r="239" spans="1:12">
      <c r="A239" t="s">
        <v>27</v>
      </c>
      <c r="B239">
        <f>COUNTIF(C220:C236,"&gt;"&amp;$B$7)-COUNTIF(C220:C236,"&gt;"&amp;$B$6)</f>
        <v>2</v>
      </c>
      <c r="C239">
        <f>AVERAGEIFS(C220:C236,C220:C236,"&gt;"&amp;$B$7,C220:C236,"&lt;"&amp;$B$6)</f>
        <v>165.98500000000001</v>
      </c>
      <c r="D239">
        <f>AVERAGEIFS(D220:D236,D220:D236,"&gt;"&amp;$B$7,D220:D236,"&lt;"&amp;$B$6)</f>
        <v>161.858</v>
      </c>
      <c r="E239">
        <f>AVERAGEIFS(E220:E236,C220:C236,"&gt;"&amp;$B$7,C220:C236,"&lt;"&amp;$B$6)</f>
        <v>82.992500000000007</v>
      </c>
      <c r="F239">
        <f>AVERAGEIFS(F220:F236,D220:D236,"&gt;"&amp;$B$7,D220:D236,"&lt;"&amp;$B$6)</f>
        <v>80.929000000000002</v>
      </c>
      <c r="G239">
        <f>AVERAGEIFS(G220:G236,C220:C236,"&gt;"&amp;$B$7,C220:C236,"&lt;"&amp;$B$6)</f>
        <v>23509.89593260418</v>
      </c>
      <c r="H239">
        <f t="shared" ref="H239:H240" si="77">B239</f>
        <v>2</v>
      </c>
      <c r="I239">
        <f t="shared" ref="I239:I240" si="78">H239*G239</f>
        <v>47019.791865208361</v>
      </c>
      <c r="J239">
        <v>686621.09400000004</v>
      </c>
      <c r="K239" s="33">
        <f t="shared" ref="K239:K240" si="79">I239/J239</f>
        <v>6.8479969922404335E-2</v>
      </c>
      <c r="L239" s="33">
        <f t="shared" ref="L239:L240" si="80">K239*100</f>
        <v>6.8479969922404331</v>
      </c>
    </row>
    <row r="240" spans="1:12">
      <c r="A240" s="34" t="s">
        <v>28</v>
      </c>
      <c r="B240">
        <f>COUNTIF(C220:C236,"&gt;"&amp;$B$8)-COUNTIF(C220:C236,"&gt;"&amp;$B$7)</f>
        <v>15</v>
      </c>
      <c r="C240">
        <f>AVERAGEIFS(C220:C236,C220:C236,"&gt;"&amp;$B$8,C220:C236,"&lt;"&amp;$B$7)</f>
        <v>57.576266666666669</v>
      </c>
      <c r="D240">
        <f>AVERAGEIFS(D220:D236,D220:D236,"&gt;"&amp;$B$8,D220:D236,"&lt;"&amp;$B$7)</f>
        <v>46.18</v>
      </c>
      <c r="E240">
        <f>AVERAGEIFS(E220:E236,C220:C236,"&gt;"&amp;$B$8,C220:C236,"&lt;"&amp;$B$7)</f>
        <v>28.788133333333334</v>
      </c>
      <c r="F240">
        <f>AVERAGEIFS(F220:F236,D220:D236,"&gt;"&amp;$B$8,D220:D236,"&lt;"&amp;$B$7)</f>
        <v>23.09</v>
      </c>
      <c r="G240">
        <f>AVERAGEIFS(G220:G236,C220:C236,"&gt;"&amp;$B$8,C220:C236,"&lt;"&amp;$B$7)</f>
        <v>3137.0667509106829</v>
      </c>
      <c r="H240">
        <f t="shared" si="77"/>
        <v>15</v>
      </c>
      <c r="I240">
        <f t="shared" si="78"/>
        <v>47056.001263660241</v>
      </c>
      <c r="J240">
        <v>686621.09400000004</v>
      </c>
      <c r="K240" s="33">
        <f t="shared" si="79"/>
        <v>6.8532705556028597E-2</v>
      </c>
      <c r="L240" s="33">
        <f t="shared" si="80"/>
        <v>6.8532705556028599</v>
      </c>
    </row>
    <row r="243" spans="1:12" ht="30">
      <c r="A243" t="s">
        <v>170</v>
      </c>
      <c r="B243" t="s">
        <v>26</v>
      </c>
      <c r="C243" t="s">
        <v>20</v>
      </c>
      <c r="D243" t="s">
        <v>103</v>
      </c>
      <c r="E243" t="s">
        <v>21</v>
      </c>
      <c r="F243" t="s">
        <v>104</v>
      </c>
      <c r="G243" t="s">
        <v>6</v>
      </c>
      <c r="H243" t="s">
        <v>22</v>
      </c>
      <c r="I243" t="s">
        <v>23</v>
      </c>
      <c r="J243" t="s">
        <v>9</v>
      </c>
      <c r="K243" s="2" t="s">
        <v>24</v>
      </c>
      <c r="L243" s="2" t="s">
        <v>25</v>
      </c>
    </row>
    <row r="244" spans="1:12">
      <c r="C244">
        <v>367.44</v>
      </c>
      <c r="E244">
        <f t="shared" ref="E244:E249" si="81">C244/2</f>
        <v>183.72</v>
      </c>
      <c r="G244" s="8">
        <f t="shared" ref="G244:G249" si="82">PI()*E244*E244</f>
        <v>106038.29747377418</v>
      </c>
      <c r="I244" s="34"/>
    </row>
    <row r="245" spans="1:12">
      <c r="C245">
        <v>128.316</v>
      </c>
      <c r="E245">
        <f t="shared" si="81"/>
        <v>64.158000000000001</v>
      </c>
      <c r="G245" s="8">
        <f t="shared" si="82"/>
        <v>12931.577505648997</v>
      </c>
    </row>
    <row r="246" spans="1:12">
      <c r="C246">
        <v>212.00200000000001</v>
      </c>
      <c r="E246">
        <f t="shared" si="81"/>
        <v>106.001</v>
      </c>
      <c r="G246" s="8">
        <f t="shared" si="82"/>
        <v>35299.601076519073</v>
      </c>
    </row>
    <row r="247" spans="1:12">
      <c r="C247">
        <v>161.208</v>
      </c>
      <c r="E247">
        <f t="shared" si="81"/>
        <v>80.603999999999999</v>
      </c>
      <c r="G247" s="8">
        <f t="shared" si="82"/>
        <v>20410.942600283106</v>
      </c>
    </row>
    <row r="248" spans="1:12">
      <c r="C248">
        <v>153.57400000000001</v>
      </c>
      <c r="E248">
        <f t="shared" si="81"/>
        <v>76.787000000000006</v>
      </c>
      <c r="G248" s="8">
        <f t="shared" si="82"/>
        <v>18523.594851827937</v>
      </c>
    </row>
    <row r="249" spans="1:12">
      <c r="C249">
        <v>84.906000000000006</v>
      </c>
      <c r="E249">
        <f t="shared" si="81"/>
        <v>42.453000000000003</v>
      </c>
      <c r="G249" s="8">
        <f t="shared" si="82"/>
        <v>5661.9580076736447</v>
      </c>
    </row>
    <row r="250" spans="1:12">
      <c r="A250" s="32" t="s">
        <v>91</v>
      </c>
      <c r="B250" s="32">
        <f>COUNT(C233:C249)</f>
        <v>13</v>
      </c>
      <c r="C250" s="32">
        <f>AVERAGE(C244:C249)</f>
        <v>184.57433333333333</v>
      </c>
      <c r="D250" s="32"/>
      <c r="E250" s="32">
        <f>AVERAGE(E244:E249)</f>
        <v>92.287166666666664</v>
      </c>
      <c r="F250" s="32"/>
      <c r="G250" s="32">
        <f>AVERAGE(G244:G249)</f>
        <v>33144.328585954492</v>
      </c>
      <c r="H250" s="32">
        <f>B250</f>
        <v>13</v>
      </c>
      <c r="I250" s="35">
        <f>H250*G250</f>
        <v>430876.27161740838</v>
      </c>
      <c r="J250">
        <v>13795478.818</v>
      </c>
      <c r="K250" s="32">
        <f>I250/J250</f>
        <v>3.1233150896887441E-2</v>
      </c>
      <c r="L250" s="32">
        <f>K250*100</f>
        <v>3.1233150896887443</v>
      </c>
    </row>
    <row r="251" spans="1:12">
      <c r="A251" s="8" t="s">
        <v>102</v>
      </c>
      <c r="B251">
        <f>COUNTIF(C244:C249,"&gt;"&amp;$B$6)</f>
        <v>1</v>
      </c>
      <c r="C251" s="8">
        <f>AVERAGEIF(C244:C249,"&gt;"&amp;$B$6)</f>
        <v>367.44</v>
      </c>
      <c r="D251" s="8"/>
      <c r="E251" s="8">
        <f>AVERAGEIF(C244:C249,"&gt;"&amp;$B$6,E244:E249)</f>
        <v>183.72</v>
      </c>
      <c r="F251" s="8"/>
      <c r="G251" s="8">
        <f>AVERAGEIF(C244:C249,"&gt;"&amp;$B$6,G244:G249)</f>
        <v>106038.29747377418</v>
      </c>
      <c r="H251">
        <f>B251</f>
        <v>1</v>
      </c>
      <c r="I251">
        <f>H251*G251</f>
        <v>106038.29747377418</v>
      </c>
      <c r="J251">
        <v>13795478.818</v>
      </c>
      <c r="K251" s="72">
        <f>I251/J251</f>
        <v>7.686452849713199E-3</v>
      </c>
      <c r="L251" s="72">
        <f>K251*100</f>
        <v>0.7686452849713199</v>
      </c>
    </row>
    <row r="252" spans="1:12">
      <c r="A252" t="s">
        <v>27</v>
      </c>
      <c r="B252">
        <f>COUNTIF(C244:C249,"&gt;"&amp;$B$7)-COUNTIF(C244:C249,"&gt;"&amp;$B$6)</f>
        <v>4</v>
      </c>
      <c r="C252">
        <f>AVERAGEIFS(C244:C249,C244:C249,"&gt;"&amp;$B$7,C244:C249,"&lt;"&amp;$B$6)</f>
        <v>163.77499999999998</v>
      </c>
      <c r="E252">
        <f>AVERAGEIFS(E244:E249,C244:C249,"&gt;"&amp;$B$7,C244:C249,"&lt;"&amp;$B$6)</f>
        <v>81.887499999999989</v>
      </c>
      <c r="G252">
        <f>AVERAGEIFS(G244:G249,C244:C249,"&gt;"&amp;$B$7,C244:C249,"&lt;"&amp;$B$6)</f>
        <v>21791.429008569776</v>
      </c>
      <c r="H252">
        <f t="shared" ref="H252:H253" si="83">B252</f>
        <v>4</v>
      </c>
      <c r="I252">
        <f t="shared" ref="I252:I253" si="84">H252*G252</f>
        <v>87165.716034279103</v>
      </c>
      <c r="J252">
        <v>13795478.818</v>
      </c>
      <c r="K252" s="33">
        <f t="shared" ref="K252:K253" si="85">I252/J252</f>
        <v>6.3184262890931655E-3</v>
      </c>
      <c r="L252" s="33">
        <f t="shared" ref="L252:L253" si="86">K252*100</f>
        <v>0.63184262890931653</v>
      </c>
    </row>
    <row r="253" spans="1:12">
      <c r="A253" s="34" t="s">
        <v>28</v>
      </c>
      <c r="B253">
        <f>COUNTIF(C244:C249,"&gt;"&amp;$B$8)-COUNTIF(C244:C249,"&gt;"&amp;$B$7)</f>
        <v>1</v>
      </c>
      <c r="C253">
        <f>AVERAGEIFS(C244:C249,C244:C249,"&gt;"&amp;$B$8,C244:C249,"&lt;"&amp;$B$7)</f>
        <v>84.906000000000006</v>
      </c>
      <c r="E253">
        <f>AVERAGEIFS(E244:E249,C244:C249,"&gt;"&amp;$B$8,C244:C249,"&lt;"&amp;$B$7)</f>
        <v>42.453000000000003</v>
      </c>
      <c r="G253">
        <f>AVERAGEIFS(G244:G249,C244:C249,"&gt;"&amp;$B$8,C244:C249,"&lt;"&amp;$B$7)</f>
        <v>5661.9580076736447</v>
      </c>
      <c r="H253">
        <f t="shared" si="83"/>
        <v>1</v>
      </c>
      <c r="I253">
        <f t="shared" si="84"/>
        <v>5661.9580076736447</v>
      </c>
      <c r="J253">
        <v>13795478.818</v>
      </c>
      <c r="K253" s="33">
        <f t="shared" si="85"/>
        <v>4.1042127514168348E-4</v>
      </c>
      <c r="L253" s="33">
        <f t="shared" si="86"/>
        <v>4.1042127514168344E-2</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P87"/>
  <sheetViews>
    <sheetView topLeftCell="A8" workbookViewId="0">
      <selection activeCell="C30" sqref="C30"/>
    </sheetView>
  </sheetViews>
  <sheetFormatPr baseColWidth="10" defaultColWidth="11" defaultRowHeight="15" x14ac:dyDescent="0"/>
  <cols>
    <col min="1" max="1" width="24.1640625" customWidth="1"/>
    <col min="3" max="3" width="9.83203125" customWidth="1"/>
    <col min="5" max="5" width="12.6640625" customWidth="1"/>
    <col min="7" max="7" width="18.33203125" customWidth="1"/>
    <col min="8" max="8" width="14.1640625" customWidth="1"/>
    <col min="9" max="9" width="15.33203125" customWidth="1"/>
    <col min="10" max="10" width="16.83203125" customWidth="1"/>
  </cols>
  <sheetData>
    <row r="2" spans="1:10">
      <c r="A2" t="s">
        <v>29</v>
      </c>
    </row>
    <row r="3" spans="1:10">
      <c r="A3" t="s">
        <v>155</v>
      </c>
    </row>
    <row r="4" spans="1:10">
      <c r="A4" t="s">
        <v>249</v>
      </c>
    </row>
    <row r="5" spans="1:10">
      <c r="A5" s="67"/>
    </row>
    <row r="6" spans="1:10">
      <c r="A6" s="67" t="s">
        <v>250</v>
      </c>
    </row>
    <row r="7" spans="1:10">
      <c r="A7" t="s">
        <v>251</v>
      </c>
    </row>
    <row r="8" spans="1:10">
      <c r="A8" t="s">
        <v>154</v>
      </c>
    </row>
    <row r="12" spans="1:10">
      <c r="A12" t="s">
        <v>3</v>
      </c>
    </row>
    <row r="13" spans="1:10">
      <c r="A13" s="3"/>
      <c r="C13" s="8"/>
      <c r="D13" s="8"/>
      <c r="E13" s="8"/>
      <c r="F13" s="8"/>
      <c r="G13" s="8"/>
      <c r="H13" s="15"/>
      <c r="I13" s="14"/>
      <c r="J13" s="13"/>
    </row>
    <row r="14" spans="1:10">
      <c r="A14" t="s">
        <v>45</v>
      </c>
    </row>
    <row r="15" spans="1:10" ht="46" thickBot="1">
      <c r="A15" s="87" t="s">
        <v>19</v>
      </c>
      <c r="B15" s="88" t="s">
        <v>157</v>
      </c>
      <c r="C15" s="88" t="s">
        <v>158</v>
      </c>
      <c r="D15" s="88" t="s">
        <v>159</v>
      </c>
      <c r="E15" s="88" t="s">
        <v>174</v>
      </c>
    </row>
    <row r="16" spans="1:10" ht="16" thickTop="1">
      <c r="A16" s="85" t="str">
        <f>A33</f>
        <v>Np1-osc2-1411.26.12</v>
      </c>
      <c r="B16" s="78">
        <f>B38</f>
        <v>4.0973999999999995</v>
      </c>
      <c r="C16" s="78">
        <f t="shared" ref="C16:D16" si="0">C38</f>
        <v>3.8171999999999997</v>
      </c>
      <c r="D16" s="78">
        <f t="shared" si="0"/>
        <v>49.556130942449094</v>
      </c>
      <c r="E16" s="79"/>
    </row>
    <row r="17" spans="1:16">
      <c r="A17" s="78" t="str">
        <f>A40</f>
        <v>Np1-osc1-19</v>
      </c>
      <c r="B17" s="78">
        <f>B47</f>
        <v>3.2922857142857143</v>
      </c>
      <c r="C17" s="78">
        <f t="shared" ref="C17:D17" si="1">C47</f>
        <v>3.3307142857142864</v>
      </c>
      <c r="D17" s="78">
        <f t="shared" si="1"/>
        <v>39.353326879603188</v>
      </c>
      <c r="E17" s="79"/>
    </row>
    <row r="18" spans="1:16">
      <c r="A18" s="86" t="str">
        <f>A49</f>
        <v>Np1-osc2-2111.26.12</v>
      </c>
      <c r="B18" s="79">
        <f>B54</f>
        <v>3.7930000000000006</v>
      </c>
      <c r="C18" s="79">
        <f>C54</f>
        <v>3.2290000000000001</v>
      </c>
      <c r="D18" s="79">
        <f>D54</f>
        <v>40.525798160575313</v>
      </c>
      <c r="E18" s="79"/>
    </row>
    <row r="19" spans="1:16">
      <c r="A19" s="79" t="s">
        <v>171</v>
      </c>
      <c r="B19" s="79">
        <f>B75</f>
        <v>4.2277777777777779</v>
      </c>
      <c r="C19" s="79">
        <f t="shared" ref="C19:D19" si="2">C75</f>
        <v>2.9903888888888885</v>
      </c>
      <c r="D19" s="79">
        <f t="shared" si="2"/>
        <v>42.415990159364185</v>
      </c>
      <c r="E19" s="79"/>
    </row>
    <row r="20" spans="1:16">
      <c r="A20" s="79" t="str">
        <f>A78</f>
        <v>Np1-cor1-11</v>
      </c>
      <c r="B20" s="79"/>
      <c r="C20" s="79"/>
      <c r="D20" s="79"/>
      <c r="E20" s="79">
        <f>G87</f>
        <v>33.619299581710429</v>
      </c>
    </row>
    <row r="21" spans="1:16">
      <c r="A21" t="s">
        <v>149</v>
      </c>
      <c r="B21" s="64">
        <f>AVERAGE(B16:B19)</f>
        <v>3.852615873015873</v>
      </c>
      <c r="C21" s="64">
        <f>AVERAGE(C16:C19)</f>
        <v>3.3418257936507936</v>
      </c>
      <c r="D21" s="64">
        <f>AVERAGE(D16:D19)</f>
        <v>42.962811535497941</v>
      </c>
      <c r="E21" s="64">
        <f>E20</f>
        <v>33.619299581710429</v>
      </c>
    </row>
    <row r="22" spans="1:16">
      <c r="B22" s="18"/>
      <c r="C22" s="18"/>
      <c r="D22" s="18"/>
      <c r="E22" s="18"/>
      <c r="F22" s="18"/>
      <c r="G22" s="18"/>
      <c r="H22" s="18"/>
      <c r="I22" s="18"/>
      <c r="J22" s="18"/>
      <c r="K22" s="18"/>
      <c r="L22" s="18"/>
      <c r="M22" s="18"/>
      <c r="N22" s="18"/>
      <c r="O22" s="18"/>
      <c r="P22" s="18"/>
    </row>
    <row r="23" spans="1:16">
      <c r="B23" s="18"/>
      <c r="C23" s="18"/>
      <c r="D23" s="18"/>
      <c r="E23" s="18"/>
      <c r="F23" s="18"/>
      <c r="G23" s="18"/>
      <c r="H23" s="18"/>
      <c r="I23" s="18"/>
      <c r="J23" s="18"/>
      <c r="K23" s="18"/>
      <c r="L23" s="18"/>
      <c r="M23" s="18"/>
      <c r="N23" s="18"/>
      <c r="O23" s="18"/>
      <c r="P23" s="18"/>
    </row>
    <row r="24" spans="1:16">
      <c r="A24" t="s">
        <v>252</v>
      </c>
      <c r="B24" s="115">
        <f>Apopyle!F12</f>
        <v>212.35981083473393</v>
      </c>
      <c r="C24" s="18"/>
      <c r="D24" s="18"/>
      <c r="E24" s="18"/>
      <c r="F24" s="18"/>
      <c r="G24" s="18"/>
      <c r="H24" s="18"/>
      <c r="I24" s="18"/>
      <c r="J24" s="18"/>
      <c r="K24" s="18"/>
      <c r="L24" s="18"/>
      <c r="M24" s="18"/>
      <c r="N24" s="18"/>
      <c r="O24" s="18"/>
      <c r="P24" s="18"/>
    </row>
    <row r="25" spans="1:16">
      <c r="A25" t="s">
        <v>253</v>
      </c>
      <c r="B25" s="18">
        <f>'Choanocyte Chambers'!M12</f>
        <v>1713.2869161850338</v>
      </c>
      <c r="C25" s="18"/>
      <c r="D25" s="18"/>
      <c r="E25" s="18"/>
      <c r="F25" s="18"/>
      <c r="G25" s="18"/>
      <c r="H25" s="18"/>
      <c r="I25" s="18"/>
      <c r="J25" s="18"/>
      <c r="K25" s="18"/>
      <c r="L25" s="18"/>
      <c r="M25" s="18"/>
      <c r="N25" s="18"/>
      <c r="O25" s="18"/>
      <c r="P25" s="18"/>
    </row>
    <row r="26" spans="1:16">
      <c r="A26" t="s">
        <v>256</v>
      </c>
      <c r="B26" s="115">
        <f>B25-B24</f>
        <v>1500.9271053502998</v>
      </c>
      <c r="C26" s="18" t="s">
        <v>254</v>
      </c>
      <c r="D26" s="18"/>
      <c r="E26" s="18"/>
      <c r="F26" s="18"/>
      <c r="G26" s="18"/>
      <c r="H26" s="18"/>
      <c r="I26" s="18"/>
      <c r="J26" s="18"/>
      <c r="K26" s="18"/>
      <c r="L26" s="18"/>
      <c r="M26" s="18"/>
      <c r="N26" s="18"/>
      <c r="O26" s="18"/>
      <c r="P26" s="18"/>
    </row>
    <row r="28" spans="1:16" ht="49">
      <c r="A28" s="93"/>
      <c r="B28" s="89" t="s">
        <v>175</v>
      </c>
      <c r="C28" s="89" t="s">
        <v>176</v>
      </c>
      <c r="D28" s="89" t="s">
        <v>177</v>
      </c>
      <c r="E28" s="90" t="s">
        <v>178</v>
      </c>
    </row>
    <row r="29" spans="1:16">
      <c r="A29" s="93"/>
      <c r="B29" s="91">
        <f>'Choanocyte Chambers'!G12</f>
        <v>9792.3168534402084</v>
      </c>
      <c r="C29" s="91">
        <f>(E21/100)*B26</f>
        <v>504.60118005081176</v>
      </c>
      <c r="D29" s="92">
        <f>B29*C29</f>
        <v>4941214.6396773811</v>
      </c>
      <c r="E29" s="94">
        <f>D29/1000000</f>
        <v>4.9412146396773808</v>
      </c>
    </row>
    <row r="31" spans="1:16">
      <c r="A31" t="s">
        <v>45</v>
      </c>
    </row>
    <row r="32" spans="1:16" ht="46" thickBot="1">
      <c r="A32" s="65" t="s">
        <v>19</v>
      </c>
      <c r="B32" s="66" t="s">
        <v>157</v>
      </c>
      <c r="C32" s="66" t="s">
        <v>158</v>
      </c>
      <c r="D32" s="66" t="s">
        <v>159</v>
      </c>
      <c r="E32" s="66" t="s">
        <v>160</v>
      </c>
    </row>
    <row r="33" spans="1:5" ht="16" thickTop="1">
      <c r="A33" t="s">
        <v>156</v>
      </c>
      <c r="B33">
        <v>3.2989999999999999</v>
      </c>
      <c r="C33">
        <v>3.3460000000000001</v>
      </c>
      <c r="D33">
        <f>PI()*B33*C33</f>
        <v>34.678325993388867</v>
      </c>
      <c r="E33">
        <v>5</v>
      </c>
    </row>
    <row r="34" spans="1:5">
      <c r="A34" t="s">
        <v>161</v>
      </c>
      <c r="B34">
        <v>3.8980000000000001</v>
      </c>
      <c r="C34">
        <v>3.524</v>
      </c>
      <c r="D34">
        <f t="shared" ref="D34:D53" si="3">PI()*B34*C34</f>
        <v>43.154650848854182</v>
      </c>
    </row>
    <row r="35" spans="1:5">
      <c r="B35">
        <v>4.8120000000000003</v>
      </c>
      <c r="C35">
        <v>3.738</v>
      </c>
      <c r="D35">
        <f t="shared" si="3"/>
        <v>56.508631307838932</v>
      </c>
    </row>
    <row r="36" spans="1:5">
      <c r="B36">
        <v>4.5309999999999997</v>
      </c>
      <c r="C36">
        <v>4.5309999999999997</v>
      </c>
      <c r="D36">
        <f t="shared" si="3"/>
        <v>64.496774656084952</v>
      </c>
    </row>
    <row r="37" spans="1:5">
      <c r="B37">
        <v>3.9470000000000001</v>
      </c>
      <c r="C37">
        <v>3.9470000000000001</v>
      </c>
      <c r="D37">
        <f t="shared" si="3"/>
        <v>48.942271906078552</v>
      </c>
    </row>
    <row r="38" spans="1:5">
      <c r="B38" s="7">
        <f>AVERAGE(B33:B37)</f>
        <v>4.0973999999999995</v>
      </c>
      <c r="C38" s="7">
        <f>AVERAGE(C33:C37)</f>
        <v>3.8171999999999997</v>
      </c>
      <c r="D38" s="7">
        <f>AVERAGE(D33:D37)</f>
        <v>49.556130942449094</v>
      </c>
      <c r="E38" s="7"/>
    </row>
    <row r="40" spans="1:5">
      <c r="A40" s="7" t="s">
        <v>162</v>
      </c>
      <c r="B40" s="7">
        <v>5.3630000000000004</v>
      </c>
      <c r="C40" s="7">
        <v>5.98</v>
      </c>
      <c r="D40" s="7">
        <f t="shared" si="3"/>
        <v>100.75320117918834</v>
      </c>
      <c r="E40" s="7">
        <v>16</v>
      </c>
    </row>
    <row r="41" spans="1:5">
      <c r="B41">
        <v>3.073</v>
      </c>
      <c r="C41">
        <v>2.1230000000000002</v>
      </c>
      <c r="D41">
        <f t="shared" si="3"/>
        <v>20.495684498574086</v>
      </c>
    </row>
    <row r="42" spans="1:5">
      <c r="B42">
        <v>2.0670000000000002</v>
      </c>
      <c r="C42">
        <v>1.4950000000000001</v>
      </c>
      <c r="D42">
        <f t="shared" si="3"/>
        <v>9.7080396623803047</v>
      </c>
    </row>
    <row r="43" spans="1:5">
      <c r="B43">
        <v>2.4470000000000001</v>
      </c>
      <c r="C43">
        <v>2.1110000000000002</v>
      </c>
      <c r="D43">
        <f t="shared" si="3"/>
        <v>16.228264418458551</v>
      </c>
    </row>
    <row r="44" spans="1:5">
      <c r="B44">
        <v>4.2240000000000002</v>
      </c>
      <c r="C44">
        <v>4.3959999999999999</v>
      </c>
      <c r="D44">
        <f t="shared" si="3"/>
        <v>58.335304073083407</v>
      </c>
    </row>
    <row r="45" spans="1:5">
      <c r="B45">
        <v>2.0489999999999999</v>
      </c>
      <c r="C45">
        <v>2.9860000000000002</v>
      </c>
      <c r="D45">
        <f t="shared" si="3"/>
        <v>19.221250314755583</v>
      </c>
    </row>
    <row r="46" spans="1:5">
      <c r="B46">
        <v>3.823</v>
      </c>
      <c r="C46" s="3">
        <v>4.2240000000000002</v>
      </c>
      <c r="D46">
        <f t="shared" si="3"/>
        <v>50.731544010782038</v>
      </c>
    </row>
    <row r="47" spans="1:5">
      <c r="B47" s="7">
        <f>AVERAGE(B40:B46)</f>
        <v>3.2922857142857143</v>
      </c>
      <c r="C47" s="7">
        <f>AVERAGE(C40:C46)</f>
        <v>3.3307142857142864</v>
      </c>
      <c r="D47" s="7">
        <f>AVERAGE(D40:D46)</f>
        <v>39.353326879603188</v>
      </c>
    </row>
    <row r="49" spans="1:5">
      <c r="A49" s="7" t="s">
        <v>164</v>
      </c>
      <c r="B49" s="7">
        <v>5.3070000000000004</v>
      </c>
      <c r="C49" s="7">
        <v>4.8209999999999997</v>
      </c>
      <c r="D49" s="7">
        <f t="shared" si="3"/>
        <v>80.377795696949576</v>
      </c>
      <c r="E49" s="7">
        <f>5</f>
        <v>5</v>
      </c>
    </row>
    <row r="50" spans="1:5">
      <c r="B50">
        <v>3.415</v>
      </c>
      <c r="C50">
        <v>2.8580000000000001</v>
      </c>
      <c r="D50">
        <f t="shared" si="3"/>
        <v>30.662164210522135</v>
      </c>
    </row>
    <row r="51" spans="1:5">
      <c r="B51">
        <v>3.399</v>
      </c>
      <c r="C51">
        <v>3.4079999999999999</v>
      </c>
      <c r="D51">
        <f t="shared" si="3"/>
        <v>36.391555847912215</v>
      </c>
    </row>
    <row r="52" spans="1:5">
      <c r="B52">
        <v>2.8610000000000002</v>
      </c>
      <c r="C52">
        <v>2.2959999999999998</v>
      </c>
      <c r="D52">
        <f t="shared" si="3"/>
        <v>20.636669752089233</v>
      </c>
    </row>
    <row r="53" spans="1:5">
      <c r="B53">
        <v>3.9830000000000001</v>
      </c>
      <c r="C53">
        <v>2.762</v>
      </c>
      <c r="D53">
        <f t="shared" si="3"/>
        <v>34.560805295403377</v>
      </c>
    </row>
    <row r="54" spans="1:5">
      <c r="B54" s="7">
        <f>AVERAGE(B49:B53)</f>
        <v>3.7930000000000006</v>
      </c>
      <c r="C54" s="7">
        <f>AVERAGE(C49:C53)</f>
        <v>3.2290000000000001</v>
      </c>
      <c r="D54" s="7">
        <f>AVERAGE(D49:D53)</f>
        <v>40.525798160575313</v>
      </c>
    </row>
    <row r="57" spans="1:5">
      <c r="A57" s="7" t="s">
        <v>171</v>
      </c>
      <c r="B57" s="7">
        <v>4.9989999999999997</v>
      </c>
      <c r="C57" s="7">
        <v>3.6629999999999998</v>
      </c>
      <c r="D57" s="7">
        <f t="shared" ref="D57:D74" si="4">PI()*B57*C57</f>
        <v>57.526761796606955</v>
      </c>
      <c r="E57" s="7">
        <f>COUNT(B57:B74)</f>
        <v>18</v>
      </c>
    </row>
    <row r="58" spans="1:5">
      <c r="B58">
        <v>3.7869999999999999</v>
      </c>
      <c r="C58">
        <v>2.5790000000000002</v>
      </c>
      <c r="D58">
        <f t="shared" si="4"/>
        <v>30.682908146813784</v>
      </c>
    </row>
    <row r="59" spans="1:5">
      <c r="B59">
        <v>3.8069999999999999</v>
      </c>
      <c r="C59">
        <v>3.8069999999999999</v>
      </c>
      <c r="D59">
        <f t="shared" si="4"/>
        <v>45.531884585047614</v>
      </c>
    </row>
    <row r="60" spans="1:5">
      <c r="B60">
        <v>5.21</v>
      </c>
      <c r="C60">
        <v>5.21</v>
      </c>
      <c r="D60">
        <f t="shared" si="4"/>
        <v>85.275705148306713</v>
      </c>
    </row>
    <row r="61" spans="1:5">
      <c r="B61">
        <v>5.9589999999999996</v>
      </c>
      <c r="C61">
        <v>5.899</v>
      </c>
      <c r="D61">
        <f t="shared" si="4"/>
        <v>110.43370792355256</v>
      </c>
    </row>
    <row r="62" spans="1:5">
      <c r="B62">
        <v>3.7669999999999999</v>
      </c>
      <c r="C62">
        <v>2.915</v>
      </c>
      <c r="D62">
        <f t="shared" si="4"/>
        <v>34.497216318502069</v>
      </c>
    </row>
    <row r="63" spans="1:5">
      <c r="B63">
        <v>2.2360000000000002</v>
      </c>
      <c r="C63">
        <v>1.754</v>
      </c>
      <c r="D63">
        <f t="shared" si="4"/>
        <v>12.321150458190569</v>
      </c>
    </row>
    <row r="64" spans="1:5">
      <c r="B64">
        <v>4.1689999999999996</v>
      </c>
      <c r="C64">
        <v>2.7240000000000002</v>
      </c>
      <c r="D64">
        <f t="shared" si="4"/>
        <v>35.677044581150369</v>
      </c>
    </row>
    <row r="65" spans="1:7">
      <c r="B65">
        <v>4.34</v>
      </c>
      <c r="C65">
        <v>3.3330000000000002</v>
      </c>
      <c r="D65">
        <f t="shared" si="4"/>
        <v>45.443828884560148</v>
      </c>
    </row>
    <row r="66" spans="1:7">
      <c r="B66">
        <v>4.3840000000000003</v>
      </c>
      <c r="C66">
        <v>3.605</v>
      </c>
      <c r="D66">
        <f t="shared" si="4"/>
        <v>49.650735606982245</v>
      </c>
    </row>
    <row r="67" spans="1:7">
      <c r="B67">
        <v>4.9989999999999997</v>
      </c>
      <c r="C67">
        <v>4.7469999999999999</v>
      </c>
      <c r="D67">
        <f t="shared" si="4"/>
        <v>74.550788492627134</v>
      </c>
    </row>
    <row r="68" spans="1:7">
      <c r="B68">
        <v>6.2880000000000003</v>
      </c>
      <c r="C68">
        <v>3.2349999999999999</v>
      </c>
      <c r="D68">
        <f t="shared" si="4"/>
        <v>63.90527244967442</v>
      </c>
    </row>
    <row r="69" spans="1:7">
      <c r="B69">
        <v>5.657</v>
      </c>
      <c r="C69">
        <v>1.1759999999999999</v>
      </c>
      <c r="D69">
        <f t="shared" si="4"/>
        <v>20.899859818236372</v>
      </c>
    </row>
    <row r="70" spans="1:7">
      <c r="B70">
        <v>3.3530000000000002</v>
      </c>
      <c r="C70">
        <v>1.4710000000000001</v>
      </c>
      <c r="D70">
        <f t="shared" si="4"/>
        <v>15.495161206372755</v>
      </c>
    </row>
    <row r="71" spans="1:7">
      <c r="B71">
        <v>2.7120000000000002</v>
      </c>
      <c r="C71">
        <v>1.248</v>
      </c>
      <c r="D71">
        <f t="shared" si="4"/>
        <v>10.632959097116329</v>
      </c>
    </row>
    <row r="72" spans="1:7">
      <c r="B72">
        <v>3.43</v>
      </c>
      <c r="C72">
        <v>2.08</v>
      </c>
      <c r="D72">
        <f t="shared" si="4"/>
        <v>22.413378627771024</v>
      </c>
    </row>
    <row r="73" spans="1:7">
      <c r="B73">
        <v>2.3530000000000002</v>
      </c>
      <c r="C73">
        <v>2.141</v>
      </c>
      <c r="D73">
        <f t="shared" si="4"/>
        <v>15.826630647253014</v>
      </c>
    </row>
    <row r="74" spans="1:7">
      <c r="B74" s="68">
        <v>4.6500000000000004</v>
      </c>
      <c r="C74" s="68">
        <v>2.2400000000000002</v>
      </c>
      <c r="D74" s="68">
        <f t="shared" si="4"/>
        <v>32.722829079791289</v>
      </c>
    </row>
    <row r="75" spans="1:7">
      <c r="B75">
        <f>AVERAGE(B57:B74)</f>
        <v>4.2277777777777779</v>
      </c>
      <c r="C75">
        <f t="shared" ref="C75:D75" si="5">AVERAGE(C57:C74)</f>
        <v>2.9903888888888885</v>
      </c>
      <c r="D75">
        <f t="shared" si="5"/>
        <v>42.415990159364185</v>
      </c>
    </row>
    <row r="77" spans="1:7" ht="46" thickBot="1">
      <c r="A77" s="65" t="s">
        <v>19</v>
      </c>
      <c r="B77" s="66" t="s">
        <v>157</v>
      </c>
      <c r="C77" s="66" t="s">
        <v>158</v>
      </c>
      <c r="D77" s="66" t="s">
        <v>159</v>
      </c>
      <c r="E77" s="66" t="s">
        <v>172</v>
      </c>
      <c r="F77" s="69" t="s">
        <v>173</v>
      </c>
      <c r="G77" s="66" t="s">
        <v>174</v>
      </c>
    </row>
    <row r="78" spans="1:7" ht="16" thickTop="1">
      <c r="A78" t="s">
        <v>186</v>
      </c>
      <c r="B78">
        <v>1.8779999999999999</v>
      </c>
      <c r="C78">
        <v>2.0499999999999998</v>
      </c>
      <c r="D78" s="8">
        <f t="shared" ref="D78:D85" si="6">PI()*B78*C78</f>
        <v>12.094817557055343</v>
      </c>
      <c r="E78">
        <v>14.103999999999999</v>
      </c>
    </row>
    <row r="79" spans="1:7">
      <c r="B79">
        <v>1.4390000000000001</v>
      </c>
      <c r="C79">
        <v>1.996</v>
      </c>
      <c r="D79" s="8">
        <f t="shared" si="6"/>
        <v>9.0234206497173624</v>
      </c>
      <c r="E79">
        <v>19.378</v>
      </c>
    </row>
    <row r="80" spans="1:7">
      <c r="B80">
        <v>2.0129999999999999</v>
      </c>
      <c r="C80">
        <v>1.988</v>
      </c>
      <c r="D80" s="8">
        <f t="shared" si="6"/>
        <v>12.572163711212392</v>
      </c>
    </row>
    <row r="81" spans="2:7">
      <c r="B81">
        <v>1.7010000000000001</v>
      </c>
      <c r="C81">
        <v>1.3360000000000001</v>
      </c>
      <c r="D81" s="8">
        <f t="shared" si="6"/>
        <v>7.1393824026183346</v>
      </c>
    </row>
    <row r="82" spans="2:7">
      <c r="B82">
        <v>1.968</v>
      </c>
      <c r="C82">
        <v>1.0780000000000001</v>
      </c>
      <c r="D82" s="8">
        <f t="shared" si="6"/>
        <v>6.6649013809613606</v>
      </c>
    </row>
    <row r="83" spans="2:7">
      <c r="B83">
        <v>2.71</v>
      </c>
      <c r="C83">
        <v>1.177</v>
      </c>
      <c r="D83" s="8">
        <f t="shared" si="6"/>
        <v>10.020643839375756</v>
      </c>
    </row>
    <row r="84" spans="2:7">
      <c r="B84">
        <v>1.31</v>
      </c>
      <c r="C84">
        <v>1.994</v>
      </c>
      <c r="D84" s="8">
        <f t="shared" si="6"/>
        <v>8.2062798341480416</v>
      </c>
    </row>
    <row r="85" spans="2:7">
      <c r="B85">
        <v>1.863</v>
      </c>
      <c r="C85">
        <v>1.101</v>
      </c>
      <c r="D85" s="8">
        <f t="shared" si="6"/>
        <v>6.4439186121152012</v>
      </c>
    </row>
    <row r="86" spans="2:7">
      <c r="B86" s="68"/>
      <c r="C86" s="68"/>
      <c r="D86" s="68"/>
      <c r="E86" s="68"/>
      <c r="F86" s="68"/>
      <c r="G86" s="68"/>
    </row>
    <row r="87" spans="2:7">
      <c r="C87" t="s">
        <v>255</v>
      </c>
      <c r="D87">
        <f>SUM(D78:D86)</f>
        <v>72.165527987203802</v>
      </c>
      <c r="E87">
        <f>AVERAGE(E78:E79)</f>
        <v>16.741</v>
      </c>
      <c r="F87">
        <f>PI()*(E78/2)*(E79/2)</f>
        <v>214.65506088789337</v>
      </c>
      <c r="G87">
        <f>D87/F87*100</f>
        <v>33.619299581710429</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U1048576"/>
  <sheetViews>
    <sheetView workbookViewId="0">
      <selection activeCell="F12" sqref="F12"/>
    </sheetView>
  </sheetViews>
  <sheetFormatPr baseColWidth="10" defaultColWidth="11" defaultRowHeight="15" x14ac:dyDescent="0.75"/>
  <cols>
    <col min="1" max="1" width="21.83203125" customWidth="1"/>
    <col min="2" max="2" width="13.5" customWidth="1"/>
    <col min="3" max="3" width="13.1640625" customWidth="1"/>
    <col min="4" max="4" width="13" customWidth="1"/>
    <col min="5" max="5" width="14.1640625" customWidth="1"/>
    <col min="6" max="6" width="16.6640625" customWidth="1"/>
    <col min="7" max="7" width="13.83203125" customWidth="1"/>
    <col min="8" max="8" width="13.1640625" customWidth="1"/>
    <col min="9" max="9" width="14" customWidth="1"/>
    <col min="10" max="10" width="14.1640625" customWidth="1"/>
    <col min="11" max="11" width="14" customWidth="1"/>
    <col min="12" max="13" width="15.5" customWidth="1"/>
    <col min="14" max="16" width="15" customWidth="1"/>
    <col min="17" max="17" width="16.6640625" customWidth="1"/>
    <col min="18" max="18" width="14.83203125" customWidth="1"/>
    <col min="19" max="19" width="14.5" customWidth="1"/>
    <col min="20" max="20" width="17" customWidth="1"/>
  </cols>
  <sheetData>
    <row r="2" spans="1:20">
      <c r="A2" t="s">
        <v>180</v>
      </c>
    </row>
    <row r="3" spans="1:20">
      <c r="A3" t="s">
        <v>192</v>
      </c>
    </row>
    <row r="4" spans="1:20">
      <c r="A4" t="s">
        <v>179</v>
      </c>
    </row>
    <row r="8" spans="1:20">
      <c r="A8" t="s">
        <v>30</v>
      </c>
    </row>
    <row r="10" spans="1:20">
      <c r="A10" t="s">
        <v>3</v>
      </c>
    </row>
    <row r="11" spans="1:20" ht="61" thickBot="1">
      <c r="A11" s="9" t="s">
        <v>19</v>
      </c>
      <c r="B11" s="9" t="s">
        <v>31</v>
      </c>
      <c r="C11" s="9" t="s">
        <v>32</v>
      </c>
      <c r="D11" s="9" t="s">
        <v>33</v>
      </c>
      <c r="E11" s="9" t="s">
        <v>34</v>
      </c>
      <c r="F11" s="9" t="s">
        <v>257</v>
      </c>
      <c r="G11" s="9" t="s">
        <v>35</v>
      </c>
      <c r="H11" s="9" t="s">
        <v>36</v>
      </c>
      <c r="I11" s="9" t="s">
        <v>41</v>
      </c>
      <c r="J11" s="9" t="s">
        <v>37</v>
      </c>
      <c r="K11" s="9" t="s">
        <v>38</v>
      </c>
      <c r="L11" s="9" t="s">
        <v>39</v>
      </c>
      <c r="M11" s="9" t="s">
        <v>40</v>
      </c>
      <c r="N11" s="9" t="s">
        <v>42</v>
      </c>
      <c r="O11" s="9" t="s">
        <v>43</v>
      </c>
    </row>
    <row r="12" spans="1:20" ht="16" thickTop="1">
      <c r="A12" s="5"/>
      <c r="B12" s="5">
        <f>B67</f>
        <v>39.666666666666664</v>
      </c>
      <c r="C12" s="5">
        <f>C67</f>
        <v>0.11750000000000002</v>
      </c>
      <c r="D12" s="5">
        <f>D67</f>
        <v>9.463636363636363E-2</v>
      </c>
      <c r="E12" s="5">
        <f>E67</f>
        <v>2.0640833333333335</v>
      </c>
      <c r="F12" s="5">
        <f>F67</f>
        <v>7.3999999999999996E-2</v>
      </c>
      <c r="G12" s="5">
        <f>G67</f>
        <v>0.19533734090909091</v>
      </c>
      <c r="H12" s="5">
        <f>H67</f>
        <v>7.7483811893939389</v>
      </c>
      <c r="I12" s="5">
        <f>80</f>
        <v>80</v>
      </c>
      <c r="J12" s="5">
        <f>J67</f>
        <v>383.54486887499996</v>
      </c>
      <c r="K12" s="5">
        <f>'Choanocyte Chambers'!G12</f>
        <v>9792.3168534402084</v>
      </c>
      <c r="L12" s="5">
        <f>J12*K12</f>
        <v>3755792.883535177</v>
      </c>
      <c r="M12" s="5">
        <f>L12/1000000</f>
        <v>3.755792883535177</v>
      </c>
      <c r="N12" s="5">
        <f>N67</f>
        <v>2.550782608695652</v>
      </c>
      <c r="O12" s="5">
        <f>O67</f>
        <v>1.2760526315789473</v>
      </c>
      <c r="P12" s="30"/>
      <c r="Q12" s="30"/>
      <c r="R12" s="30"/>
      <c r="S12" s="30"/>
      <c r="T12" s="30"/>
    </row>
    <row r="13" spans="1:20">
      <c r="A13" s="5"/>
      <c r="B13" s="5"/>
      <c r="C13" s="5"/>
      <c r="D13" s="5"/>
      <c r="E13" s="5"/>
      <c r="F13" s="5"/>
      <c r="G13" s="5"/>
      <c r="H13" s="5"/>
      <c r="I13" s="5"/>
      <c r="J13" s="5"/>
      <c r="K13" s="5"/>
      <c r="L13" s="5"/>
      <c r="M13" s="5"/>
      <c r="N13" s="5"/>
      <c r="O13" s="5"/>
      <c r="P13" s="12"/>
      <c r="Q13" s="12"/>
      <c r="R13" s="12"/>
      <c r="S13" s="12"/>
      <c r="T13" s="12"/>
    </row>
    <row r="14" spans="1:20">
      <c r="A14" t="s">
        <v>377</v>
      </c>
      <c r="P14" s="12"/>
      <c r="Q14" s="12"/>
      <c r="R14" s="12"/>
      <c r="S14" s="12"/>
      <c r="T14" s="12"/>
    </row>
    <row r="15" spans="1:20" ht="61" thickBot="1">
      <c r="A15" s="117" t="s">
        <v>19</v>
      </c>
      <c r="B15" s="117" t="s">
        <v>31</v>
      </c>
      <c r="C15" s="117" t="s">
        <v>32</v>
      </c>
      <c r="D15" s="117" t="s">
        <v>33</v>
      </c>
      <c r="E15" s="117" t="s">
        <v>34</v>
      </c>
      <c r="F15" s="117" t="s">
        <v>257</v>
      </c>
      <c r="G15" s="117" t="s">
        <v>35</v>
      </c>
      <c r="H15" s="117" t="s">
        <v>36</v>
      </c>
      <c r="I15" s="117" t="s">
        <v>41</v>
      </c>
      <c r="J15" s="117" t="s">
        <v>37</v>
      </c>
      <c r="K15" s="117" t="s">
        <v>38</v>
      </c>
      <c r="L15" s="117" t="s">
        <v>39</v>
      </c>
      <c r="M15" s="117" t="s">
        <v>40</v>
      </c>
      <c r="N15" s="117" t="s">
        <v>42</v>
      </c>
      <c r="O15" s="117" t="s">
        <v>43</v>
      </c>
      <c r="P15" s="203"/>
      <c r="Q15" s="12"/>
      <c r="R15" s="12"/>
      <c r="S15" s="12"/>
      <c r="T15" s="12"/>
    </row>
    <row r="16" spans="1:20" ht="16" thickTop="1">
      <c r="A16" s="116"/>
      <c r="B16" s="116">
        <f>B67</f>
        <v>39.666666666666664</v>
      </c>
      <c r="C16" s="116">
        <f>C67</f>
        <v>0.11750000000000002</v>
      </c>
      <c r="D16" s="116">
        <v>6.9399999999999989E-2</v>
      </c>
      <c r="E16" s="116">
        <f>E67</f>
        <v>2.0640833333333335</v>
      </c>
      <c r="F16" s="116">
        <v>5.1818181818181812E-2</v>
      </c>
      <c r="G16" s="116">
        <f>(E16/F16)*(F16*D16)</f>
        <v>0.14324738333333331</v>
      </c>
      <c r="H16" s="116">
        <f>G16*B16</f>
        <v>5.6821462055555543</v>
      </c>
      <c r="I16" s="116">
        <f>I12</f>
        <v>80</v>
      </c>
      <c r="J16" s="116">
        <f>I16*H16</f>
        <v>454.57169644444434</v>
      </c>
      <c r="K16" s="116">
        <f>K12</f>
        <v>9792.3168534402084</v>
      </c>
      <c r="L16" s="116">
        <f>J16*K16</f>
        <v>4451310.0841898387</v>
      </c>
      <c r="M16" s="116">
        <f>L16/1000000</f>
        <v>4.4513100841898385</v>
      </c>
      <c r="N16" s="116">
        <f>N12</f>
        <v>2.550782608695652</v>
      </c>
      <c r="O16" s="116">
        <f>O12</f>
        <v>1.2760526315789473</v>
      </c>
      <c r="P16" s="12"/>
      <c r="Q16" s="12"/>
      <c r="R16" s="12"/>
      <c r="S16" s="12"/>
      <c r="T16" s="12"/>
    </row>
    <row r="17" spans="1:21" ht="75">
      <c r="C17" s="2" t="s">
        <v>247</v>
      </c>
      <c r="D17">
        <f>(C12+D12)/1000</f>
        <v>2.1213636363636365E-4</v>
      </c>
      <c r="O17" s="12"/>
      <c r="P17" s="12"/>
      <c r="Q17" s="12"/>
      <c r="R17" s="12"/>
      <c r="S17" s="12"/>
      <c r="T17" s="12"/>
    </row>
    <row r="18" spans="1:21">
      <c r="A18" s="123" t="s">
        <v>259</v>
      </c>
      <c r="B18" s="101"/>
      <c r="C18" s="101"/>
      <c r="D18" s="101"/>
      <c r="E18" s="101"/>
      <c r="F18" s="101"/>
      <c r="G18" s="101"/>
      <c r="H18" s="103"/>
      <c r="I18" s="103"/>
      <c r="J18" s="103"/>
      <c r="O18" s="12"/>
      <c r="P18" s="12"/>
      <c r="Q18" s="12"/>
      <c r="R18" s="12"/>
      <c r="S18" s="12"/>
      <c r="T18" s="12"/>
    </row>
    <row r="19" spans="1:21" ht="45">
      <c r="A19" s="118"/>
      <c r="B19" s="2" t="s">
        <v>20</v>
      </c>
      <c r="C19" s="2" t="s">
        <v>260</v>
      </c>
      <c r="D19" s="2" t="s">
        <v>231</v>
      </c>
      <c r="E19" s="2" t="s">
        <v>261</v>
      </c>
      <c r="F19" s="2" t="s">
        <v>262</v>
      </c>
      <c r="G19" s="2" t="s">
        <v>263</v>
      </c>
      <c r="O19" s="12"/>
      <c r="P19" s="12"/>
      <c r="Q19" s="12"/>
      <c r="R19" s="12"/>
      <c r="S19" s="12"/>
      <c r="T19" s="12"/>
    </row>
    <row r="20" spans="1:21">
      <c r="A20" s="120" t="s">
        <v>264</v>
      </c>
      <c r="B20" s="121">
        <f>O12</f>
        <v>1.2760526315789473</v>
      </c>
      <c r="C20" s="122">
        <f>N12</f>
        <v>2.550782608695652</v>
      </c>
      <c r="D20">
        <f>B20*C20</f>
        <v>3.2549328604118988</v>
      </c>
      <c r="E20" s="2">
        <f>D20*I12</f>
        <v>260.39462883295192</v>
      </c>
      <c r="F20">
        <f>E20*K12</f>
        <v>2549866.7124662227</v>
      </c>
      <c r="G20" s="119">
        <f>F20/1000000</f>
        <v>2.5498667124662227</v>
      </c>
      <c r="O20" s="12"/>
      <c r="P20" s="12"/>
      <c r="Q20" s="12"/>
      <c r="R20" s="12"/>
      <c r="S20" s="12"/>
      <c r="T20" s="12"/>
    </row>
    <row r="21" spans="1:21">
      <c r="A21" s="120" t="s">
        <v>265</v>
      </c>
      <c r="B21" s="124">
        <f>N12</f>
        <v>2.550782608695652</v>
      </c>
      <c r="C21" s="124">
        <f>E12</f>
        <v>2.0640833333333335</v>
      </c>
      <c r="D21">
        <f>B21*C21</f>
        <v>5.2650278695652171</v>
      </c>
      <c r="E21" s="2">
        <f>D21*I12</f>
        <v>421.20222956521735</v>
      </c>
      <c r="F21">
        <f>E21*K12</f>
        <v>4124545.6912780693</v>
      </c>
      <c r="G21" s="119">
        <f>F21/1000000</f>
        <v>4.1245456912780689</v>
      </c>
      <c r="O21" s="12"/>
      <c r="P21" s="12"/>
      <c r="Q21" s="12"/>
      <c r="R21" s="12"/>
      <c r="S21" s="12"/>
      <c r="T21" s="12"/>
    </row>
    <row r="22" spans="1:21">
      <c r="D22" s="95"/>
      <c r="O22" s="12"/>
      <c r="P22" s="12"/>
      <c r="Q22" s="12"/>
      <c r="R22" s="12"/>
      <c r="S22" s="12"/>
      <c r="T22" s="12"/>
    </row>
    <row r="23" spans="1:21" ht="60">
      <c r="A23" s="2" t="s">
        <v>19</v>
      </c>
      <c r="B23" s="98" t="s">
        <v>31</v>
      </c>
      <c r="C23" s="98" t="s">
        <v>32</v>
      </c>
      <c r="D23" s="98" t="s">
        <v>33</v>
      </c>
      <c r="E23" s="98" t="s">
        <v>34</v>
      </c>
      <c r="F23" s="98" t="s">
        <v>257</v>
      </c>
      <c r="G23" s="2" t="s">
        <v>35</v>
      </c>
      <c r="H23" s="2" t="s">
        <v>36</v>
      </c>
      <c r="I23" s="98" t="s">
        <v>41</v>
      </c>
      <c r="J23" s="2" t="s">
        <v>37</v>
      </c>
      <c r="K23" s="2" t="s">
        <v>38</v>
      </c>
      <c r="L23" s="2" t="s">
        <v>39</v>
      </c>
      <c r="M23" s="2" t="s">
        <v>40</v>
      </c>
      <c r="N23" s="98" t="s">
        <v>42</v>
      </c>
      <c r="O23" s="98" t="s">
        <v>43</v>
      </c>
      <c r="P23" s="30"/>
      <c r="Q23" s="30"/>
      <c r="R23" s="30"/>
      <c r="S23" s="30"/>
      <c r="T23" s="30"/>
      <c r="U23" s="30"/>
    </row>
    <row r="24" spans="1:21">
      <c r="A24" t="s">
        <v>181</v>
      </c>
      <c r="B24" s="99">
        <v>37</v>
      </c>
      <c r="C24" s="99">
        <v>0.157</v>
      </c>
      <c r="D24" s="99">
        <v>8.5999999999999993E-2</v>
      </c>
      <c r="E24" s="99"/>
      <c r="F24" s="99"/>
      <c r="G24" s="7"/>
      <c r="H24" s="7"/>
      <c r="I24" s="99"/>
      <c r="J24" s="7"/>
      <c r="K24" s="7"/>
      <c r="L24" s="7"/>
      <c r="M24" s="7"/>
      <c r="N24" s="99">
        <v>3.3029999999999999</v>
      </c>
      <c r="O24" s="99">
        <v>1.1930000000000001</v>
      </c>
      <c r="P24" s="11"/>
      <c r="Q24" s="12"/>
      <c r="R24" s="12"/>
      <c r="S24" s="12"/>
      <c r="T24" s="12"/>
      <c r="U24" s="12"/>
    </row>
    <row r="25" spans="1:21">
      <c r="A25" t="s">
        <v>181</v>
      </c>
      <c r="B25" s="100"/>
      <c r="C25" s="100">
        <v>0.17699999999999999</v>
      </c>
      <c r="D25" s="100">
        <v>9.9000000000000005E-2</v>
      </c>
      <c r="E25" s="100"/>
      <c r="F25" s="100"/>
      <c r="G25" s="8"/>
      <c r="H25" s="8"/>
      <c r="I25" s="100"/>
      <c r="J25" s="8"/>
      <c r="K25" s="8"/>
      <c r="L25" s="8"/>
      <c r="M25" s="8"/>
      <c r="N25" s="100"/>
      <c r="O25" s="100">
        <v>0.94799999999999995</v>
      </c>
      <c r="P25" s="12"/>
      <c r="Q25" s="12"/>
      <c r="R25" s="12"/>
      <c r="S25" s="12"/>
      <c r="T25" s="12"/>
      <c r="U25" s="12"/>
    </row>
    <row r="26" spans="1:21">
      <c r="A26" t="s">
        <v>181</v>
      </c>
      <c r="B26" s="100"/>
      <c r="C26" s="100">
        <v>0.13900000000000001</v>
      </c>
      <c r="D26" s="100">
        <v>0.115</v>
      </c>
      <c r="E26" s="100"/>
      <c r="F26" s="100"/>
      <c r="G26" s="8"/>
      <c r="H26" s="8"/>
      <c r="I26" s="100"/>
      <c r="J26" s="8"/>
      <c r="K26" s="8"/>
      <c r="L26" s="8"/>
      <c r="M26" s="8"/>
      <c r="N26" s="100"/>
      <c r="O26" s="100"/>
      <c r="P26" s="12"/>
      <c r="Q26" s="12"/>
      <c r="R26" s="12"/>
      <c r="S26" s="12"/>
      <c r="T26" s="12"/>
      <c r="U26" s="12"/>
    </row>
    <row r="27" spans="1:21">
      <c r="A27" s="68" t="s">
        <v>181</v>
      </c>
      <c r="B27" s="101"/>
      <c r="C27" s="101">
        <v>0.152</v>
      </c>
      <c r="D27" s="101">
        <v>0.125</v>
      </c>
      <c r="E27" s="101"/>
      <c r="F27" s="101"/>
      <c r="G27" s="68"/>
      <c r="H27" s="68"/>
      <c r="I27" s="101"/>
      <c r="J27" s="68"/>
      <c r="K27" s="68"/>
      <c r="L27" s="68"/>
      <c r="M27" s="68"/>
      <c r="N27" s="101"/>
      <c r="O27" s="101"/>
      <c r="P27" s="12"/>
      <c r="Q27" s="12"/>
      <c r="R27" s="12"/>
      <c r="S27" s="12"/>
      <c r="T27" s="12"/>
      <c r="U27" s="12"/>
    </row>
    <row r="28" spans="1:21">
      <c r="A28" t="s">
        <v>182</v>
      </c>
      <c r="B28" s="100">
        <v>41</v>
      </c>
      <c r="C28" s="100">
        <v>0.122</v>
      </c>
      <c r="D28" s="100">
        <v>6.0999999999999999E-2</v>
      </c>
      <c r="E28" s="100"/>
      <c r="F28" s="100"/>
      <c r="G28" s="8"/>
      <c r="H28" s="8"/>
      <c r="I28" s="100"/>
      <c r="J28" s="8"/>
      <c r="K28" s="8"/>
      <c r="L28" s="8"/>
      <c r="M28" s="8"/>
      <c r="N28" s="100">
        <v>3.11</v>
      </c>
      <c r="O28" s="100"/>
      <c r="P28" s="12"/>
      <c r="Q28" s="12"/>
      <c r="R28" s="12"/>
      <c r="S28" s="12"/>
      <c r="T28" s="12"/>
      <c r="U28" s="12"/>
    </row>
    <row r="29" spans="1:21">
      <c r="A29" t="s">
        <v>182</v>
      </c>
      <c r="B29" s="100"/>
      <c r="C29" s="100">
        <v>9.2999999999999999E-2</v>
      </c>
      <c r="D29" s="100">
        <v>0.104</v>
      </c>
      <c r="E29" s="100"/>
      <c r="F29" s="100"/>
      <c r="G29" s="8"/>
      <c r="H29" s="8"/>
      <c r="I29" s="100"/>
      <c r="J29" s="8"/>
      <c r="K29" s="8"/>
      <c r="L29" s="8"/>
      <c r="M29" s="8"/>
      <c r="N29" s="100"/>
      <c r="O29" s="100"/>
      <c r="P29" s="8"/>
    </row>
    <row r="30" spans="1:21">
      <c r="A30" t="s">
        <v>182</v>
      </c>
      <c r="B30" s="100"/>
      <c r="C30" s="100">
        <v>0.14299999999999999</v>
      </c>
      <c r="D30" s="100">
        <v>7.8E-2</v>
      </c>
      <c r="E30" s="100"/>
      <c r="F30" s="100"/>
      <c r="G30" s="8"/>
      <c r="H30" s="8"/>
      <c r="I30" s="100"/>
      <c r="J30" s="8"/>
      <c r="K30" s="8"/>
      <c r="L30" s="8"/>
      <c r="M30" s="8"/>
      <c r="N30" s="100"/>
      <c r="O30" s="100"/>
      <c r="P30" s="8"/>
    </row>
    <row r="31" spans="1:21">
      <c r="A31" s="68" t="s">
        <v>182</v>
      </c>
      <c r="B31" s="101"/>
      <c r="C31" s="101">
        <v>9.2999999999999999E-2</v>
      </c>
      <c r="D31" s="101">
        <v>9.6000000000000002E-2</v>
      </c>
      <c r="E31" s="101"/>
      <c r="F31" s="101"/>
      <c r="G31" s="68"/>
      <c r="H31" s="68"/>
      <c r="I31" s="101"/>
      <c r="J31" s="68"/>
      <c r="K31" s="68"/>
      <c r="L31" s="68"/>
      <c r="M31" s="68"/>
      <c r="N31" s="101"/>
      <c r="O31" s="101"/>
      <c r="P31" s="8"/>
    </row>
    <row r="32" spans="1:21">
      <c r="A32" t="s">
        <v>183</v>
      </c>
      <c r="B32" s="100"/>
      <c r="C32" s="100"/>
      <c r="D32" s="100"/>
      <c r="E32" s="100">
        <v>2.2120000000000002</v>
      </c>
      <c r="F32" s="100"/>
      <c r="G32" s="8"/>
      <c r="H32" s="8"/>
      <c r="I32" s="100"/>
      <c r="J32" s="8"/>
      <c r="K32" s="8"/>
      <c r="L32" s="8"/>
      <c r="M32" s="8"/>
      <c r="N32" s="100">
        <v>1.94</v>
      </c>
      <c r="O32" s="100">
        <v>1.829</v>
      </c>
      <c r="P32" s="8"/>
    </row>
    <row r="33" spans="1:16">
      <c r="A33" t="s">
        <v>183</v>
      </c>
      <c r="B33" s="100"/>
      <c r="C33" s="100"/>
      <c r="D33" s="100"/>
      <c r="E33" s="100">
        <v>2.1120000000000001</v>
      </c>
      <c r="F33" s="100"/>
      <c r="G33" s="8"/>
      <c r="H33" s="8"/>
      <c r="I33" s="100"/>
      <c r="J33" s="8"/>
      <c r="K33" s="8"/>
      <c r="L33" s="8"/>
      <c r="M33" s="8"/>
      <c r="N33" s="100">
        <v>1.9530000000000001</v>
      </c>
      <c r="O33" s="100">
        <v>1.2370000000000001</v>
      </c>
      <c r="P33" s="8"/>
    </row>
    <row r="34" spans="1:16">
      <c r="A34" t="s">
        <v>183</v>
      </c>
      <c r="B34" s="100"/>
      <c r="C34" s="100"/>
      <c r="D34" s="100"/>
      <c r="E34" s="100">
        <v>1.883</v>
      </c>
      <c r="F34" s="100"/>
      <c r="G34" s="8"/>
      <c r="H34" s="8"/>
      <c r="I34" s="100"/>
      <c r="J34" s="8"/>
      <c r="K34" s="8"/>
      <c r="L34" s="8"/>
      <c r="M34" s="8"/>
      <c r="N34" s="100">
        <v>1.671</v>
      </c>
      <c r="O34" s="100">
        <v>1.236</v>
      </c>
      <c r="P34" s="8"/>
    </row>
    <row r="35" spans="1:16">
      <c r="A35" t="s">
        <v>183</v>
      </c>
      <c r="B35" s="100"/>
      <c r="C35" s="100"/>
      <c r="D35" s="100"/>
      <c r="E35" s="100">
        <v>2.6040000000000001</v>
      </c>
      <c r="F35" s="100"/>
      <c r="G35" s="8"/>
      <c r="H35" s="96"/>
      <c r="I35" s="100"/>
      <c r="J35" s="8"/>
      <c r="K35" s="8"/>
      <c r="L35" s="8"/>
      <c r="M35" s="8"/>
      <c r="N35" s="100">
        <v>2.2690000000000001</v>
      </c>
      <c r="O35" s="100">
        <v>0.56200000000000006</v>
      </c>
      <c r="P35" s="8"/>
    </row>
    <row r="36" spans="1:16">
      <c r="A36" s="68" t="s">
        <v>183</v>
      </c>
      <c r="B36" s="101"/>
      <c r="C36" s="101"/>
      <c r="D36" s="101"/>
      <c r="E36" s="102"/>
      <c r="F36" s="102"/>
      <c r="G36" s="68"/>
      <c r="H36" s="97"/>
      <c r="I36" s="101"/>
      <c r="J36" s="68"/>
      <c r="K36" s="68"/>
      <c r="L36" s="68"/>
      <c r="M36" s="68"/>
      <c r="N36" s="101">
        <v>1.9730000000000001</v>
      </c>
      <c r="O36" s="101">
        <v>1.484</v>
      </c>
      <c r="P36" s="8"/>
    </row>
    <row r="37" spans="1:16">
      <c r="A37" t="s">
        <v>184</v>
      </c>
      <c r="B37" s="100"/>
      <c r="C37" s="100"/>
      <c r="D37" s="100"/>
      <c r="E37" s="100">
        <v>2.4409999999999998</v>
      </c>
      <c r="F37" s="100"/>
      <c r="G37" s="8"/>
      <c r="H37" s="96"/>
      <c r="I37" s="100"/>
      <c r="J37" s="8"/>
      <c r="K37" s="8"/>
      <c r="L37" s="8"/>
      <c r="M37" s="8"/>
      <c r="N37" s="103">
        <v>2.6869999999999998</v>
      </c>
      <c r="O37" s="100">
        <v>1.454</v>
      </c>
      <c r="P37" s="8"/>
    </row>
    <row r="38" spans="1:16">
      <c r="A38" t="s">
        <v>184</v>
      </c>
      <c r="B38" s="100"/>
      <c r="C38" s="100"/>
      <c r="D38" s="100"/>
      <c r="E38" s="100"/>
      <c r="F38" s="100"/>
      <c r="G38" s="8"/>
      <c r="H38" s="96"/>
      <c r="I38" s="100"/>
      <c r="J38" s="8"/>
      <c r="K38" s="8"/>
      <c r="L38" s="8"/>
      <c r="M38" s="8"/>
      <c r="N38" s="103">
        <v>2.65</v>
      </c>
      <c r="O38" s="100">
        <v>1.1890000000000001</v>
      </c>
      <c r="P38" s="8"/>
    </row>
    <row r="39" spans="1:16">
      <c r="A39" t="s">
        <v>184</v>
      </c>
      <c r="B39" s="103"/>
      <c r="C39" s="103"/>
      <c r="D39" s="103"/>
      <c r="E39" s="103"/>
      <c r="F39" s="103"/>
      <c r="I39" s="103"/>
      <c r="N39" s="103">
        <v>2.0939999999999999</v>
      </c>
      <c r="O39" s="103">
        <v>1.726</v>
      </c>
    </row>
    <row r="40" spans="1:16">
      <c r="A40" t="s">
        <v>184</v>
      </c>
      <c r="B40" s="103"/>
      <c r="C40" s="103"/>
      <c r="D40" s="103"/>
      <c r="E40" s="103"/>
      <c r="F40" s="103"/>
      <c r="I40" s="103"/>
      <c r="N40" s="103">
        <v>1.9159999999999999</v>
      </c>
      <c r="O40" s="103">
        <v>1.181</v>
      </c>
    </row>
    <row r="41" spans="1:16">
      <c r="A41" s="8" t="s">
        <v>184</v>
      </c>
      <c r="B41" s="101"/>
      <c r="C41" s="101"/>
      <c r="D41" s="101"/>
      <c r="E41" s="101"/>
      <c r="F41" s="101"/>
      <c r="G41" s="68"/>
      <c r="H41" s="68"/>
      <c r="I41" s="101"/>
      <c r="J41" s="68"/>
      <c r="K41" s="68"/>
      <c r="L41" s="68"/>
      <c r="M41" s="68"/>
      <c r="N41" s="101">
        <v>2.3450000000000002</v>
      </c>
      <c r="O41" s="101">
        <v>0.90400000000000003</v>
      </c>
    </row>
    <row r="42" spans="1:16">
      <c r="A42" s="7" t="s">
        <v>185</v>
      </c>
      <c r="B42" s="103"/>
      <c r="C42" s="103">
        <v>0.122</v>
      </c>
      <c r="D42" s="103">
        <v>0.10199999999999999</v>
      </c>
      <c r="E42" s="103"/>
      <c r="F42" s="103"/>
      <c r="I42" s="103"/>
      <c r="N42" s="103">
        <v>2.7650000000000001</v>
      </c>
      <c r="O42" s="103"/>
    </row>
    <row r="43" spans="1:16">
      <c r="A43" s="8" t="s">
        <v>185</v>
      </c>
      <c r="B43" s="104"/>
      <c r="C43" s="103">
        <v>0.12</v>
      </c>
      <c r="D43" s="103">
        <v>6.9000000000000006E-2</v>
      </c>
      <c r="E43" s="103"/>
      <c r="F43" s="103"/>
      <c r="I43" s="103"/>
      <c r="N43" s="103">
        <v>2.6150000000000002</v>
      </c>
      <c r="O43" s="103"/>
    </row>
    <row r="44" spans="1:16">
      <c r="A44" s="8" t="s">
        <v>185</v>
      </c>
      <c r="B44" s="104"/>
      <c r="C44" s="103">
        <v>0.113</v>
      </c>
      <c r="D44" s="103">
        <v>8.5999999999999993E-2</v>
      </c>
      <c r="E44" s="103"/>
      <c r="F44" s="103"/>
      <c r="I44" s="103"/>
      <c r="N44" s="103">
        <v>2.79</v>
      </c>
      <c r="O44" s="103"/>
    </row>
    <row r="45" spans="1:16">
      <c r="A45" s="8" t="s">
        <v>185</v>
      </c>
      <c r="B45" s="104"/>
      <c r="C45" s="103">
        <v>9.7000000000000003E-2</v>
      </c>
      <c r="D45" s="103">
        <v>9.0999999999999998E-2</v>
      </c>
      <c r="E45" s="103"/>
      <c r="F45" s="103"/>
      <c r="I45" s="103"/>
      <c r="N45" s="103"/>
      <c r="O45" s="103"/>
    </row>
    <row r="46" spans="1:16">
      <c r="A46" s="8" t="s">
        <v>185</v>
      </c>
      <c r="B46" s="104"/>
      <c r="C46" s="103">
        <v>9.6000000000000002E-2</v>
      </c>
      <c r="D46" s="103">
        <v>7.0000000000000007E-2</v>
      </c>
      <c r="E46" s="103"/>
      <c r="F46" s="103"/>
      <c r="I46" s="103"/>
      <c r="N46" s="103"/>
      <c r="O46" s="103"/>
    </row>
    <row r="47" spans="1:16">
      <c r="A47" s="8" t="s">
        <v>185</v>
      </c>
      <c r="B47" s="104"/>
      <c r="C47" s="103">
        <v>8.8999999999999996E-2</v>
      </c>
      <c r="D47" s="103">
        <v>7.6999999999999999E-2</v>
      </c>
      <c r="E47" s="103"/>
      <c r="F47" s="103"/>
      <c r="I47" s="103"/>
      <c r="N47" s="103"/>
      <c r="O47" s="103"/>
    </row>
    <row r="48" spans="1:16">
      <c r="A48" s="68" t="s">
        <v>185</v>
      </c>
      <c r="B48" s="101"/>
      <c r="C48" s="101">
        <v>0.108</v>
      </c>
      <c r="D48" s="101">
        <v>0.11700000000000001</v>
      </c>
      <c r="E48" s="101"/>
      <c r="F48" s="101"/>
      <c r="G48" s="68"/>
      <c r="H48" s="68"/>
      <c r="I48" s="101"/>
      <c r="J48" s="68"/>
      <c r="K48" s="68"/>
      <c r="L48" s="68"/>
      <c r="M48" s="68"/>
      <c r="N48" s="101"/>
      <c r="O48" s="101"/>
    </row>
    <row r="49" spans="1:15">
      <c r="A49" t="s">
        <v>186</v>
      </c>
      <c r="B49" s="103">
        <v>41</v>
      </c>
      <c r="C49" s="103"/>
      <c r="D49" s="103"/>
      <c r="E49" s="103"/>
      <c r="F49" s="103"/>
      <c r="I49" s="103"/>
      <c r="N49" s="103">
        <v>2.976</v>
      </c>
      <c r="O49" s="103">
        <v>1.1830000000000001</v>
      </c>
    </row>
    <row r="50" spans="1:15">
      <c r="A50" t="s">
        <v>186</v>
      </c>
      <c r="B50" s="103"/>
      <c r="C50" s="103"/>
      <c r="D50" s="103"/>
      <c r="E50" s="103"/>
      <c r="F50" s="103"/>
      <c r="I50" s="103"/>
      <c r="N50" s="103">
        <v>3.117</v>
      </c>
      <c r="O50" s="103">
        <v>1.3839999999999999</v>
      </c>
    </row>
    <row r="51" spans="1:15">
      <c r="A51" t="s">
        <v>186</v>
      </c>
      <c r="B51" s="103"/>
      <c r="C51" s="103"/>
      <c r="D51" s="103"/>
      <c r="E51" s="103"/>
      <c r="F51" s="103"/>
      <c r="I51" s="103"/>
      <c r="N51" s="103">
        <v>2.585</v>
      </c>
      <c r="O51" s="103">
        <v>0.68700000000000006</v>
      </c>
    </row>
    <row r="52" spans="1:15">
      <c r="A52" t="s">
        <v>186</v>
      </c>
      <c r="B52" s="103"/>
      <c r="C52" s="103"/>
      <c r="D52" s="103"/>
      <c r="E52" s="103"/>
      <c r="F52" s="103"/>
      <c r="I52" s="103"/>
      <c r="N52" s="103">
        <v>2.839</v>
      </c>
      <c r="O52" s="103">
        <v>1.732</v>
      </c>
    </row>
    <row r="53" spans="1:15">
      <c r="A53" t="s">
        <v>186</v>
      </c>
      <c r="B53" s="103"/>
      <c r="C53" s="103"/>
      <c r="D53" s="103"/>
      <c r="E53" s="103"/>
      <c r="F53" s="103"/>
      <c r="I53" s="103"/>
      <c r="N53" s="103">
        <v>2.7389999999999999</v>
      </c>
      <c r="O53" s="103">
        <v>2.113</v>
      </c>
    </row>
    <row r="54" spans="1:15">
      <c r="A54" t="s">
        <v>186</v>
      </c>
      <c r="B54" s="103"/>
      <c r="C54" s="103"/>
      <c r="D54" s="103"/>
      <c r="E54" s="103"/>
      <c r="F54" s="103"/>
      <c r="I54" s="103"/>
      <c r="N54" s="103">
        <v>2.8959999999999999</v>
      </c>
      <c r="O54" s="103">
        <v>1.1599999999999999</v>
      </c>
    </row>
    <row r="55" spans="1:15">
      <c r="A55" s="68" t="s">
        <v>186</v>
      </c>
      <c r="B55" s="101"/>
      <c r="C55" s="101"/>
      <c r="D55" s="101"/>
      <c r="E55" s="101"/>
      <c r="F55" s="101"/>
      <c r="G55" s="68"/>
      <c r="H55" s="97"/>
      <c r="I55" s="101"/>
      <c r="J55" s="68"/>
      <c r="K55" s="68"/>
      <c r="L55" s="68"/>
      <c r="M55" s="68"/>
      <c r="N55" s="101"/>
      <c r="O55" s="101">
        <v>1.0429999999999999</v>
      </c>
    </row>
    <row r="56" spans="1:15">
      <c r="A56" t="s">
        <v>187</v>
      </c>
      <c r="B56" s="103"/>
      <c r="C56" s="103">
        <v>0.14599999999999999</v>
      </c>
      <c r="D56" s="103">
        <v>9.9000000000000005E-2</v>
      </c>
      <c r="E56" s="103">
        <v>2.25</v>
      </c>
      <c r="F56" s="103">
        <v>6.5000000000000002E-2</v>
      </c>
      <c r="I56" s="103"/>
      <c r="N56" s="103">
        <v>3.012</v>
      </c>
      <c r="O56" s="103"/>
    </row>
    <row r="57" spans="1:15">
      <c r="A57" t="s">
        <v>187</v>
      </c>
      <c r="B57" s="103"/>
      <c r="C57" s="103">
        <v>0.104</v>
      </c>
      <c r="D57" s="103">
        <v>8.5999999999999993E-2</v>
      </c>
      <c r="E57" s="103">
        <v>1.5760000000000001</v>
      </c>
      <c r="F57" s="103">
        <v>6.2E-2</v>
      </c>
      <c r="I57" s="103"/>
      <c r="N57" s="103">
        <v>2.423</v>
      </c>
      <c r="O57" s="103"/>
    </row>
    <row r="58" spans="1:15">
      <c r="A58" t="s">
        <v>187</v>
      </c>
      <c r="B58" s="103"/>
      <c r="C58" s="103">
        <v>0.13600000000000001</v>
      </c>
      <c r="D58" s="103">
        <v>7.9000000000000001E-2</v>
      </c>
      <c r="E58" s="103">
        <v>2.1659999999999999</v>
      </c>
      <c r="F58" s="103">
        <v>7.8E-2</v>
      </c>
      <c r="I58" s="103"/>
      <c r="N58" s="103"/>
      <c r="O58" s="103"/>
    </row>
    <row r="59" spans="1:15">
      <c r="A59" t="s">
        <v>187</v>
      </c>
      <c r="B59" s="103"/>
      <c r="C59" s="103">
        <v>0.10299999999999999</v>
      </c>
      <c r="D59" s="103">
        <v>0.106</v>
      </c>
      <c r="E59" s="103">
        <v>1.855</v>
      </c>
      <c r="F59" s="103">
        <v>5.5E-2</v>
      </c>
      <c r="I59" s="103"/>
      <c r="N59" s="103"/>
      <c r="O59" s="103"/>
    </row>
    <row r="60" spans="1:15">
      <c r="A60" t="s">
        <v>187</v>
      </c>
      <c r="B60" s="103"/>
      <c r="C60" s="103">
        <v>8.8999999999999996E-2</v>
      </c>
      <c r="D60" s="103">
        <v>7.9000000000000001E-2</v>
      </c>
      <c r="E60" s="103">
        <v>1.48</v>
      </c>
      <c r="F60" s="103">
        <v>7.5999999999999998E-2</v>
      </c>
      <c r="I60" s="103"/>
      <c r="N60" s="103"/>
      <c r="O60" s="103"/>
    </row>
    <row r="61" spans="1:15">
      <c r="A61" t="s">
        <v>187</v>
      </c>
      <c r="B61" s="103"/>
      <c r="C61" s="103">
        <v>7.3999999999999996E-2</v>
      </c>
      <c r="D61" s="103">
        <v>0.16400000000000001</v>
      </c>
      <c r="E61" s="103">
        <v>2.093</v>
      </c>
      <c r="F61" s="103">
        <v>8.5000000000000006E-2</v>
      </c>
      <c r="I61" s="103"/>
      <c r="N61" s="103"/>
      <c r="O61" s="103"/>
    </row>
    <row r="62" spans="1:15">
      <c r="A62" s="68" t="s">
        <v>187</v>
      </c>
      <c r="B62" s="101"/>
      <c r="C62" s="101">
        <v>0.112</v>
      </c>
      <c r="D62" s="101">
        <v>9.2999999999999999E-2</v>
      </c>
      <c r="E62" s="101">
        <v>2.097</v>
      </c>
      <c r="F62" s="103">
        <v>9.7000000000000003E-2</v>
      </c>
      <c r="G62" s="68"/>
      <c r="H62" s="68"/>
      <c r="I62" s="101"/>
      <c r="J62" s="68"/>
      <c r="K62" s="68"/>
      <c r="L62" s="68"/>
      <c r="M62" s="68"/>
      <c r="N62" s="101"/>
      <c r="O62" s="101"/>
    </row>
    <row r="63" spans="1:15">
      <c r="A63" t="s">
        <v>188</v>
      </c>
      <c r="B63" s="103"/>
      <c r="C63" s="103"/>
      <c r="D63" s="103"/>
      <c r="E63" s="103"/>
      <c r="F63" s="103"/>
      <c r="I63" s="103">
        <v>66</v>
      </c>
      <c r="N63" s="103"/>
      <c r="O63" s="103"/>
    </row>
    <row r="64" spans="1:15">
      <c r="A64" t="s">
        <v>189</v>
      </c>
      <c r="B64" s="103"/>
      <c r="C64" s="103"/>
      <c r="D64" s="103"/>
      <c r="E64" s="103"/>
      <c r="F64" s="103"/>
      <c r="I64" s="103">
        <v>44</v>
      </c>
      <c r="N64" s="103"/>
      <c r="O64" s="103"/>
    </row>
    <row r="65" spans="1:15">
      <c r="A65" t="s">
        <v>190</v>
      </c>
      <c r="B65" s="103"/>
      <c r="C65" s="103"/>
      <c r="D65" s="103"/>
      <c r="E65" s="103"/>
      <c r="F65" s="103"/>
      <c r="I65" s="103">
        <v>40</v>
      </c>
      <c r="N65" s="103"/>
      <c r="O65" s="103"/>
    </row>
    <row r="66" spans="1:15">
      <c r="A66" s="68" t="s">
        <v>191</v>
      </c>
      <c r="B66" s="101"/>
      <c r="C66" s="102"/>
      <c r="D66" s="102"/>
      <c r="E66" s="102"/>
      <c r="F66" s="102"/>
      <c r="G66" s="68"/>
      <c r="H66" s="68"/>
      <c r="I66" s="101">
        <v>48</v>
      </c>
      <c r="J66" s="68"/>
      <c r="K66" s="68"/>
      <c r="L66" s="68"/>
      <c r="M66" s="68"/>
      <c r="N66" s="101"/>
      <c r="O66" s="101"/>
    </row>
    <row r="67" spans="1:15">
      <c r="B67" s="103">
        <f>AVERAGE(B24:B66)</f>
        <v>39.666666666666664</v>
      </c>
      <c r="C67" s="103">
        <f t="shared" ref="C67:O67" si="0">AVERAGE(C24:C66)</f>
        <v>0.11750000000000002</v>
      </c>
      <c r="D67" s="103">
        <f t="shared" si="0"/>
        <v>9.463636363636363E-2</v>
      </c>
      <c r="E67" s="103">
        <f t="shared" si="0"/>
        <v>2.0640833333333335</v>
      </c>
      <c r="F67" s="103">
        <f t="shared" si="0"/>
        <v>7.3999999999999996E-2</v>
      </c>
      <c r="G67">
        <f>D67*E67</f>
        <v>0.19533734090909091</v>
      </c>
      <c r="H67">
        <f>G67*B67</f>
        <v>7.7483811893939389</v>
      </c>
      <c r="I67" s="103">
        <f t="shared" si="0"/>
        <v>49.5</v>
      </c>
      <c r="J67">
        <f>H67*I67</f>
        <v>383.54486887499996</v>
      </c>
      <c r="N67" s="103">
        <f t="shared" si="0"/>
        <v>2.550782608695652</v>
      </c>
      <c r="O67" s="103">
        <f t="shared" si="0"/>
        <v>1.2760526315789473</v>
      </c>
    </row>
    <row r="68" spans="1:15">
      <c r="C68" s="95"/>
      <c r="D68" s="95"/>
      <c r="E68" s="95"/>
    </row>
    <row r="69" spans="1:15">
      <c r="C69" s="95"/>
      <c r="D69" s="95"/>
    </row>
    <row r="70" spans="1:15">
      <c r="D70" s="95"/>
    </row>
    <row r="71" spans="1:15">
      <c r="D71" s="95"/>
    </row>
    <row r="73" spans="1:15">
      <c r="F73" s="95"/>
    </row>
    <row r="74" spans="1:15">
      <c r="F74" s="95"/>
    </row>
    <row r="75" spans="1:15">
      <c r="F75" s="95"/>
    </row>
    <row r="76" spans="1:15">
      <c r="F76" s="95"/>
    </row>
    <row r="77" spans="1:15">
      <c r="F77" s="95"/>
    </row>
    <row r="1048576" spans="1:1">
      <c r="A1048576" s="7"/>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8:P126"/>
  <sheetViews>
    <sheetView workbookViewId="0">
      <selection activeCell="A17" sqref="A17"/>
    </sheetView>
  </sheetViews>
  <sheetFormatPr baseColWidth="10" defaultColWidth="11" defaultRowHeight="15" x14ac:dyDescent="0"/>
  <cols>
    <col min="1" max="1" width="22.6640625" customWidth="1"/>
    <col min="15" max="15" width="15" customWidth="1"/>
  </cols>
  <sheetData>
    <row r="8" spans="1:16" ht="121">
      <c r="A8" s="105" t="s">
        <v>4</v>
      </c>
      <c r="B8" s="105" t="s">
        <v>15</v>
      </c>
      <c r="C8" s="105" t="s">
        <v>55</v>
      </c>
      <c r="D8" s="106" t="s">
        <v>56</v>
      </c>
      <c r="E8" s="106" t="s">
        <v>193</v>
      </c>
      <c r="F8" s="106" t="s">
        <v>201</v>
      </c>
      <c r="G8" s="106" t="s">
        <v>202</v>
      </c>
      <c r="H8" s="105" t="s">
        <v>57</v>
      </c>
      <c r="I8" s="105" t="s">
        <v>58</v>
      </c>
      <c r="J8" s="105" t="s">
        <v>59</v>
      </c>
      <c r="K8" s="105" t="s">
        <v>60</v>
      </c>
      <c r="L8" s="105" t="s">
        <v>61</v>
      </c>
      <c r="M8" s="105" t="s">
        <v>62</v>
      </c>
      <c r="N8" s="105" t="s">
        <v>63</v>
      </c>
      <c r="O8" s="105" t="s">
        <v>64</v>
      </c>
      <c r="P8" s="105" t="s">
        <v>194</v>
      </c>
    </row>
    <row r="9" spans="1:16">
      <c r="A9" t="str">
        <f>A17</f>
        <v>Neo-RR-cho-C-06</v>
      </c>
      <c r="B9">
        <f>B48</f>
        <v>225816.34899999999</v>
      </c>
      <c r="C9">
        <f>C48</f>
        <v>31</v>
      </c>
      <c r="D9">
        <f>F48*2</f>
        <v>25.040467741935483</v>
      </c>
      <c r="E9">
        <f>1000000/B9</f>
        <v>4.4283773270995539</v>
      </c>
      <c r="F9">
        <f>C9*E9*0.75</f>
        <v>102.95977285506463</v>
      </c>
      <c r="G9">
        <f>F9*40</f>
        <v>4118.390914202585</v>
      </c>
      <c r="H9">
        <f>F48</f>
        <v>12.520233870967742</v>
      </c>
      <c r="I9">
        <f>G48</f>
        <v>500.12337360810193</v>
      </c>
      <c r="J9">
        <f>I9*G9/1000000</f>
        <v>2.0597035578479517</v>
      </c>
      <c r="K9">
        <f>I9*C9</f>
        <v>15503.82458185116</v>
      </c>
      <c r="L9">
        <f>K9/B9</f>
        <v>6.8656785261598408E-2</v>
      </c>
      <c r="M9">
        <f>4*PI()*(H9^2)</f>
        <v>1969.8572113241564</v>
      </c>
      <c r="N9">
        <f>(4/3)*PI()*(H9^3)</f>
        <v>8221.0243260635871</v>
      </c>
      <c r="O9">
        <f>N9/1000000000</f>
        <v>8.2210243260635869E-6</v>
      </c>
      <c r="P9">
        <f>M9*G9/1000000</f>
        <v>8.1126420413938476</v>
      </c>
    </row>
    <row r="10" spans="1:16">
      <c r="A10" t="str">
        <f>A53</f>
        <v>Np1-cor1-06</v>
      </c>
      <c r="B10">
        <f>B84</f>
        <v>53555.555999999997</v>
      </c>
      <c r="C10">
        <f>C84</f>
        <v>31</v>
      </c>
      <c r="D10">
        <f>F84*2</f>
        <v>22.127693548387096</v>
      </c>
      <c r="E10">
        <f t="shared" ref="E10:E11" si="0">1000000/B10</f>
        <v>18.672199015168474</v>
      </c>
      <c r="F10">
        <f t="shared" ref="F10:F11" si="1">C10*E10*0.75</f>
        <v>434.12862710266705</v>
      </c>
      <c r="G10">
        <f t="shared" ref="G10:G11" si="2">F10*40</f>
        <v>17365.145084106683</v>
      </c>
      <c r="H10">
        <f>F84</f>
        <v>11.063846774193548</v>
      </c>
      <c r="I10">
        <f>G84</f>
        <v>396.59338859550996</v>
      </c>
      <c r="J10">
        <f t="shared" ref="J10:J11" si="3">I10*G10/1000000</f>
        <v>6.8869017323585311</v>
      </c>
      <c r="K10">
        <f t="shared" ref="K10:K11" si="4">I10*C10</f>
        <v>12294.39504646081</v>
      </c>
      <c r="L10">
        <f t="shared" ref="L10:L11" si="5">K10/B10</f>
        <v>0.2295633910786177</v>
      </c>
      <c r="M10">
        <f t="shared" ref="M10:M11" si="6">4*PI()*(H10^2)</f>
        <v>1538.233159018564</v>
      </c>
      <c r="N10">
        <f t="shared" ref="N10:N11" si="7">(4/3)*PI()*(H10^3)</f>
        <v>5672.9253247883635</v>
      </c>
      <c r="O10">
        <f t="shared" ref="O10:O11" si="8">N10/1000000000</f>
        <v>5.6729253247883635E-6</v>
      </c>
      <c r="P10">
        <f>M10*G10/1000000</f>
        <v>26.711641979541113</v>
      </c>
    </row>
    <row r="11" spans="1:16">
      <c r="A11" s="68" t="str">
        <f>A87</f>
        <v>Np1-cor1-14</v>
      </c>
      <c r="B11" s="68">
        <f>B126</f>
        <v>148224.826</v>
      </c>
      <c r="C11" s="68">
        <f>C126</f>
        <v>39</v>
      </c>
      <c r="D11" s="68">
        <f>F126*2</f>
        <v>22.790538461538464</v>
      </c>
      <c r="E11" s="68">
        <f t="shared" si="0"/>
        <v>6.7465081726592819</v>
      </c>
      <c r="F11" s="68">
        <f t="shared" si="1"/>
        <v>197.335364050284</v>
      </c>
      <c r="G11" s="68">
        <f t="shared" si="2"/>
        <v>7893.4145620113595</v>
      </c>
      <c r="H11" s="68">
        <f>F126</f>
        <v>11.395269230769232</v>
      </c>
      <c r="I11" s="68">
        <f>G126</f>
        <v>416.07194255668526</v>
      </c>
      <c r="J11" s="68">
        <f t="shared" si="3"/>
        <v>3.2842283302212936</v>
      </c>
      <c r="K11" s="68">
        <f t="shared" si="4"/>
        <v>16226.805759710725</v>
      </c>
      <c r="L11" s="68">
        <f t="shared" si="5"/>
        <v>0.10947427767404311</v>
      </c>
      <c r="M11" s="68">
        <f t="shared" si="6"/>
        <v>1631.7703782123808</v>
      </c>
      <c r="N11" s="68">
        <f t="shared" si="7"/>
        <v>6198.1542608414047</v>
      </c>
      <c r="O11" s="68">
        <f t="shared" si="8"/>
        <v>6.1981542608414043E-6</v>
      </c>
      <c r="P11" s="68">
        <f>M11*G11/1000000</f>
        <v>12.880240065240391</v>
      </c>
    </row>
    <row r="12" spans="1:16">
      <c r="B12">
        <f>AVERAGE(B9:B11)</f>
        <v>142532.24366666665</v>
      </c>
      <c r="C12">
        <f t="shared" ref="C12:G12" si="9">AVERAGE(C9:C11)</f>
        <v>33.666666666666664</v>
      </c>
      <c r="D12">
        <f t="shared" si="9"/>
        <v>23.319566583953684</v>
      </c>
      <c r="E12">
        <f t="shared" si="9"/>
        <v>9.9490281716424374</v>
      </c>
      <c r="F12">
        <f t="shared" si="9"/>
        <v>244.80792133600525</v>
      </c>
      <c r="G12">
        <f t="shared" si="9"/>
        <v>9792.3168534402084</v>
      </c>
      <c r="H12">
        <f t="shared" ref="H12" si="10">AVERAGE(H9:H11)</f>
        <v>11.659783291976842</v>
      </c>
      <c r="I12">
        <f t="shared" ref="I12:O12" si="11">AVERAGE(I9:I11)</f>
        <v>437.59623492009905</v>
      </c>
      <c r="J12">
        <f t="shared" si="11"/>
        <v>4.0769445401425921</v>
      </c>
      <c r="K12">
        <f t="shared" si="11"/>
        <v>14675.008462674232</v>
      </c>
      <c r="L12">
        <f t="shared" si="11"/>
        <v>0.13589815133808641</v>
      </c>
      <c r="M12">
        <f t="shared" si="11"/>
        <v>1713.2869161850338</v>
      </c>
      <c r="N12">
        <f t="shared" si="11"/>
        <v>6697.3679705644527</v>
      </c>
      <c r="O12">
        <f t="shared" si="11"/>
        <v>6.697367970564451E-6</v>
      </c>
      <c r="P12">
        <f t="shared" ref="P12" si="12">AVERAGE(P9:P11)</f>
        <v>15.901508028725118</v>
      </c>
    </row>
    <row r="16" spans="1:16" s="2" customFormat="1" ht="45">
      <c r="A16" s="2" t="s">
        <v>4</v>
      </c>
      <c r="B16" s="2" t="s">
        <v>15</v>
      </c>
      <c r="C16" s="2" t="s">
        <v>65</v>
      </c>
      <c r="D16" s="2" t="s">
        <v>66</v>
      </c>
      <c r="F16" s="2" t="s">
        <v>57</v>
      </c>
      <c r="G16" s="2" t="s">
        <v>58</v>
      </c>
    </row>
    <row r="17" spans="1:9">
      <c r="A17" t="s">
        <v>199</v>
      </c>
      <c r="B17">
        <v>225816.34899999999</v>
      </c>
      <c r="D17">
        <v>29.669</v>
      </c>
      <c r="E17">
        <v>18.553999999999998</v>
      </c>
      <c r="F17">
        <f>((D17+E17)/2)/2</f>
        <v>12.05575</v>
      </c>
      <c r="G17">
        <f>PI()*(F17^2)</f>
        <v>456.60255735375017</v>
      </c>
      <c r="I17" t="s">
        <v>195</v>
      </c>
    </row>
    <row r="18" spans="1:9">
      <c r="D18">
        <v>28.661000000000001</v>
      </c>
      <c r="E18">
        <v>20.09</v>
      </c>
      <c r="F18">
        <f t="shared" ref="F18:F47" si="13">((D18+E18)/2)/2</f>
        <v>12.187750000000001</v>
      </c>
      <c r="G18">
        <f t="shared" ref="G18:G47" si="14">PI()*(F18^2)</f>
        <v>466.65609995139454</v>
      </c>
      <c r="I18" t="s">
        <v>196</v>
      </c>
    </row>
    <row r="19" spans="1:9">
      <c r="D19">
        <v>29.54</v>
      </c>
      <c r="E19">
        <v>19.25</v>
      </c>
      <c r="F19">
        <f t="shared" si="13"/>
        <v>12.1975</v>
      </c>
      <c r="G19">
        <f t="shared" si="14"/>
        <v>467.40303304338994</v>
      </c>
      <c r="I19" t="s">
        <v>197</v>
      </c>
    </row>
    <row r="20" spans="1:9">
      <c r="D20">
        <v>26.292000000000002</v>
      </c>
      <c r="E20">
        <v>27.38</v>
      </c>
      <c r="F20">
        <f t="shared" si="13"/>
        <v>13.417999999999999</v>
      </c>
      <c r="G20">
        <f t="shared" si="14"/>
        <v>565.62089905069467</v>
      </c>
    </row>
    <row r="21" spans="1:9">
      <c r="D21">
        <v>28.221</v>
      </c>
      <c r="E21">
        <v>18.489999999999998</v>
      </c>
      <c r="F21">
        <f t="shared" si="13"/>
        <v>11.67775</v>
      </c>
      <c r="G21">
        <f t="shared" si="14"/>
        <v>428.41850341952829</v>
      </c>
    </row>
    <row r="22" spans="1:9">
      <c r="D22">
        <v>26.266999999999999</v>
      </c>
      <c r="E22">
        <v>22.061</v>
      </c>
      <c r="F22">
        <f t="shared" si="13"/>
        <v>12.082000000000001</v>
      </c>
      <c r="G22">
        <f t="shared" si="14"/>
        <v>458.59312052819769</v>
      </c>
    </row>
    <row r="23" spans="1:9">
      <c r="D23">
        <v>15.858000000000001</v>
      </c>
      <c r="E23">
        <v>16.109000000000002</v>
      </c>
      <c r="F23">
        <f t="shared" si="13"/>
        <v>7.9917500000000006</v>
      </c>
      <c r="G23">
        <f t="shared" si="14"/>
        <v>200.64745342412292</v>
      </c>
    </row>
    <row r="24" spans="1:9">
      <c r="D24">
        <v>29.574000000000002</v>
      </c>
      <c r="E24">
        <v>27.38</v>
      </c>
      <c r="F24">
        <f t="shared" si="13"/>
        <v>14.2385</v>
      </c>
      <c r="G24">
        <f t="shared" si="14"/>
        <v>636.91041670299171</v>
      </c>
    </row>
    <row r="25" spans="1:9">
      <c r="D25">
        <v>25.138000000000002</v>
      </c>
      <c r="E25">
        <v>26.318999999999999</v>
      </c>
      <c r="F25">
        <f t="shared" si="13"/>
        <v>12.86425</v>
      </c>
      <c r="G25">
        <f t="shared" si="14"/>
        <v>519.8988006515998</v>
      </c>
    </row>
    <row r="26" spans="1:9">
      <c r="D26">
        <v>26.332999999999998</v>
      </c>
      <c r="E26">
        <v>26.434000000000001</v>
      </c>
      <c r="F26">
        <f t="shared" si="13"/>
        <v>13.191749999999999</v>
      </c>
      <c r="G26">
        <f t="shared" si="14"/>
        <v>546.7070789061836</v>
      </c>
    </row>
    <row r="27" spans="1:9">
      <c r="D27">
        <v>28.95</v>
      </c>
      <c r="E27">
        <v>15.218</v>
      </c>
      <c r="F27">
        <f t="shared" si="13"/>
        <v>11.042</v>
      </c>
      <c r="G27">
        <f t="shared" si="14"/>
        <v>383.04108446572286</v>
      </c>
    </row>
    <row r="28" spans="1:9">
      <c r="D28">
        <v>26.786999999999999</v>
      </c>
      <c r="E28">
        <v>23.352</v>
      </c>
      <c r="F28">
        <f t="shared" si="13"/>
        <v>12.534749999999999</v>
      </c>
      <c r="G28">
        <f t="shared" si="14"/>
        <v>493.60690441068994</v>
      </c>
    </row>
    <row r="29" spans="1:9">
      <c r="D29">
        <v>26.536999999999999</v>
      </c>
      <c r="E29">
        <v>19.283000000000001</v>
      </c>
      <c r="F29">
        <f t="shared" si="13"/>
        <v>11.455</v>
      </c>
      <c r="G29">
        <f t="shared" si="14"/>
        <v>412.23044176590827</v>
      </c>
    </row>
    <row r="30" spans="1:9">
      <c r="D30">
        <v>32.107999999999997</v>
      </c>
      <c r="E30">
        <v>22.553000000000001</v>
      </c>
      <c r="F30">
        <f t="shared" si="13"/>
        <v>13.66525</v>
      </c>
      <c r="G30">
        <f t="shared" si="14"/>
        <v>586.65805137663153</v>
      </c>
    </row>
    <row r="31" spans="1:9">
      <c r="D31">
        <v>24.084</v>
      </c>
      <c r="E31">
        <v>20.45</v>
      </c>
      <c r="F31">
        <f t="shared" si="13"/>
        <v>11.1335</v>
      </c>
      <c r="G31">
        <f t="shared" si="14"/>
        <v>389.4155589576286</v>
      </c>
    </row>
    <row r="32" spans="1:9">
      <c r="D32">
        <v>26.026</v>
      </c>
      <c r="E32">
        <v>28.105</v>
      </c>
      <c r="F32">
        <f t="shared" si="13"/>
        <v>13.53275</v>
      </c>
      <c r="G32">
        <f t="shared" si="14"/>
        <v>575.33658397514705</v>
      </c>
    </row>
    <row r="33" spans="1:14">
      <c r="D33">
        <v>29.291</v>
      </c>
      <c r="E33">
        <v>21.419</v>
      </c>
      <c r="F33">
        <f t="shared" si="13"/>
        <v>12.6775</v>
      </c>
      <c r="G33">
        <f t="shared" si="14"/>
        <v>504.91364932725207</v>
      </c>
    </row>
    <row r="34" spans="1:14">
      <c r="D34">
        <v>27.5</v>
      </c>
      <c r="E34">
        <v>19.04</v>
      </c>
      <c r="F34">
        <f t="shared" si="13"/>
        <v>11.635</v>
      </c>
      <c r="G34">
        <f t="shared" si="14"/>
        <v>425.28752915275811</v>
      </c>
    </row>
    <row r="35" spans="1:14">
      <c r="D35">
        <v>30.558</v>
      </c>
      <c r="E35">
        <v>26.62</v>
      </c>
      <c r="F35">
        <f t="shared" si="13"/>
        <v>14.294499999999999</v>
      </c>
      <c r="G35">
        <f t="shared" si="14"/>
        <v>641.93020424134477</v>
      </c>
    </row>
    <row r="36" spans="1:14">
      <c r="D36">
        <v>22.794</v>
      </c>
      <c r="E36">
        <v>21.29</v>
      </c>
      <c r="F36">
        <f t="shared" si="13"/>
        <v>11.021000000000001</v>
      </c>
      <c r="G36">
        <f t="shared" si="14"/>
        <v>381.58551233268372</v>
      </c>
    </row>
    <row r="37" spans="1:14">
      <c r="D37">
        <v>34.869999999999997</v>
      </c>
      <c r="E37">
        <v>25.245999999999999</v>
      </c>
      <c r="F37">
        <f t="shared" si="13"/>
        <v>15.029</v>
      </c>
      <c r="G37">
        <f t="shared" si="14"/>
        <v>709.59417474574821</v>
      </c>
    </row>
    <row r="38" spans="1:14">
      <c r="D38">
        <v>30.533999999999999</v>
      </c>
      <c r="E38">
        <v>32.402999999999999</v>
      </c>
      <c r="F38">
        <f t="shared" si="13"/>
        <v>15.734249999999999</v>
      </c>
      <c r="G38">
        <f t="shared" si="14"/>
        <v>777.75348428718337</v>
      </c>
    </row>
    <row r="39" spans="1:14">
      <c r="D39">
        <v>25.43</v>
      </c>
      <c r="E39">
        <v>13.385</v>
      </c>
      <c r="F39">
        <f t="shared" si="13"/>
        <v>9.7037499999999994</v>
      </c>
      <c r="G39">
        <f t="shared" si="14"/>
        <v>295.82104782045894</v>
      </c>
    </row>
    <row r="40" spans="1:14">
      <c r="D40">
        <v>33.847000000000001</v>
      </c>
      <c r="E40">
        <v>22.308</v>
      </c>
      <c r="F40">
        <f t="shared" si="13"/>
        <v>14.03875</v>
      </c>
      <c r="G40">
        <f t="shared" si="14"/>
        <v>619.16550543046333</v>
      </c>
    </row>
    <row r="41" spans="1:14">
      <c r="D41">
        <v>31.808</v>
      </c>
      <c r="E41">
        <v>24.103000000000002</v>
      </c>
      <c r="F41">
        <f t="shared" si="13"/>
        <v>13.97775</v>
      </c>
      <c r="G41">
        <f t="shared" si="14"/>
        <v>613.79650316512607</v>
      </c>
    </row>
    <row r="42" spans="1:14">
      <c r="D42">
        <v>29.088000000000001</v>
      </c>
      <c r="E42">
        <v>20.795999999999999</v>
      </c>
      <c r="F42">
        <f t="shared" si="13"/>
        <v>12.471</v>
      </c>
      <c r="G42">
        <f t="shared" si="14"/>
        <v>488.59883952897428</v>
      </c>
    </row>
    <row r="43" spans="1:14">
      <c r="D43">
        <v>23.64</v>
      </c>
      <c r="E43">
        <v>19.349</v>
      </c>
      <c r="F43">
        <f t="shared" si="13"/>
        <v>10.747250000000001</v>
      </c>
      <c r="G43">
        <f t="shared" si="14"/>
        <v>362.86457812312148</v>
      </c>
    </row>
    <row r="44" spans="1:14">
      <c r="D44">
        <v>28.013000000000002</v>
      </c>
      <c r="E44">
        <v>18.657</v>
      </c>
      <c r="F44">
        <f t="shared" si="13"/>
        <v>11.6675</v>
      </c>
      <c r="G44">
        <f t="shared" si="14"/>
        <v>427.66675544409213</v>
      </c>
    </row>
    <row r="45" spans="1:14">
      <c r="D45">
        <v>26.702000000000002</v>
      </c>
      <c r="E45">
        <v>26.977</v>
      </c>
      <c r="F45">
        <f t="shared" si="13"/>
        <v>13.419750000000001</v>
      </c>
      <c r="G45">
        <f t="shared" si="14"/>
        <v>565.76844728761284</v>
      </c>
    </row>
    <row r="46" spans="1:14">
      <c r="D46">
        <v>25.818000000000001</v>
      </c>
      <c r="E46">
        <v>24.273</v>
      </c>
      <c r="F46">
        <f t="shared" si="13"/>
        <v>12.52275</v>
      </c>
      <c r="G46">
        <f t="shared" si="14"/>
        <v>492.66225891568217</v>
      </c>
    </row>
    <row r="47" spans="1:14">
      <c r="A47" s="68"/>
      <c r="B47" s="68"/>
      <c r="C47" s="68"/>
      <c r="D47" s="68">
        <v>31.65</v>
      </c>
      <c r="E47" s="68">
        <v>24.027000000000001</v>
      </c>
      <c r="F47" s="68">
        <f t="shared" si="13"/>
        <v>13.91925</v>
      </c>
      <c r="G47" s="68">
        <f t="shared" si="14"/>
        <v>608.66950406508022</v>
      </c>
      <c r="H47" s="68"/>
      <c r="I47" s="68"/>
      <c r="J47" s="68"/>
      <c r="K47" s="68"/>
      <c r="L47" s="68"/>
      <c r="M47" s="68"/>
      <c r="N47" s="68"/>
    </row>
    <row r="48" spans="1:14">
      <c r="B48">
        <f>B17</f>
        <v>225816.34899999999</v>
      </c>
      <c r="C48">
        <f>COUNT(D17:D47)</f>
        <v>31</v>
      </c>
      <c r="D48">
        <f>AVERAGE(D17:D47)</f>
        <v>27.793161290322576</v>
      </c>
      <c r="E48">
        <f t="shared" ref="E48:G48" si="15">AVERAGE(E17:E47)</f>
        <v>22.287774193548394</v>
      </c>
      <c r="F48">
        <f t="shared" si="15"/>
        <v>12.520233870967742</v>
      </c>
      <c r="G48">
        <f t="shared" si="15"/>
        <v>500.12337360810193</v>
      </c>
    </row>
    <row r="52" spans="1:7" ht="45">
      <c r="A52" s="2" t="s">
        <v>4</v>
      </c>
      <c r="B52" s="2" t="s">
        <v>15</v>
      </c>
      <c r="C52" s="2" t="s">
        <v>65</v>
      </c>
      <c r="D52" s="2" t="s">
        <v>66</v>
      </c>
      <c r="E52" s="2"/>
      <c r="F52" s="2" t="s">
        <v>57</v>
      </c>
      <c r="G52" s="2" t="s">
        <v>58</v>
      </c>
    </row>
    <row r="53" spans="1:7">
      <c r="A53" t="s">
        <v>198</v>
      </c>
      <c r="B53">
        <v>53555.555999999997</v>
      </c>
      <c r="D53">
        <v>29.966999999999999</v>
      </c>
      <c r="E53">
        <v>22.846</v>
      </c>
      <c r="F53">
        <f t="shared" ref="F53" si="16">((D53+E53)/2)/2</f>
        <v>13.203250000000001</v>
      </c>
      <c r="G53">
        <f t="shared" ref="G53:G83" si="17">PI()*(F53^2)</f>
        <v>547.66068579423597</v>
      </c>
    </row>
    <row r="54" spans="1:7">
      <c r="D54">
        <v>21.675999999999998</v>
      </c>
      <c r="E54">
        <v>24.559000000000001</v>
      </c>
      <c r="F54">
        <f t="shared" ref="F54:F83" si="18">((D54+E54)/2)/2</f>
        <v>11.55875</v>
      </c>
      <c r="G54">
        <f t="shared" si="17"/>
        <v>419.73154891380676</v>
      </c>
    </row>
    <row r="55" spans="1:7">
      <c r="D55">
        <v>19.901</v>
      </c>
      <c r="E55">
        <v>12.885</v>
      </c>
      <c r="F55">
        <f t="shared" si="18"/>
        <v>8.1965000000000003</v>
      </c>
      <c r="G55">
        <f t="shared" si="17"/>
        <v>211.06040109357167</v>
      </c>
    </row>
    <row r="56" spans="1:7">
      <c r="D56">
        <v>20.036999999999999</v>
      </c>
      <c r="E56">
        <v>20.515000000000001</v>
      </c>
      <c r="F56">
        <f t="shared" si="18"/>
        <v>10.138</v>
      </c>
      <c r="G56">
        <f t="shared" si="17"/>
        <v>322.88988957338211</v>
      </c>
    </row>
    <row r="57" spans="1:7">
      <c r="D57">
        <v>25.071000000000002</v>
      </c>
      <c r="E57">
        <v>20.776</v>
      </c>
      <c r="F57">
        <f t="shared" si="18"/>
        <v>11.46175</v>
      </c>
      <c r="G57">
        <f t="shared" si="17"/>
        <v>412.7164086466563</v>
      </c>
    </row>
    <row r="58" spans="1:7">
      <c r="D58">
        <v>31.298999999999999</v>
      </c>
      <c r="E58">
        <v>26.376000000000001</v>
      </c>
      <c r="F58">
        <f t="shared" si="18"/>
        <v>14.418749999999999</v>
      </c>
      <c r="G58">
        <f t="shared" si="17"/>
        <v>653.13821714748519</v>
      </c>
    </row>
    <row r="59" spans="1:7">
      <c r="D59">
        <v>25.794</v>
      </c>
      <c r="E59">
        <v>21.9</v>
      </c>
      <c r="F59">
        <f t="shared" si="18"/>
        <v>11.923500000000001</v>
      </c>
      <c r="G59">
        <f t="shared" si="17"/>
        <v>446.63976339054636</v>
      </c>
    </row>
    <row r="60" spans="1:7">
      <c r="D60">
        <v>22.315999999999999</v>
      </c>
      <c r="E60">
        <v>23.337</v>
      </c>
      <c r="F60">
        <f t="shared" si="18"/>
        <v>11.41325</v>
      </c>
      <c r="G60">
        <f t="shared" si="17"/>
        <v>409.23100794703919</v>
      </c>
    </row>
    <row r="61" spans="1:7">
      <c r="D61">
        <v>20.422999999999998</v>
      </c>
      <c r="E61">
        <v>13.898</v>
      </c>
      <c r="F61">
        <f t="shared" si="18"/>
        <v>8.5802499999999995</v>
      </c>
      <c r="G61">
        <f t="shared" si="17"/>
        <v>231.28621905256105</v>
      </c>
    </row>
    <row r="62" spans="1:7">
      <c r="D62">
        <v>24.939</v>
      </c>
      <c r="E62">
        <v>27.393000000000001</v>
      </c>
      <c r="F62">
        <f t="shared" si="18"/>
        <v>13.083</v>
      </c>
      <c r="G62">
        <f t="shared" si="17"/>
        <v>537.73035783491241</v>
      </c>
    </row>
    <row r="63" spans="1:7">
      <c r="D63">
        <v>19.593</v>
      </c>
      <c r="E63">
        <v>21.337</v>
      </c>
      <c r="F63">
        <f t="shared" si="18"/>
        <v>10.2325</v>
      </c>
      <c r="G63">
        <f t="shared" si="17"/>
        <v>328.93749391605246</v>
      </c>
    </row>
    <row r="64" spans="1:7">
      <c r="D64">
        <v>19.423999999999999</v>
      </c>
      <c r="E64">
        <v>31.794</v>
      </c>
      <c r="F64">
        <f t="shared" si="18"/>
        <v>12.804500000000001</v>
      </c>
      <c r="G64">
        <f t="shared" si="17"/>
        <v>515.08051545509659</v>
      </c>
    </row>
    <row r="65" spans="4:7">
      <c r="D65">
        <v>21.709</v>
      </c>
      <c r="E65">
        <v>19.774999999999999</v>
      </c>
      <c r="F65">
        <f t="shared" si="18"/>
        <v>10.370999999999999</v>
      </c>
      <c r="G65">
        <f t="shared" si="17"/>
        <v>337.90229480304828</v>
      </c>
    </row>
    <row r="66" spans="4:7">
      <c r="D66">
        <v>22.707999999999998</v>
      </c>
      <c r="E66">
        <v>18.736999999999998</v>
      </c>
      <c r="F66">
        <f t="shared" si="18"/>
        <v>10.361249999999998</v>
      </c>
      <c r="G66">
        <f t="shared" si="17"/>
        <v>337.26725503119746</v>
      </c>
    </row>
    <row r="67" spans="4:7">
      <c r="D67">
        <v>31.242999999999999</v>
      </c>
      <c r="E67">
        <v>22.562999999999999</v>
      </c>
      <c r="F67">
        <f t="shared" si="18"/>
        <v>13.451499999999999</v>
      </c>
      <c r="G67">
        <f t="shared" si="17"/>
        <v>568.44873534818328</v>
      </c>
    </row>
    <row r="68" spans="4:7">
      <c r="D68">
        <v>30.434000000000001</v>
      </c>
      <c r="E68">
        <v>20.277000000000001</v>
      </c>
      <c r="F68">
        <f t="shared" si="18"/>
        <v>12.67775</v>
      </c>
      <c r="G68">
        <f t="shared" si="17"/>
        <v>504.93356329403451</v>
      </c>
    </row>
    <row r="69" spans="4:7">
      <c r="D69">
        <v>16.68</v>
      </c>
      <c r="E69">
        <v>13.96</v>
      </c>
      <c r="F69">
        <f t="shared" si="18"/>
        <v>7.66</v>
      </c>
      <c r="G69">
        <f t="shared" si="17"/>
        <v>184.33483390497327</v>
      </c>
    </row>
    <row r="70" spans="4:7">
      <c r="D70">
        <v>21.998000000000001</v>
      </c>
      <c r="E70">
        <v>25.483000000000001</v>
      </c>
      <c r="F70">
        <f t="shared" si="18"/>
        <v>11.87025</v>
      </c>
      <c r="G70">
        <f t="shared" si="17"/>
        <v>442.65931150232433</v>
      </c>
    </row>
    <row r="71" spans="4:7">
      <c r="D71">
        <v>23.748000000000001</v>
      </c>
      <c r="E71">
        <v>21.079000000000001</v>
      </c>
      <c r="F71">
        <f t="shared" si="18"/>
        <v>11.20675</v>
      </c>
      <c r="G71">
        <f t="shared" si="17"/>
        <v>394.55653441434168</v>
      </c>
    </row>
    <row r="72" spans="4:7">
      <c r="D72">
        <v>22.547000000000001</v>
      </c>
      <c r="E72">
        <v>18.914000000000001</v>
      </c>
      <c r="F72">
        <f t="shared" si="18"/>
        <v>10.36525</v>
      </c>
      <c r="G72">
        <f t="shared" si="17"/>
        <v>337.52771191173605</v>
      </c>
    </row>
    <row r="73" spans="4:7">
      <c r="D73">
        <v>33.773000000000003</v>
      </c>
      <c r="E73">
        <v>19.809000000000001</v>
      </c>
      <c r="F73">
        <f t="shared" si="18"/>
        <v>13.395500000000002</v>
      </c>
      <c r="G73">
        <f t="shared" si="17"/>
        <v>563.72556442181167</v>
      </c>
    </row>
    <row r="74" spans="4:7">
      <c r="D74">
        <v>15.686</v>
      </c>
      <c r="E74">
        <v>14.464</v>
      </c>
      <c r="F74">
        <f t="shared" si="18"/>
        <v>7.5374999999999996</v>
      </c>
      <c r="G74">
        <f t="shared" si="17"/>
        <v>178.48615049673921</v>
      </c>
    </row>
    <row r="75" spans="4:7">
      <c r="D75">
        <v>17.707999999999998</v>
      </c>
      <c r="E75">
        <v>19.241</v>
      </c>
      <c r="F75">
        <f t="shared" si="18"/>
        <v>9.2372499999999995</v>
      </c>
      <c r="G75">
        <f t="shared" si="17"/>
        <v>268.06200896076689</v>
      </c>
    </row>
    <row r="76" spans="4:7">
      <c r="D76">
        <v>27.805</v>
      </c>
      <c r="E76">
        <v>31.692</v>
      </c>
      <c r="F76">
        <f t="shared" si="18"/>
        <v>14.87425</v>
      </c>
      <c r="G76">
        <f t="shared" si="17"/>
        <v>695.05636697301668</v>
      </c>
    </row>
    <row r="77" spans="4:7">
      <c r="D77">
        <v>30.631</v>
      </c>
      <c r="E77">
        <v>23.690999999999999</v>
      </c>
      <c r="F77">
        <f t="shared" si="18"/>
        <v>13.580500000000001</v>
      </c>
      <c r="G77">
        <f t="shared" si="17"/>
        <v>579.4038710551107</v>
      </c>
    </row>
    <row r="78" spans="4:7">
      <c r="D78">
        <v>19.262</v>
      </c>
      <c r="E78">
        <v>16.678000000000001</v>
      </c>
      <c r="F78">
        <f t="shared" si="18"/>
        <v>8.9849999999999994</v>
      </c>
      <c r="G78">
        <f t="shared" si="17"/>
        <v>253.62148178265102</v>
      </c>
    </row>
    <row r="79" spans="4:7">
      <c r="D79">
        <v>25.617999999999999</v>
      </c>
      <c r="E79">
        <v>20.920999999999999</v>
      </c>
      <c r="F79">
        <f t="shared" si="18"/>
        <v>11.63475</v>
      </c>
      <c r="G79">
        <f t="shared" si="17"/>
        <v>425.26925313384544</v>
      </c>
    </row>
    <row r="80" spans="4:7">
      <c r="D80">
        <v>20.658000000000001</v>
      </c>
      <c r="E80">
        <v>16.524999999999999</v>
      </c>
      <c r="F80">
        <f t="shared" si="18"/>
        <v>9.29575</v>
      </c>
      <c r="G80">
        <f t="shared" si="17"/>
        <v>271.46806245473226</v>
      </c>
    </row>
    <row r="81" spans="1:7">
      <c r="D81">
        <v>29.407</v>
      </c>
      <c r="E81">
        <v>14.557</v>
      </c>
      <c r="F81">
        <f t="shared" si="18"/>
        <v>10.991</v>
      </c>
      <c r="G81">
        <f t="shared" si="17"/>
        <v>379.51093020795906</v>
      </c>
    </row>
    <row r="82" spans="1:7">
      <c r="D82">
        <v>22.295999999999999</v>
      </c>
      <c r="E82">
        <v>15.35</v>
      </c>
      <c r="F82">
        <f t="shared" si="18"/>
        <v>9.4115000000000002</v>
      </c>
      <c r="G82">
        <f t="shared" si="17"/>
        <v>278.2707546785287</v>
      </c>
    </row>
    <row r="83" spans="1:7">
      <c r="D83">
        <v>18.446999999999999</v>
      </c>
      <c r="E83">
        <v>17.786999999999999</v>
      </c>
      <c r="F83">
        <f t="shared" si="18"/>
        <v>9.0584999999999987</v>
      </c>
      <c r="G83">
        <f t="shared" si="17"/>
        <v>257.78785332046192</v>
      </c>
    </row>
    <row r="84" spans="1:7">
      <c r="B84" s="7">
        <f>B53</f>
        <v>53555.555999999997</v>
      </c>
      <c r="C84" s="7">
        <f>COUNT(D53:D83)</f>
        <v>31</v>
      </c>
      <c r="D84" s="7">
        <f>AVERAGE(D53:D83)</f>
        <v>23.638645161290324</v>
      </c>
      <c r="E84" s="7">
        <f t="shared" ref="E84" si="19">AVERAGE(E53:E83)</f>
        <v>20.616741935483873</v>
      </c>
      <c r="F84" s="7">
        <f t="shared" ref="F84" si="20">AVERAGE(F53:F83)</f>
        <v>11.063846774193548</v>
      </c>
      <c r="G84" s="7">
        <f t="shared" ref="G84" si="21">AVERAGE(G53:G83)</f>
        <v>396.59338859550996</v>
      </c>
    </row>
    <row r="86" spans="1:7" ht="45">
      <c r="A86" s="2" t="s">
        <v>4</v>
      </c>
      <c r="B86" s="2" t="s">
        <v>15</v>
      </c>
      <c r="C86" s="2" t="s">
        <v>65</v>
      </c>
      <c r="D86" s="2" t="s">
        <v>66</v>
      </c>
      <c r="E86" s="2"/>
      <c r="F86" s="2" t="s">
        <v>57</v>
      </c>
      <c r="G86" s="2" t="s">
        <v>58</v>
      </c>
    </row>
    <row r="87" spans="1:7">
      <c r="A87" t="s">
        <v>200</v>
      </c>
      <c r="B87">
        <v>148224.826</v>
      </c>
      <c r="D87">
        <v>30.48</v>
      </c>
      <c r="E87">
        <v>22.376000000000001</v>
      </c>
      <c r="F87">
        <f t="shared" ref="F87" si="22">((D87+E87)/2)/2</f>
        <v>13.214</v>
      </c>
      <c r="G87">
        <f t="shared" ref="G87:G125" si="23">PI()*(F87^2)</f>
        <v>548.55285235841245</v>
      </c>
    </row>
    <row r="88" spans="1:7">
      <c r="D88">
        <v>25.082000000000001</v>
      </c>
      <c r="E88">
        <v>24.228999999999999</v>
      </c>
      <c r="F88">
        <f t="shared" ref="F88:F125" si="24">((D88+E88)/2)/2</f>
        <v>12.32775</v>
      </c>
      <c r="G88">
        <f t="shared" si="23"/>
        <v>477.43858000926565</v>
      </c>
    </row>
    <row r="89" spans="1:7">
      <c r="D89">
        <v>31.992000000000001</v>
      </c>
      <c r="E89">
        <v>20.844999999999999</v>
      </c>
      <c r="F89">
        <f t="shared" si="24"/>
        <v>13.209250000000001</v>
      </c>
      <c r="G89">
        <f t="shared" si="23"/>
        <v>548.15854969001361</v>
      </c>
    </row>
    <row r="90" spans="1:7">
      <c r="D90">
        <v>29.143999999999998</v>
      </c>
      <c r="E90">
        <v>25.012</v>
      </c>
      <c r="F90">
        <f t="shared" si="24"/>
        <v>13.539</v>
      </c>
      <c r="G90">
        <f t="shared" si="23"/>
        <v>575.86813654339596</v>
      </c>
    </row>
    <row r="91" spans="1:7">
      <c r="D91">
        <v>28.364000000000001</v>
      </c>
      <c r="E91">
        <v>25.873999999999999</v>
      </c>
      <c r="F91">
        <f t="shared" si="24"/>
        <v>13.5595</v>
      </c>
      <c r="G91">
        <f t="shared" si="23"/>
        <v>577.6133517381237</v>
      </c>
    </row>
    <row r="92" spans="1:7">
      <c r="D92">
        <v>21.611999999999998</v>
      </c>
      <c r="E92">
        <v>16.670000000000002</v>
      </c>
      <c r="F92">
        <f t="shared" si="24"/>
        <v>9.5704999999999991</v>
      </c>
      <c r="G92">
        <f t="shared" si="23"/>
        <v>287.75251484684884</v>
      </c>
    </row>
    <row r="93" spans="1:7">
      <c r="D93">
        <v>27.439</v>
      </c>
      <c r="E93">
        <v>26.216999999999999</v>
      </c>
      <c r="F93">
        <f t="shared" si="24"/>
        <v>13.414</v>
      </c>
      <c r="G93">
        <f t="shared" si="23"/>
        <v>565.28371819437018</v>
      </c>
    </row>
    <row r="94" spans="1:7">
      <c r="D94">
        <v>22.018000000000001</v>
      </c>
      <c r="E94">
        <v>21.120999999999999</v>
      </c>
      <c r="F94">
        <f t="shared" si="24"/>
        <v>10.784749999999999</v>
      </c>
      <c r="G94">
        <f t="shared" si="23"/>
        <v>365.40125711126245</v>
      </c>
    </row>
    <row r="95" spans="1:7">
      <c r="D95">
        <v>25.07</v>
      </c>
      <c r="E95">
        <v>23.126000000000001</v>
      </c>
      <c r="F95">
        <f t="shared" si="24"/>
        <v>12.048999999999999</v>
      </c>
      <c r="G95">
        <f t="shared" si="23"/>
        <v>456.091398041513</v>
      </c>
    </row>
    <row r="96" spans="1:7">
      <c r="D96">
        <v>19.100000000000001</v>
      </c>
      <c r="E96">
        <v>21.114999999999998</v>
      </c>
      <c r="F96">
        <f t="shared" si="24"/>
        <v>10.053750000000001</v>
      </c>
      <c r="G96">
        <f t="shared" si="23"/>
        <v>317.54555371911414</v>
      </c>
    </row>
    <row r="97" spans="4:7">
      <c r="D97">
        <v>21.864000000000001</v>
      </c>
      <c r="E97">
        <v>22.568999999999999</v>
      </c>
      <c r="F97">
        <f t="shared" si="24"/>
        <v>11.10825</v>
      </c>
      <c r="G97">
        <f t="shared" si="23"/>
        <v>387.65122736795337</v>
      </c>
    </row>
    <row r="98" spans="4:7">
      <c r="D98">
        <v>18.416</v>
      </c>
      <c r="E98">
        <v>18.907</v>
      </c>
      <c r="F98">
        <f t="shared" si="24"/>
        <v>9.3307500000000001</v>
      </c>
      <c r="G98">
        <f t="shared" si="23"/>
        <v>273.51615309940541</v>
      </c>
    </row>
    <row r="99" spans="4:7">
      <c r="D99">
        <v>22.827000000000002</v>
      </c>
      <c r="E99">
        <v>21.96</v>
      </c>
      <c r="F99">
        <f t="shared" si="24"/>
        <v>11.196750000000002</v>
      </c>
      <c r="G99">
        <f t="shared" si="23"/>
        <v>393.85270770419481</v>
      </c>
    </row>
    <row r="100" spans="4:7">
      <c r="D100">
        <v>30.92</v>
      </c>
      <c r="E100">
        <v>21.475000000000001</v>
      </c>
      <c r="F100">
        <f t="shared" si="24"/>
        <v>13.098750000000001</v>
      </c>
      <c r="G100">
        <f t="shared" si="23"/>
        <v>539.02583303187794</v>
      </c>
    </row>
    <row r="101" spans="4:7">
      <c r="D101">
        <v>27.082999999999998</v>
      </c>
      <c r="E101">
        <v>22.571999999999999</v>
      </c>
      <c r="F101">
        <f t="shared" si="24"/>
        <v>12.41375</v>
      </c>
      <c r="G101">
        <f t="shared" si="23"/>
        <v>484.12316346820177</v>
      </c>
    </row>
    <row r="102" spans="4:7">
      <c r="D102">
        <v>22.919</v>
      </c>
      <c r="E102">
        <v>22.222000000000001</v>
      </c>
      <c r="F102">
        <f t="shared" si="24"/>
        <v>11.285250000000001</v>
      </c>
      <c r="G102">
        <f t="shared" si="23"/>
        <v>400.10339951855832</v>
      </c>
    </row>
    <row r="103" spans="4:7">
      <c r="D103">
        <v>28.158999999999999</v>
      </c>
      <c r="E103">
        <v>25.01</v>
      </c>
      <c r="F103">
        <f t="shared" si="24"/>
        <v>13.292249999999999</v>
      </c>
      <c r="G103">
        <f t="shared" si="23"/>
        <v>555.06887385986965</v>
      </c>
    </row>
    <row r="104" spans="4:7">
      <c r="D104">
        <v>21.283000000000001</v>
      </c>
      <c r="E104">
        <v>13.967000000000001</v>
      </c>
      <c r="F104">
        <f t="shared" si="24"/>
        <v>8.8125</v>
      </c>
      <c r="G104">
        <f t="shared" si="23"/>
        <v>243.97657635163546</v>
      </c>
    </row>
    <row r="105" spans="4:7">
      <c r="D105">
        <v>20.202000000000002</v>
      </c>
      <c r="E105">
        <v>17.8</v>
      </c>
      <c r="F105">
        <f t="shared" si="24"/>
        <v>9.5005000000000006</v>
      </c>
      <c r="G105">
        <f t="shared" si="23"/>
        <v>283.55858290208613</v>
      </c>
    </row>
    <row r="106" spans="4:7">
      <c r="D106">
        <v>24.140999999999998</v>
      </c>
      <c r="E106">
        <v>15.563000000000001</v>
      </c>
      <c r="F106">
        <f t="shared" si="24"/>
        <v>9.9260000000000002</v>
      </c>
      <c r="G106">
        <f t="shared" si="23"/>
        <v>309.52691159303748</v>
      </c>
    </row>
    <row r="107" spans="4:7">
      <c r="D107">
        <v>18.175000000000001</v>
      </c>
      <c r="E107">
        <v>16.234000000000002</v>
      </c>
      <c r="F107">
        <f t="shared" si="24"/>
        <v>8.6022500000000015</v>
      </c>
      <c r="G107">
        <f t="shared" si="23"/>
        <v>232.47378819950791</v>
      </c>
    </row>
    <row r="108" spans="4:7">
      <c r="D108">
        <v>20.347000000000001</v>
      </c>
      <c r="E108">
        <v>20.202000000000002</v>
      </c>
      <c r="F108">
        <f t="shared" si="24"/>
        <v>10.137250000000002</v>
      </c>
      <c r="G108">
        <f t="shared" si="23"/>
        <v>322.84211714104492</v>
      </c>
    </row>
    <row r="109" spans="4:7">
      <c r="D109">
        <v>28.902999999999999</v>
      </c>
      <c r="E109">
        <v>20.626999999999999</v>
      </c>
      <c r="F109">
        <f t="shared" si="24"/>
        <v>12.3825</v>
      </c>
      <c r="G109">
        <f t="shared" si="23"/>
        <v>481.68879731705886</v>
      </c>
    </row>
    <row r="110" spans="4:7">
      <c r="D110">
        <v>30.097999999999999</v>
      </c>
      <c r="E110">
        <v>20.423999999999999</v>
      </c>
      <c r="F110">
        <f t="shared" si="24"/>
        <v>12.6305</v>
      </c>
      <c r="G110">
        <f t="shared" si="23"/>
        <v>501.17680026403065</v>
      </c>
    </row>
    <row r="111" spans="4:7">
      <c r="D111">
        <v>23.981000000000002</v>
      </c>
      <c r="E111">
        <v>21.091999999999999</v>
      </c>
      <c r="F111">
        <f t="shared" si="24"/>
        <v>11.26825</v>
      </c>
      <c r="G111">
        <f t="shared" si="23"/>
        <v>398.89888305004166</v>
      </c>
    </row>
    <row r="112" spans="4:7">
      <c r="D112">
        <v>28.481000000000002</v>
      </c>
      <c r="E112">
        <v>25.556000000000001</v>
      </c>
      <c r="F112">
        <f t="shared" si="24"/>
        <v>13.509250000000002</v>
      </c>
      <c r="G112">
        <f t="shared" si="23"/>
        <v>573.34014268449539</v>
      </c>
    </row>
    <row r="113" spans="2:7">
      <c r="D113">
        <v>26.917999999999999</v>
      </c>
      <c r="E113">
        <v>23.917999999999999</v>
      </c>
      <c r="F113">
        <f t="shared" si="24"/>
        <v>12.709</v>
      </c>
      <c r="G113">
        <f t="shared" si="23"/>
        <v>507.42590164711328</v>
      </c>
    </row>
    <row r="114" spans="2:7">
      <c r="D114">
        <v>20.986000000000001</v>
      </c>
      <c r="E114">
        <v>19.175999999999998</v>
      </c>
      <c r="F114">
        <f t="shared" si="24"/>
        <v>10.0405</v>
      </c>
      <c r="G114">
        <f t="shared" si="23"/>
        <v>316.70910840573708</v>
      </c>
    </row>
    <row r="115" spans="2:7">
      <c r="D115">
        <v>28.004999999999999</v>
      </c>
      <c r="E115">
        <v>28.108000000000001</v>
      </c>
      <c r="F115">
        <f t="shared" si="24"/>
        <v>14.02825</v>
      </c>
      <c r="G115">
        <f t="shared" si="23"/>
        <v>618.23966707987609</v>
      </c>
    </row>
    <row r="116" spans="2:7">
      <c r="D116">
        <v>22.515999999999998</v>
      </c>
      <c r="E116">
        <v>23.472999999999999</v>
      </c>
      <c r="F116">
        <f t="shared" si="24"/>
        <v>11.497249999999999</v>
      </c>
      <c r="G116">
        <f t="shared" si="23"/>
        <v>415.27694646020501</v>
      </c>
    </row>
    <row r="117" spans="2:7">
      <c r="D117">
        <v>16.378</v>
      </c>
      <c r="E117">
        <v>18.195</v>
      </c>
      <c r="F117">
        <f t="shared" si="24"/>
        <v>8.6432500000000001</v>
      </c>
      <c r="G117">
        <f t="shared" si="23"/>
        <v>234.69509997991466</v>
      </c>
    </row>
    <row r="118" spans="2:7">
      <c r="D118">
        <v>23.472999999999999</v>
      </c>
      <c r="E118">
        <v>24.38</v>
      </c>
      <c r="F118">
        <f t="shared" si="24"/>
        <v>11.963249999999999</v>
      </c>
      <c r="G118">
        <f t="shared" si="23"/>
        <v>449.62270031369212</v>
      </c>
    </row>
    <row r="119" spans="2:7">
      <c r="D119">
        <v>16.085000000000001</v>
      </c>
      <c r="E119">
        <v>17.922000000000001</v>
      </c>
      <c r="F119">
        <f t="shared" si="24"/>
        <v>8.5017500000000013</v>
      </c>
      <c r="G119">
        <f t="shared" si="23"/>
        <v>227.07354122443442</v>
      </c>
    </row>
    <row r="120" spans="2:7">
      <c r="D120">
        <v>21.396000000000001</v>
      </c>
      <c r="E120">
        <v>17.434000000000001</v>
      </c>
      <c r="F120">
        <f t="shared" si="24"/>
        <v>9.7074999999999996</v>
      </c>
      <c r="G120">
        <f t="shared" si="23"/>
        <v>296.0497312219477</v>
      </c>
    </row>
    <row r="121" spans="2:7">
      <c r="D121">
        <v>23.079000000000001</v>
      </c>
      <c r="E121">
        <v>20.94</v>
      </c>
      <c r="F121">
        <f t="shared" si="24"/>
        <v>11.004750000000001</v>
      </c>
      <c r="G121">
        <f t="shared" si="23"/>
        <v>380.46107839884945</v>
      </c>
    </row>
    <row r="122" spans="2:7">
      <c r="D122">
        <v>28.821999999999999</v>
      </c>
      <c r="E122">
        <v>23.305</v>
      </c>
      <c r="F122">
        <f t="shared" si="24"/>
        <v>13.031749999999999</v>
      </c>
      <c r="G122">
        <f t="shared" si="23"/>
        <v>533.52571011395776</v>
      </c>
    </row>
    <row r="123" spans="2:7">
      <c r="D123">
        <v>24.140999999999998</v>
      </c>
      <c r="E123">
        <v>17.739000000000001</v>
      </c>
      <c r="F123">
        <f t="shared" si="24"/>
        <v>10.469999999999999</v>
      </c>
      <c r="G123">
        <f t="shared" si="23"/>
        <v>344.38421411990129</v>
      </c>
    </row>
    <row r="124" spans="2:7">
      <c r="D124">
        <v>24.856999999999999</v>
      </c>
      <c r="E124">
        <v>19.376000000000001</v>
      </c>
      <c r="F124">
        <f t="shared" si="24"/>
        <v>11.058250000000001</v>
      </c>
      <c r="G124">
        <f t="shared" si="23"/>
        <v>384.16932169016354</v>
      </c>
    </row>
    <row r="125" spans="2:7">
      <c r="D125">
        <v>26.140999999999998</v>
      </c>
      <c r="E125">
        <v>20.033999999999999</v>
      </c>
      <c r="F125">
        <f t="shared" si="24"/>
        <v>11.543749999999999</v>
      </c>
      <c r="G125">
        <f t="shared" si="23"/>
        <v>418.64286924961334</v>
      </c>
    </row>
    <row r="126" spans="2:7">
      <c r="B126" s="7">
        <f>B87</f>
        <v>148224.826</v>
      </c>
      <c r="C126" s="7">
        <f>COUNT(D87:D125)</f>
        <v>39</v>
      </c>
      <c r="D126" s="7">
        <f>AVERAGE(D87:D125)</f>
        <v>24.38197435897435</v>
      </c>
      <c r="E126" s="7">
        <f>AVERAGE(E87:E125)</f>
        <v>21.199102564102564</v>
      </c>
      <c r="F126" s="7">
        <f>AVERAGE(F87:F125)</f>
        <v>11.395269230769232</v>
      </c>
      <c r="G126" s="7">
        <f>AVERAGE(G87:G125)</f>
        <v>416.07194255668526</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G52"/>
  <sheetViews>
    <sheetView topLeftCell="A29" workbookViewId="0">
      <selection activeCell="A36" sqref="A36:F43"/>
    </sheetView>
  </sheetViews>
  <sheetFormatPr baseColWidth="10" defaultRowHeight="15" x14ac:dyDescent="0"/>
  <cols>
    <col min="1" max="1" width="26.33203125" customWidth="1"/>
  </cols>
  <sheetData>
    <row r="5" spans="1:7">
      <c r="A5" s="36" t="s">
        <v>203</v>
      </c>
    </row>
    <row r="6" spans="1:7">
      <c r="A6" s="68" t="s">
        <v>204</v>
      </c>
      <c r="B6" s="107"/>
      <c r="C6" s="68"/>
      <c r="D6" s="68"/>
      <c r="E6" s="68"/>
      <c r="F6" s="68"/>
      <c r="G6" s="68"/>
    </row>
    <row r="7" spans="1:7" ht="60">
      <c r="B7" s="112" t="s">
        <v>210</v>
      </c>
      <c r="C7" s="112" t="s">
        <v>211</v>
      </c>
      <c r="D7" s="112" t="s">
        <v>205</v>
      </c>
      <c r="E7" s="113" t="s">
        <v>206</v>
      </c>
      <c r="F7" s="113" t="s">
        <v>207</v>
      </c>
      <c r="G7" s="113" t="s">
        <v>208</v>
      </c>
    </row>
    <row r="8" spans="1:7">
      <c r="A8" t="str">
        <f>A18</f>
        <v>Neo-RR-cho-C-02</v>
      </c>
      <c r="B8">
        <f>B22</f>
        <v>17.344333333333335</v>
      </c>
      <c r="C8">
        <f t="shared" ref="C8:F8" si="0">C22</f>
        <v>16.936666666666667</v>
      </c>
      <c r="D8">
        <f t="shared" si="0"/>
        <v>17.140499999999999</v>
      </c>
      <c r="E8">
        <f t="shared" si="0"/>
        <v>8.5702499999999997</v>
      </c>
      <c r="F8">
        <f t="shared" si="0"/>
        <v>232.47554762229353</v>
      </c>
    </row>
    <row r="9" spans="1:7">
      <c r="A9" t="str">
        <f>A25</f>
        <v>Neo-RR-cho-C-04</v>
      </c>
      <c r="B9">
        <f>B33</f>
        <v>16.956285714285716</v>
      </c>
      <c r="C9">
        <f t="shared" ref="C9:F9" si="1">C33</f>
        <v>16.443714285714286</v>
      </c>
      <c r="D9">
        <f t="shared" si="1"/>
        <v>16.7</v>
      </c>
      <c r="E9">
        <f t="shared" si="1"/>
        <v>8.35</v>
      </c>
      <c r="F9">
        <f t="shared" si="1"/>
        <v>227.68201787670128</v>
      </c>
    </row>
    <row r="10" spans="1:7">
      <c r="A10" t="str">
        <f>A36</f>
        <v>Np1-cor1-04</v>
      </c>
      <c r="B10">
        <f>B43</f>
        <v>16.648833333333332</v>
      </c>
      <c r="C10">
        <f t="shared" ref="C10:F10" si="2">C43</f>
        <v>16.735833333333332</v>
      </c>
      <c r="D10">
        <f t="shared" si="2"/>
        <v>16.692333333333334</v>
      </c>
      <c r="E10">
        <f t="shared" si="2"/>
        <v>8.346166666666667</v>
      </c>
      <c r="F10">
        <f t="shared" si="2"/>
        <v>225.75697213084558</v>
      </c>
    </row>
    <row r="11" spans="1:7">
      <c r="A11" s="68" t="str">
        <f>A46</f>
        <v>Np1-osc3-09</v>
      </c>
      <c r="B11" s="68">
        <f>B52</f>
        <v>14.177800000000001</v>
      </c>
      <c r="C11" s="68">
        <f>C52</f>
        <v>13.1236</v>
      </c>
      <c r="D11" s="68">
        <f>D52</f>
        <v>13.650700000000001</v>
      </c>
      <c r="E11" s="68">
        <f>E52</f>
        <v>6.8253500000000003</v>
      </c>
      <c r="F11" s="68">
        <f>F52</f>
        <v>163.52470570909534</v>
      </c>
      <c r="G11" s="68"/>
    </row>
    <row r="12" spans="1:7">
      <c r="A12" s="108" t="s">
        <v>209</v>
      </c>
      <c r="B12" s="109"/>
      <c r="C12" s="110"/>
      <c r="D12" s="109">
        <f>AVERAGE(D8:D11)</f>
        <v>16.045883333333332</v>
      </c>
      <c r="E12" s="109">
        <f>AVERAGE(E8:E11)</f>
        <v>8.0229416666666662</v>
      </c>
      <c r="F12" s="109">
        <f>AVERAGE(F8:F11)</f>
        <v>212.35981083473393</v>
      </c>
      <c r="G12" s="111">
        <f>(F12*'Choanocyte Chambers'!G12)/1000000</f>
        <v>2.0794945546303398</v>
      </c>
    </row>
    <row r="18" spans="1:7" ht="49">
      <c r="A18" t="s">
        <v>163</v>
      </c>
      <c r="B18" s="112" t="s">
        <v>210</v>
      </c>
      <c r="C18" s="112" t="s">
        <v>211</v>
      </c>
      <c r="D18" s="112" t="s">
        <v>205</v>
      </c>
      <c r="E18" s="113" t="s">
        <v>206</v>
      </c>
      <c r="F18" s="113" t="s">
        <v>207</v>
      </c>
      <c r="G18" s="113"/>
    </row>
    <row r="19" spans="1:7">
      <c r="B19">
        <v>19.084</v>
      </c>
      <c r="C19">
        <v>17.861000000000001</v>
      </c>
      <c r="D19">
        <f>(B19+C19)/2</f>
        <v>18.4725</v>
      </c>
      <c r="E19">
        <f>D19/2</f>
        <v>9.2362500000000001</v>
      </c>
      <c r="F19">
        <f>PI()*(E19^2)</f>
        <v>268.00397274888087</v>
      </c>
    </row>
    <row r="20" spans="1:7">
      <c r="B20">
        <v>17.878</v>
      </c>
      <c r="C20">
        <v>17.878</v>
      </c>
      <c r="D20">
        <f t="shared" ref="D20:D21" si="3">(B20+C20)/2</f>
        <v>17.878</v>
      </c>
      <c r="E20">
        <f t="shared" ref="E20:E21" si="4">D20/2</f>
        <v>8.9390000000000001</v>
      </c>
      <c r="F20">
        <f t="shared" ref="F20:F21" si="5">PI()*(E20^2)</f>
        <v>251.03122607339566</v>
      </c>
    </row>
    <row r="21" spans="1:7">
      <c r="B21" s="68">
        <v>15.071</v>
      </c>
      <c r="C21" s="68">
        <v>15.071</v>
      </c>
      <c r="D21" s="68">
        <f t="shared" si="3"/>
        <v>15.071</v>
      </c>
      <c r="E21" s="68">
        <f t="shared" si="4"/>
        <v>7.5354999999999999</v>
      </c>
      <c r="F21" s="68">
        <f t="shared" si="5"/>
        <v>178.39144404460413</v>
      </c>
    </row>
    <row r="22" spans="1:7">
      <c r="B22">
        <f>AVERAGE(B19:B21)</f>
        <v>17.344333333333335</v>
      </c>
      <c r="C22">
        <f t="shared" ref="C22:F22" si="6">AVERAGE(C19:C21)</f>
        <v>16.936666666666667</v>
      </c>
      <c r="D22">
        <f t="shared" si="6"/>
        <v>17.140499999999999</v>
      </c>
      <c r="E22">
        <f t="shared" si="6"/>
        <v>8.5702499999999997</v>
      </c>
      <c r="F22">
        <f t="shared" si="6"/>
        <v>232.47554762229353</v>
      </c>
    </row>
    <row r="25" spans="1:7" ht="49">
      <c r="A25" t="s">
        <v>212</v>
      </c>
      <c r="B25" s="112" t="s">
        <v>210</v>
      </c>
      <c r="C25" s="112" t="s">
        <v>211</v>
      </c>
      <c r="D25" s="112" t="s">
        <v>205</v>
      </c>
      <c r="E25" s="113" t="s">
        <v>206</v>
      </c>
      <c r="F25" s="113" t="s">
        <v>207</v>
      </c>
    </row>
    <row r="26" spans="1:7">
      <c r="B26">
        <v>20.798999999999999</v>
      </c>
      <c r="C26">
        <v>20.798999999999999</v>
      </c>
      <c r="D26">
        <f>(B26+C26)/2</f>
        <v>20.798999999999999</v>
      </c>
      <c r="E26">
        <f>D26/2</f>
        <v>10.3995</v>
      </c>
      <c r="F26">
        <f>PI()*(E26^2)</f>
        <v>339.76198963407285</v>
      </c>
    </row>
    <row r="27" spans="1:7">
      <c r="B27">
        <v>12.84</v>
      </c>
      <c r="C27">
        <v>11.090999999999999</v>
      </c>
      <c r="D27">
        <f t="shared" ref="D27:D32" si="7">(B27+C27)/2</f>
        <v>11.965499999999999</v>
      </c>
      <c r="E27">
        <f t="shared" ref="E27:E32" si="8">D27/2</f>
        <v>5.9827499999999993</v>
      </c>
      <c r="F27">
        <f t="shared" ref="F27:F32" si="9">PI()*(E27^2)</f>
        <v>112.44796067010343</v>
      </c>
    </row>
    <row r="28" spans="1:7">
      <c r="B28">
        <v>19.283999999999999</v>
      </c>
      <c r="C28">
        <v>21.308</v>
      </c>
      <c r="D28">
        <f t="shared" si="7"/>
        <v>20.295999999999999</v>
      </c>
      <c r="E28">
        <f t="shared" si="8"/>
        <v>10.148</v>
      </c>
      <c r="F28">
        <f t="shared" si="9"/>
        <v>323.52719305908931</v>
      </c>
    </row>
    <row r="29" spans="1:7">
      <c r="B29">
        <v>20.251000000000001</v>
      </c>
      <c r="C29">
        <v>16.388000000000002</v>
      </c>
      <c r="D29">
        <f t="shared" si="7"/>
        <v>18.319500000000001</v>
      </c>
      <c r="E29">
        <f t="shared" si="8"/>
        <v>9.1597500000000007</v>
      </c>
      <c r="F29">
        <f t="shared" si="9"/>
        <v>263.58282825703986</v>
      </c>
    </row>
    <row r="30" spans="1:7">
      <c r="B30">
        <v>18.158999999999999</v>
      </c>
      <c r="C30">
        <v>18.158999999999999</v>
      </c>
      <c r="D30">
        <f t="shared" si="7"/>
        <v>18.158999999999999</v>
      </c>
      <c r="E30">
        <f t="shared" si="8"/>
        <v>9.0794999999999995</v>
      </c>
      <c r="F30">
        <f t="shared" si="9"/>
        <v>258.98447967902905</v>
      </c>
    </row>
    <row r="31" spans="1:7">
      <c r="B31">
        <v>14.653</v>
      </c>
      <c r="C31">
        <v>14.653</v>
      </c>
      <c r="D31">
        <f t="shared" si="7"/>
        <v>14.653</v>
      </c>
      <c r="E31">
        <f t="shared" si="8"/>
        <v>7.3265000000000002</v>
      </c>
      <c r="F31">
        <f t="shared" si="9"/>
        <v>168.63316089091498</v>
      </c>
    </row>
    <row r="32" spans="1:7">
      <c r="B32" s="68">
        <v>12.708</v>
      </c>
      <c r="C32" s="68">
        <v>12.708</v>
      </c>
      <c r="D32" s="68">
        <f t="shared" si="7"/>
        <v>12.708</v>
      </c>
      <c r="E32" s="68">
        <f t="shared" si="8"/>
        <v>6.3540000000000001</v>
      </c>
      <c r="F32" s="68">
        <f t="shared" si="9"/>
        <v>126.83651294665925</v>
      </c>
    </row>
    <row r="33" spans="1:6">
      <c r="B33">
        <f>AVERAGE(B26:B32)</f>
        <v>16.956285714285716</v>
      </c>
      <c r="C33">
        <f t="shared" ref="C33:F33" si="10">AVERAGE(C26:C32)</f>
        <v>16.443714285714286</v>
      </c>
      <c r="D33">
        <f t="shared" si="10"/>
        <v>16.7</v>
      </c>
      <c r="E33">
        <f t="shared" si="10"/>
        <v>8.35</v>
      </c>
      <c r="F33">
        <f t="shared" si="10"/>
        <v>227.68201787670128</v>
      </c>
    </row>
    <row r="36" spans="1:6" ht="49">
      <c r="A36" t="s">
        <v>213</v>
      </c>
      <c r="B36" s="112" t="s">
        <v>210</v>
      </c>
      <c r="C36" s="112" t="s">
        <v>211</v>
      </c>
      <c r="D36" s="112" t="s">
        <v>205</v>
      </c>
      <c r="E36" s="113" t="s">
        <v>206</v>
      </c>
      <c r="F36" s="113" t="s">
        <v>207</v>
      </c>
    </row>
    <row r="37" spans="1:6">
      <c r="B37">
        <v>10.682</v>
      </c>
      <c r="C37">
        <v>9.9030000000000005</v>
      </c>
      <c r="D37">
        <f t="shared" ref="D37" si="11">(B37+C37)/2</f>
        <v>10.2925</v>
      </c>
      <c r="E37">
        <f t="shared" ref="E37:E42" si="12">D37/2</f>
        <v>5.1462500000000002</v>
      </c>
      <c r="F37">
        <f t="shared" ref="F37:F42" si="13">PI()*(E37^2)</f>
        <v>83.201591317237074</v>
      </c>
    </row>
    <row r="38" spans="1:6">
      <c r="B38">
        <v>18.105</v>
      </c>
      <c r="C38">
        <v>19.405999999999999</v>
      </c>
      <c r="D38">
        <f t="shared" ref="D38:D42" si="14">(B38+C38)/2</f>
        <v>18.755499999999998</v>
      </c>
      <c r="E38">
        <f t="shared" si="12"/>
        <v>9.3777499999999989</v>
      </c>
      <c r="F38">
        <f t="shared" si="13"/>
        <v>276.27855394891048</v>
      </c>
    </row>
    <row r="39" spans="1:6">
      <c r="B39">
        <v>16.949000000000002</v>
      </c>
      <c r="C39">
        <v>16.949000000000002</v>
      </c>
      <c r="D39">
        <f t="shared" si="14"/>
        <v>16.949000000000002</v>
      </c>
      <c r="E39">
        <f t="shared" si="12"/>
        <v>8.4745000000000008</v>
      </c>
      <c r="F39">
        <f t="shared" si="13"/>
        <v>225.6202316271544</v>
      </c>
    </row>
    <row r="40" spans="1:6">
      <c r="B40">
        <v>17.010000000000002</v>
      </c>
      <c r="C40">
        <v>17.010000000000002</v>
      </c>
      <c r="D40">
        <f t="shared" si="14"/>
        <v>17.010000000000002</v>
      </c>
      <c r="E40">
        <f t="shared" si="12"/>
        <v>8.5050000000000008</v>
      </c>
      <c r="F40">
        <f t="shared" si="13"/>
        <v>227.24718313723409</v>
      </c>
    </row>
    <row r="41" spans="1:6">
      <c r="B41">
        <v>19.016999999999999</v>
      </c>
      <c r="C41">
        <v>19.016999999999999</v>
      </c>
      <c r="D41">
        <f t="shared" si="14"/>
        <v>19.016999999999999</v>
      </c>
      <c r="E41">
        <f t="shared" si="12"/>
        <v>9.5084999999999997</v>
      </c>
      <c r="F41">
        <f t="shared" si="13"/>
        <v>284.03633118010276</v>
      </c>
    </row>
    <row r="42" spans="1:6">
      <c r="B42" s="68">
        <v>18.13</v>
      </c>
      <c r="C42" s="68">
        <v>18.13</v>
      </c>
      <c r="D42" s="68">
        <f t="shared" si="14"/>
        <v>18.13</v>
      </c>
      <c r="E42" s="68">
        <f t="shared" si="12"/>
        <v>9.0649999999999995</v>
      </c>
      <c r="F42" s="68">
        <f t="shared" si="13"/>
        <v>258.15794157443469</v>
      </c>
    </row>
    <row r="43" spans="1:6">
      <c r="B43">
        <f>AVERAGE(B37:B42)</f>
        <v>16.648833333333332</v>
      </c>
      <c r="C43">
        <f t="shared" ref="C43:F43" si="15">AVERAGE(C37:C42)</f>
        <v>16.735833333333332</v>
      </c>
      <c r="D43">
        <f t="shared" si="15"/>
        <v>16.692333333333334</v>
      </c>
      <c r="E43">
        <f t="shared" si="15"/>
        <v>8.346166666666667</v>
      </c>
      <c r="F43">
        <f t="shared" si="15"/>
        <v>225.75697213084558</v>
      </c>
    </row>
    <row r="46" spans="1:6" ht="49">
      <c r="A46" t="s">
        <v>214</v>
      </c>
      <c r="B46" s="112" t="s">
        <v>210</v>
      </c>
      <c r="C46" s="112" t="s">
        <v>211</v>
      </c>
      <c r="D46" s="112" t="s">
        <v>205</v>
      </c>
      <c r="E46" s="113" t="s">
        <v>206</v>
      </c>
      <c r="F46" s="113" t="s">
        <v>207</v>
      </c>
    </row>
    <row r="47" spans="1:6">
      <c r="B47">
        <v>18.491</v>
      </c>
      <c r="C47">
        <v>18.491</v>
      </c>
      <c r="D47">
        <f t="shared" ref="D47" si="16">(B47+C47)/2</f>
        <v>18.491</v>
      </c>
      <c r="E47">
        <f t="shared" ref="E47:E50" si="17">D47/2</f>
        <v>9.2454999999999998</v>
      </c>
      <c r="F47">
        <f t="shared" ref="F47:F50" si="18">PI()*(E47^2)</f>
        <v>268.54104745161658</v>
      </c>
    </row>
    <row r="48" spans="1:6">
      <c r="B48">
        <v>17.596</v>
      </c>
      <c r="C48">
        <v>17.596</v>
      </c>
      <c r="D48">
        <f t="shared" ref="D48:D49" si="19">(B48+C48)/2</f>
        <v>17.596</v>
      </c>
      <c r="E48">
        <f t="shared" si="17"/>
        <v>8.798</v>
      </c>
      <c r="F48">
        <f t="shared" si="18"/>
        <v>243.17436359895783</v>
      </c>
    </row>
    <row r="49" spans="2:6">
      <c r="B49">
        <v>18.018000000000001</v>
      </c>
      <c r="C49">
        <v>13.843999999999999</v>
      </c>
      <c r="D49">
        <f t="shared" si="19"/>
        <v>15.931000000000001</v>
      </c>
      <c r="E49">
        <f t="shared" si="17"/>
        <v>7.9655000000000005</v>
      </c>
      <c r="F49">
        <f t="shared" si="18"/>
        <v>199.33150996562117</v>
      </c>
    </row>
    <row r="50" spans="2:6">
      <c r="B50">
        <v>6.7210000000000001</v>
      </c>
      <c r="C50">
        <v>6.7210000000000001</v>
      </c>
      <c r="D50">
        <f t="shared" ref="D50" si="20">(B50+C50)/2</f>
        <v>6.7210000000000001</v>
      </c>
      <c r="E50">
        <f t="shared" si="17"/>
        <v>3.3605</v>
      </c>
      <c r="F50">
        <f t="shared" si="18"/>
        <v>35.477880958681553</v>
      </c>
    </row>
    <row r="51" spans="2:6">
      <c r="B51" s="68">
        <v>10.063000000000001</v>
      </c>
      <c r="C51" s="68">
        <v>8.9659999999999993</v>
      </c>
      <c r="D51" s="68">
        <f>(B51+C51)/2</f>
        <v>9.5145</v>
      </c>
      <c r="E51" s="68">
        <f>D51/2</f>
        <v>4.75725</v>
      </c>
      <c r="F51" s="68">
        <f>PI()*(E51^2)</f>
        <v>71.098726570599567</v>
      </c>
    </row>
    <row r="52" spans="2:6">
      <c r="B52">
        <f>AVERAGE(B47:B51)</f>
        <v>14.177800000000001</v>
      </c>
      <c r="C52">
        <f>AVERAGE(C47:C51)</f>
        <v>13.1236</v>
      </c>
      <c r="D52">
        <f>AVERAGE(D47:D51)</f>
        <v>13.650700000000001</v>
      </c>
      <c r="E52">
        <f>AVERAGE(E47:E51)</f>
        <v>6.8253500000000003</v>
      </c>
      <c r="F52">
        <f>AVERAGE(F47:F51)</f>
        <v>163.52470570909534</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S166"/>
  <sheetViews>
    <sheetView workbookViewId="0">
      <selection activeCell="N19" sqref="N19"/>
    </sheetView>
  </sheetViews>
  <sheetFormatPr baseColWidth="10" defaultRowHeight="15" x14ac:dyDescent="0"/>
  <cols>
    <col min="1" max="1" width="16.83203125" customWidth="1"/>
    <col min="16" max="16" width="15.5" customWidth="1"/>
  </cols>
  <sheetData>
    <row r="2" spans="1:19">
      <c r="A2" t="s">
        <v>216</v>
      </c>
    </row>
    <row r="4" spans="1:19">
      <c r="A4" t="s">
        <v>215</v>
      </c>
    </row>
    <row r="5" spans="1:19">
      <c r="A5" t="s">
        <v>217</v>
      </c>
    </row>
    <row r="6" spans="1:19">
      <c r="A6" t="s">
        <v>167</v>
      </c>
      <c r="B6">
        <v>250</v>
      </c>
    </row>
    <row r="7" spans="1:19">
      <c r="A7" t="s">
        <v>27</v>
      </c>
      <c r="B7">
        <v>100</v>
      </c>
    </row>
    <row r="8" spans="1:19">
      <c r="A8" t="s">
        <v>28</v>
      </c>
      <c r="B8">
        <v>0</v>
      </c>
    </row>
    <row r="9" spans="1:19">
      <c r="A9" t="s">
        <v>218</v>
      </c>
    </row>
    <row r="10" spans="1:19">
      <c r="A10" t="s">
        <v>219</v>
      </c>
    </row>
    <row r="11" spans="1:19">
      <c r="A11" s="5" t="s">
        <v>18</v>
      </c>
      <c r="B11" s="18"/>
      <c r="C11" s="18"/>
      <c r="D11" s="18"/>
      <c r="E11" s="18"/>
      <c r="F11" s="18"/>
      <c r="G11" s="18"/>
      <c r="H11" s="18"/>
      <c r="I11" s="18"/>
      <c r="J11" s="18"/>
      <c r="K11" s="18"/>
      <c r="L11" s="18"/>
    </row>
    <row r="12" spans="1:19" ht="45">
      <c r="A12" s="80" t="s">
        <v>19</v>
      </c>
      <c r="B12" s="80"/>
      <c r="C12" s="80" t="s">
        <v>20</v>
      </c>
      <c r="D12" s="80"/>
      <c r="E12" s="80" t="s">
        <v>21</v>
      </c>
      <c r="F12" s="80"/>
      <c r="G12" s="80" t="s">
        <v>6</v>
      </c>
      <c r="H12" s="80" t="s">
        <v>22</v>
      </c>
      <c r="I12" s="80" t="s">
        <v>23</v>
      </c>
      <c r="J12" s="80" t="s">
        <v>9</v>
      </c>
      <c r="K12" s="114" t="s">
        <v>24</v>
      </c>
      <c r="L12" s="114" t="s">
        <v>25</v>
      </c>
      <c r="M12" s="114" t="s">
        <v>150</v>
      </c>
      <c r="O12" s="83" t="s">
        <v>101</v>
      </c>
      <c r="P12" s="84" t="s">
        <v>4</v>
      </c>
      <c r="Q12" s="83" t="s">
        <v>102</v>
      </c>
      <c r="R12" s="83" t="s">
        <v>27</v>
      </c>
      <c r="S12" s="83" t="s">
        <v>28</v>
      </c>
    </row>
    <row r="13" spans="1:19">
      <c r="A13" s="80" t="str">
        <f>A36</f>
        <v>Neo-RR-cho-C-06</v>
      </c>
      <c r="B13" s="80" t="s">
        <v>221</v>
      </c>
      <c r="C13" s="80">
        <f>C53</f>
        <v>35.392083333333332</v>
      </c>
      <c r="D13" s="80">
        <f t="shared" ref="D13:L13" si="0">D53</f>
        <v>35.392083333333332</v>
      </c>
      <c r="E13" s="80">
        <f t="shared" si="0"/>
        <v>17.696041666666666</v>
      </c>
      <c r="F13" s="80">
        <f t="shared" si="0"/>
        <v>17.696041666666666</v>
      </c>
      <c r="G13" s="80">
        <f t="shared" si="0"/>
        <v>1154.7234994620071</v>
      </c>
      <c r="H13" s="80">
        <f t="shared" si="0"/>
        <v>12</v>
      </c>
      <c r="I13" s="80">
        <f t="shared" si="0"/>
        <v>13856.681993544085</v>
      </c>
      <c r="J13" s="80">
        <f t="shared" si="0"/>
        <v>222160.25399999999</v>
      </c>
      <c r="K13" s="80">
        <f t="shared" si="0"/>
        <v>6.2372461968575557E-2</v>
      </c>
      <c r="L13" s="80">
        <f t="shared" si="0"/>
        <v>6.2372461968575559</v>
      </c>
      <c r="M13" s="80">
        <f>K13*20.25</f>
        <v>1.2630423548636551</v>
      </c>
      <c r="O13" s="83"/>
      <c r="P13" s="83" t="str">
        <f>A15</f>
        <v>Neo-RR-cho-C-10</v>
      </c>
      <c r="Q13" s="78">
        <v>712.81500000000005</v>
      </c>
      <c r="R13" s="83"/>
      <c r="S13" s="83">
        <v>198.43199999999999</v>
      </c>
    </row>
    <row r="14" spans="1:19">
      <c r="A14" s="79" t="str">
        <f>A56</f>
        <v>Neo-RR-cho-C-07</v>
      </c>
      <c r="B14" s="79" t="s">
        <v>221</v>
      </c>
      <c r="C14" s="79">
        <f>C64</f>
        <v>49.085000000000001</v>
      </c>
      <c r="D14" s="79">
        <f t="shared" ref="D14:L14" si="1">D64</f>
        <v>49.085000000000001</v>
      </c>
      <c r="E14" s="79">
        <f t="shared" si="1"/>
        <v>24.5425</v>
      </c>
      <c r="F14" s="79">
        <f t="shared" si="1"/>
        <v>24.5425</v>
      </c>
      <c r="G14" s="79">
        <f t="shared" si="1"/>
        <v>2042.3823920273378</v>
      </c>
      <c r="H14" s="79">
        <f t="shared" si="1"/>
        <v>3</v>
      </c>
      <c r="I14" s="79">
        <f t="shared" si="1"/>
        <v>6127.1471760820132</v>
      </c>
      <c r="J14" s="79">
        <f t="shared" si="1"/>
        <v>27544.665000000001</v>
      </c>
      <c r="K14" s="79">
        <f t="shared" si="1"/>
        <v>0.22244406225604896</v>
      </c>
      <c r="L14" s="79">
        <f t="shared" si="1"/>
        <v>22.244406225604894</v>
      </c>
      <c r="M14" s="79">
        <f t="shared" ref="M14:M27" si="2">K14*20.25</f>
        <v>4.5044922606849918</v>
      </c>
      <c r="O14" s="83"/>
      <c r="P14" s="83" t="str">
        <f>A18</f>
        <v>Neo-RR-cho-C-16</v>
      </c>
      <c r="Q14" s="83"/>
      <c r="R14" s="83"/>
      <c r="S14" s="83">
        <v>181.935</v>
      </c>
    </row>
    <row r="15" spans="1:19">
      <c r="A15" s="79" t="str">
        <f>A66</f>
        <v>Neo-RR-cho-C-10</v>
      </c>
      <c r="B15" s="78" t="s">
        <v>223</v>
      </c>
      <c r="C15" s="78">
        <f>C80</f>
        <v>254.66399999999999</v>
      </c>
      <c r="D15" s="78">
        <f t="shared" ref="D15:L15" si="3">D80</f>
        <v>254.66399999999999</v>
      </c>
      <c r="E15" s="78">
        <f t="shared" si="3"/>
        <v>127.33199999999999</v>
      </c>
      <c r="F15" s="78">
        <f t="shared" si="3"/>
        <v>127.33199999999999</v>
      </c>
      <c r="G15" s="78">
        <f t="shared" ca="1" si="3"/>
        <v>3939.4765499867653</v>
      </c>
      <c r="H15" s="78">
        <f t="shared" si="3"/>
        <v>1</v>
      </c>
      <c r="I15" s="78">
        <f t="shared" ca="1" si="3"/>
        <v>3939.4765499867653</v>
      </c>
      <c r="J15" s="78">
        <f t="shared" si="3"/>
        <v>1399366.2290000001</v>
      </c>
      <c r="K15" s="78">
        <f t="shared" ca="1" si="3"/>
        <v>2.8151862381314945E-3</v>
      </c>
      <c r="L15" s="78">
        <f t="shared" ca="1" si="3"/>
        <v>0.28151862381314946</v>
      </c>
      <c r="M15" s="79">
        <f t="shared" ca="1" si="2"/>
        <v>5.700752132216276E-2</v>
      </c>
      <c r="O15" s="83"/>
      <c r="P15" s="83"/>
      <c r="Q15" s="83"/>
      <c r="R15" s="83"/>
      <c r="S15" s="83">
        <v>139.297</v>
      </c>
    </row>
    <row r="16" spans="1:19">
      <c r="A16" s="79"/>
      <c r="B16" s="79" t="s">
        <v>222</v>
      </c>
      <c r="C16" s="79">
        <f>C81</f>
        <v>107.14</v>
      </c>
      <c r="D16" s="79">
        <f t="shared" ref="D16:L16" si="4">D81</f>
        <v>107.14</v>
      </c>
      <c r="E16" s="79">
        <f t="shared" si="4"/>
        <v>53.57</v>
      </c>
      <c r="F16" s="79">
        <f t="shared" si="4"/>
        <v>53.57</v>
      </c>
      <c r="G16" s="79">
        <f t="shared" si="4"/>
        <v>9021.9578487796261</v>
      </c>
      <c r="H16" s="79">
        <f t="shared" si="4"/>
        <v>2</v>
      </c>
      <c r="I16" s="79">
        <f t="shared" si="4"/>
        <v>18043.915697559252</v>
      </c>
      <c r="J16" s="79">
        <f t="shared" si="4"/>
        <v>1399366.2290000001</v>
      </c>
      <c r="K16" s="79">
        <f t="shared" si="4"/>
        <v>1.2894348401171292E-2</v>
      </c>
      <c r="L16" s="79">
        <f t="shared" si="4"/>
        <v>1.2894348401171292</v>
      </c>
      <c r="M16" s="79">
        <f t="shared" si="2"/>
        <v>0.26111055512371867</v>
      </c>
      <c r="O16" s="83"/>
      <c r="P16" s="83" t="str">
        <f>A26</f>
        <v>Np1-osc3-07</v>
      </c>
      <c r="Q16" s="83"/>
      <c r="R16" s="78">
        <v>376.06799999999998</v>
      </c>
      <c r="S16" s="83"/>
    </row>
    <row r="17" spans="1:19">
      <c r="A17" s="79"/>
      <c r="B17" s="79" t="s">
        <v>221</v>
      </c>
      <c r="C17" s="79">
        <f>C82</f>
        <v>57.906874999999999</v>
      </c>
      <c r="D17" s="79">
        <f t="shared" ref="D17:L17" si="5">D82</f>
        <v>57.906874999999999</v>
      </c>
      <c r="E17" s="79">
        <f t="shared" si="5"/>
        <v>28.9534375</v>
      </c>
      <c r="F17" s="79">
        <f t="shared" si="5"/>
        <v>28.9534375</v>
      </c>
      <c r="G17" s="79">
        <f t="shared" si="5"/>
        <v>2782.0361351263141</v>
      </c>
      <c r="H17" s="79">
        <f t="shared" si="5"/>
        <v>8</v>
      </c>
      <c r="I17" s="79">
        <f t="shared" si="5"/>
        <v>22256.289081010513</v>
      </c>
      <c r="J17" s="79">
        <f t="shared" si="5"/>
        <v>1399366.2290000001</v>
      </c>
      <c r="K17" s="79">
        <f t="shared" si="5"/>
        <v>1.5904549230772176E-2</v>
      </c>
      <c r="L17" s="79">
        <f t="shared" si="5"/>
        <v>1.5904549230772176</v>
      </c>
      <c r="M17" s="79">
        <f t="shared" si="2"/>
        <v>0.32206712192313658</v>
      </c>
      <c r="O17" s="83"/>
      <c r="P17" s="83"/>
      <c r="Q17" s="83"/>
      <c r="R17" s="83"/>
      <c r="S17" s="83"/>
    </row>
    <row r="18" spans="1:19">
      <c r="A18" s="79" t="str">
        <f>A84</f>
        <v>Neo-RR-cho-C-16</v>
      </c>
      <c r="B18" s="79" t="s">
        <v>222</v>
      </c>
      <c r="C18" s="79">
        <f>C97</f>
        <v>126.08</v>
      </c>
      <c r="D18" s="79">
        <f t="shared" ref="D18:L18" si="6">D97</f>
        <v>126.08</v>
      </c>
      <c r="E18" s="79">
        <f t="shared" si="6"/>
        <v>63.04</v>
      </c>
      <c r="F18" s="79">
        <f t="shared" si="6"/>
        <v>63.04</v>
      </c>
      <c r="G18" s="79">
        <f t="shared" si="6"/>
        <v>12484.819895620227</v>
      </c>
      <c r="H18" s="79">
        <f t="shared" si="6"/>
        <v>1</v>
      </c>
      <c r="I18" s="79">
        <f t="shared" si="6"/>
        <v>12484.819895620227</v>
      </c>
      <c r="J18" s="79">
        <f t="shared" si="6"/>
        <v>304308.30900000001</v>
      </c>
      <c r="K18" s="79">
        <f t="shared" si="6"/>
        <v>4.1026878091653507E-2</v>
      </c>
      <c r="L18" s="79">
        <f t="shared" si="6"/>
        <v>4.1026878091653511</v>
      </c>
      <c r="M18" s="79">
        <f t="shared" si="2"/>
        <v>0.83079428135598354</v>
      </c>
      <c r="O18" s="83"/>
      <c r="P18" s="83"/>
      <c r="Q18" s="83"/>
      <c r="R18" s="83"/>
      <c r="S18" s="83"/>
    </row>
    <row r="19" spans="1:19">
      <c r="A19" s="79"/>
      <c r="B19" s="79" t="s">
        <v>221</v>
      </c>
      <c r="C19" s="79">
        <f>C98</f>
        <v>43.40025</v>
      </c>
      <c r="D19" s="79">
        <f t="shared" ref="D19:L19" si="7">D98</f>
        <v>43.40025</v>
      </c>
      <c r="E19" s="79">
        <f t="shared" si="7"/>
        <v>21.700125</v>
      </c>
      <c r="F19" s="79">
        <f t="shared" si="7"/>
        <v>21.700125</v>
      </c>
      <c r="G19" s="79">
        <f t="shared" si="7"/>
        <v>1559.946926101115</v>
      </c>
      <c r="H19" s="79">
        <f t="shared" si="7"/>
        <v>8</v>
      </c>
      <c r="I19" s="79">
        <f t="shared" si="7"/>
        <v>12479.57540880892</v>
      </c>
      <c r="J19" s="79">
        <f t="shared" si="7"/>
        <v>304308.30900000001</v>
      </c>
      <c r="K19" s="79">
        <f t="shared" si="7"/>
        <v>4.1009643968705829E-2</v>
      </c>
      <c r="L19" s="79">
        <f t="shared" si="7"/>
        <v>4.1009643968705829</v>
      </c>
      <c r="M19" s="79">
        <f t="shared" si="2"/>
        <v>0.830445290366293</v>
      </c>
      <c r="O19" s="83"/>
      <c r="P19" s="83"/>
      <c r="Q19" s="83"/>
      <c r="R19" s="83"/>
      <c r="S19" s="83"/>
    </row>
    <row r="20" spans="1:19">
      <c r="A20" s="79" t="str">
        <f>A101</f>
        <v>Neo-RR-cho-D-01</v>
      </c>
      <c r="B20" s="79" t="s">
        <v>222</v>
      </c>
      <c r="C20" s="79">
        <f>C115</f>
        <v>138.69633333333334</v>
      </c>
      <c r="D20" s="79">
        <f t="shared" ref="D20:L20" si="8">D115</f>
        <v>127.65599999999999</v>
      </c>
      <c r="E20" s="79">
        <f t="shared" si="8"/>
        <v>69.348166666666671</v>
      </c>
      <c r="F20" s="79">
        <f t="shared" si="8"/>
        <v>63.827999999999996</v>
      </c>
      <c r="G20" s="79">
        <f t="shared" si="8"/>
        <v>14113.068299914974</v>
      </c>
      <c r="H20" s="79">
        <f t="shared" si="8"/>
        <v>3</v>
      </c>
      <c r="I20" s="79">
        <f t="shared" si="8"/>
        <v>42339.204899744924</v>
      </c>
      <c r="J20" s="79">
        <f t="shared" si="8"/>
        <v>933495.652</v>
      </c>
      <c r="K20" s="79">
        <f t="shared" si="8"/>
        <v>4.5355545908579042E-2</v>
      </c>
      <c r="L20" s="79">
        <f t="shared" si="8"/>
        <v>4.5355545908579042</v>
      </c>
      <c r="M20" s="79">
        <f t="shared" si="2"/>
        <v>0.91844980464872561</v>
      </c>
      <c r="O20" s="83"/>
      <c r="P20" s="83"/>
      <c r="Q20" s="83"/>
      <c r="R20" s="83"/>
      <c r="S20" s="83"/>
    </row>
    <row r="21" spans="1:19">
      <c r="A21" s="79"/>
      <c r="B21" s="79" t="s">
        <v>221</v>
      </c>
      <c r="C21" s="79">
        <f>C116</f>
        <v>50.778999999999996</v>
      </c>
      <c r="D21" s="79">
        <f t="shared" ref="D21:L21" si="9">D116</f>
        <v>33.390142857142862</v>
      </c>
      <c r="E21" s="79">
        <f t="shared" si="9"/>
        <v>25.389499999999998</v>
      </c>
      <c r="F21" s="79">
        <f t="shared" si="9"/>
        <v>16.695071428571431</v>
      </c>
      <c r="G21" s="79">
        <f t="shared" si="9"/>
        <v>1350.1152191731217</v>
      </c>
      <c r="H21" s="79">
        <f t="shared" si="9"/>
        <v>7</v>
      </c>
      <c r="I21" s="79">
        <f t="shared" si="9"/>
        <v>9450.8065342118516</v>
      </c>
      <c r="J21" s="79">
        <f t="shared" si="9"/>
        <v>933495.652</v>
      </c>
      <c r="K21" s="79">
        <f t="shared" si="9"/>
        <v>1.0124103432044536E-2</v>
      </c>
      <c r="L21" s="79">
        <f t="shared" si="9"/>
        <v>1.0124103432044536</v>
      </c>
      <c r="M21" s="79">
        <f t="shared" si="2"/>
        <v>0.20501309449890187</v>
      </c>
      <c r="P21" t="s">
        <v>149</v>
      </c>
      <c r="Q21">
        <f>AVERAGE(Q13:Q20)</f>
        <v>712.81500000000005</v>
      </c>
      <c r="R21">
        <f t="shared" ref="R21:S21" si="10">AVERAGE(R13:R20)</f>
        <v>376.06799999999998</v>
      </c>
      <c r="S21">
        <f t="shared" si="10"/>
        <v>173.22133333333332</v>
      </c>
    </row>
    <row r="22" spans="1:19">
      <c r="A22" s="79" t="str">
        <f>A119</f>
        <v>Np1-cor1-02</v>
      </c>
      <c r="B22" s="79" t="s">
        <v>222</v>
      </c>
      <c r="C22" s="79">
        <f>C136</f>
        <v>150.35249999999999</v>
      </c>
      <c r="D22" s="79">
        <f t="shared" ref="D22:L23" si="11">D136</f>
        <v>187.70350000000002</v>
      </c>
      <c r="E22" s="79">
        <f t="shared" si="11"/>
        <v>75.176249999999996</v>
      </c>
      <c r="F22" s="79">
        <f t="shared" si="11"/>
        <v>93.85175000000001</v>
      </c>
      <c r="G22" s="79">
        <f t="shared" si="11"/>
        <v>18646.932461509747</v>
      </c>
      <c r="H22" s="79">
        <f t="shared" si="11"/>
        <v>4</v>
      </c>
      <c r="I22" s="79">
        <f t="shared" si="11"/>
        <v>74587.729846038987</v>
      </c>
      <c r="J22" s="79">
        <f t="shared" si="11"/>
        <v>1331250</v>
      </c>
      <c r="K22" s="79">
        <f t="shared" si="11"/>
        <v>5.6028341668386092E-2</v>
      </c>
      <c r="L22" s="79">
        <f t="shared" si="11"/>
        <v>5.6028341668386092</v>
      </c>
      <c r="M22" s="79">
        <f t="shared" si="2"/>
        <v>1.1345739187848183</v>
      </c>
    </row>
    <row r="23" spans="1:19">
      <c r="A23" s="79"/>
      <c r="B23" s="79" t="s">
        <v>221</v>
      </c>
      <c r="C23" s="79">
        <f>C137</f>
        <v>54.966111111111111</v>
      </c>
      <c r="D23" s="79">
        <f t="shared" si="11"/>
        <v>59.602636363636364</v>
      </c>
      <c r="E23" s="79">
        <f t="shared" si="11"/>
        <v>27.483055555555556</v>
      </c>
      <c r="F23" s="79">
        <f t="shared" si="11"/>
        <v>29.801318181818182</v>
      </c>
      <c r="G23" s="79">
        <f t="shared" si="11"/>
        <v>2695.2902829385421</v>
      </c>
      <c r="H23" s="79">
        <f t="shared" si="11"/>
        <v>9</v>
      </c>
      <c r="I23" s="79">
        <f t="shared" si="11"/>
        <v>24257.612546446879</v>
      </c>
      <c r="J23" s="79">
        <f t="shared" si="11"/>
        <v>1331250</v>
      </c>
      <c r="K23" s="79">
        <f t="shared" si="11"/>
        <v>1.8221680786063382E-2</v>
      </c>
      <c r="L23" s="79">
        <f t="shared" si="11"/>
        <v>1.8221680786063381</v>
      </c>
      <c r="M23" s="79">
        <f t="shared" si="2"/>
        <v>0.36898903591778348</v>
      </c>
    </row>
    <row r="24" spans="1:19">
      <c r="A24" s="79" t="str">
        <f>A139</f>
        <v>Np1-osc2-1211.26.12</v>
      </c>
      <c r="B24" s="79" t="s">
        <v>223</v>
      </c>
      <c r="C24" s="79">
        <f>C151</f>
        <v>310.18799999999999</v>
      </c>
      <c r="D24" s="79">
        <f t="shared" ref="D24:L24" si="12">D151</f>
        <v>310.18799999999999</v>
      </c>
      <c r="E24" s="79">
        <f t="shared" si="12"/>
        <v>155.09399999999999</v>
      </c>
      <c r="F24" s="79">
        <f t="shared" si="12"/>
        <v>155.09399999999999</v>
      </c>
      <c r="G24" s="79">
        <f t="shared" si="12"/>
        <v>75568.337271533077</v>
      </c>
      <c r="H24" s="79">
        <f t="shared" si="12"/>
        <v>1</v>
      </c>
      <c r="I24" s="79">
        <f t="shared" si="12"/>
        <v>75568.337271533077</v>
      </c>
      <c r="J24" s="79">
        <f t="shared" si="12"/>
        <v>3524504.4530000002</v>
      </c>
      <c r="K24" s="79">
        <f t="shared" si="12"/>
        <v>2.1440840344863391E-2</v>
      </c>
      <c r="L24" s="79">
        <f t="shared" si="12"/>
        <v>2.144084034486339</v>
      </c>
      <c r="M24" s="79">
        <f t="shared" si="2"/>
        <v>0.43417701698348365</v>
      </c>
    </row>
    <row r="25" spans="1:19">
      <c r="A25" s="79"/>
      <c r="B25" s="79" t="s">
        <v>221</v>
      </c>
      <c r="C25" s="79">
        <f>C153</f>
        <v>35.949249999999999</v>
      </c>
      <c r="D25" s="79">
        <f t="shared" ref="D25:L25" si="13">D153</f>
        <v>31.288250000000001</v>
      </c>
      <c r="E25" s="79">
        <f t="shared" si="13"/>
        <v>17.974625</v>
      </c>
      <c r="F25" s="79">
        <f t="shared" si="13"/>
        <v>15.644125000000001</v>
      </c>
      <c r="G25" s="79">
        <f t="shared" si="13"/>
        <v>956.79294749551184</v>
      </c>
      <c r="H25" s="79">
        <f t="shared" si="13"/>
        <v>8</v>
      </c>
      <c r="I25" s="79">
        <f t="shared" si="13"/>
        <v>7654.3435799640947</v>
      </c>
      <c r="J25" s="79">
        <f t="shared" si="13"/>
        <v>3524504.4530000002</v>
      </c>
      <c r="K25" s="79">
        <f t="shared" si="13"/>
        <v>2.1717502934203541E-3</v>
      </c>
      <c r="L25" s="79">
        <f t="shared" si="13"/>
        <v>0.21717502934203542</v>
      </c>
      <c r="M25" s="79">
        <f t="shared" si="2"/>
        <v>4.3977943441762167E-2</v>
      </c>
    </row>
    <row r="26" spans="1:19">
      <c r="A26" s="79" t="str">
        <f>A156</f>
        <v>Np1-osc3-07</v>
      </c>
      <c r="B26" s="79" t="s">
        <v>222</v>
      </c>
      <c r="C26" s="79">
        <f>C165</f>
        <v>115.79575</v>
      </c>
      <c r="D26" s="79">
        <f t="shared" ref="D26:L26" si="14">D165</f>
        <v>110.646</v>
      </c>
      <c r="E26" s="79">
        <f t="shared" si="14"/>
        <v>57.897874999999999</v>
      </c>
      <c r="F26" s="79">
        <f t="shared" si="14"/>
        <v>55.323</v>
      </c>
      <c r="G26" s="79">
        <f t="shared" si="14"/>
        <v>10027.471748574735</v>
      </c>
      <c r="H26" s="79">
        <f t="shared" si="14"/>
        <v>4</v>
      </c>
      <c r="I26" s="79">
        <f t="shared" si="14"/>
        <v>40109.88699429894</v>
      </c>
      <c r="J26" s="79">
        <f t="shared" si="14"/>
        <v>2194752</v>
      </c>
      <c r="K26" s="79">
        <f t="shared" si="14"/>
        <v>1.8275361860610649E-2</v>
      </c>
      <c r="L26" s="79">
        <f t="shared" si="14"/>
        <v>1.8275361860610648</v>
      </c>
      <c r="M26" s="79">
        <f t="shared" si="2"/>
        <v>0.37007607767736567</v>
      </c>
    </row>
    <row r="27" spans="1:19">
      <c r="A27" s="81"/>
      <c r="B27" s="81" t="s">
        <v>221</v>
      </c>
      <c r="C27" s="79">
        <f>C166</f>
        <v>42.686999999999998</v>
      </c>
      <c r="D27" s="79">
        <f t="shared" ref="D27:L27" si="15">D166</f>
        <v>42.686999999999998</v>
      </c>
      <c r="E27" s="79">
        <f t="shared" si="15"/>
        <v>21.343499999999999</v>
      </c>
      <c r="F27" s="79">
        <f t="shared" si="15"/>
        <v>21.343499999999999</v>
      </c>
      <c r="G27" s="79">
        <f t="shared" si="15"/>
        <v>1431.1368010322192</v>
      </c>
      <c r="H27" s="79">
        <f t="shared" si="15"/>
        <v>1</v>
      </c>
      <c r="I27" s="79">
        <f t="shared" si="15"/>
        <v>1431.1368010322192</v>
      </c>
      <c r="J27" s="79">
        <f t="shared" si="15"/>
        <v>2194752</v>
      </c>
      <c r="K27" s="79">
        <f t="shared" si="15"/>
        <v>6.5207221637443287E-4</v>
      </c>
      <c r="L27" s="79">
        <f t="shared" si="15"/>
        <v>6.5207221637443288E-2</v>
      </c>
      <c r="M27" s="81">
        <f t="shared" si="2"/>
        <v>1.3204462381582266E-2</v>
      </c>
    </row>
    <row r="28" spans="1:19">
      <c r="A28" s="46" t="s">
        <v>149</v>
      </c>
      <c r="B28" s="46" t="s">
        <v>102</v>
      </c>
      <c r="C28" s="46">
        <f>AVERAGE(C15,C24)</f>
        <v>282.42599999999999</v>
      </c>
      <c r="D28" s="46">
        <f t="shared" ref="D28:M28" si="16">AVERAGE(D15,D24)</f>
        <v>282.42599999999999</v>
      </c>
      <c r="E28" s="46">
        <f t="shared" si="16"/>
        <v>141.21299999999999</v>
      </c>
      <c r="F28" s="46">
        <f t="shared" si="16"/>
        <v>141.21299999999999</v>
      </c>
      <c r="G28" s="46">
        <f t="shared" ca="1" si="16"/>
        <v>39753.906910759921</v>
      </c>
      <c r="H28" s="46">
        <f t="shared" si="16"/>
        <v>1</v>
      </c>
      <c r="I28" s="46">
        <f t="shared" ca="1" si="16"/>
        <v>39753.906910759921</v>
      </c>
      <c r="J28" s="46">
        <f t="shared" si="16"/>
        <v>2461935.341</v>
      </c>
      <c r="K28" s="46">
        <f t="shared" ca="1" si="16"/>
        <v>1.2128013291497442E-2</v>
      </c>
      <c r="L28" s="46">
        <f t="shared" ca="1" si="16"/>
        <v>1.2128013291497441</v>
      </c>
      <c r="M28" s="46">
        <f t="shared" ca="1" si="16"/>
        <v>0.2455922691528232</v>
      </c>
    </row>
    <row r="29" spans="1:19">
      <c r="A29" s="46"/>
      <c r="B29" s="46" t="s">
        <v>27</v>
      </c>
      <c r="C29" s="46">
        <f>AVERAGE(C16,C18,C20,C22,C26)</f>
        <v>127.61291666666666</v>
      </c>
      <c r="D29" s="46">
        <f t="shared" ref="D29:M29" si="17">AVERAGE(D16,D18,D20,D22,D26)</f>
        <v>131.8451</v>
      </c>
      <c r="E29" s="46">
        <f t="shared" si="17"/>
        <v>63.806458333333332</v>
      </c>
      <c r="F29" s="46">
        <f t="shared" si="17"/>
        <v>65.922550000000001</v>
      </c>
      <c r="G29" s="46">
        <f t="shared" si="17"/>
        <v>12858.850050879864</v>
      </c>
      <c r="H29" s="46">
        <f t="shared" si="17"/>
        <v>2.8</v>
      </c>
      <c r="I29" s="46">
        <f t="shared" si="17"/>
        <v>37513.111466652466</v>
      </c>
      <c r="J29" s="46">
        <f t="shared" si="17"/>
        <v>1232634.4380000001</v>
      </c>
      <c r="K29" s="46">
        <f t="shared" si="17"/>
        <v>3.4716095186080112E-2</v>
      </c>
      <c r="L29" s="46">
        <f t="shared" si="17"/>
        <v>3.4716095186080116</v>
      </c>
      <c r="M29" s="46">
        <f t="shared" si="17"/>
        <v>0.70300092751812226</v>
      </c>
    </row>
    <row r="30" spans="1:19" ht="16" thickBot="1">
      <c r="A30" s="47"/>
      <c r="B30" s="47" t="s">
        <v>28</v>
      </c>
      <c r="C30" s="47">
        <f>AVERAGE(C13,C14,C17,C19,C21,C23,C25,C27)</f>
        <v>46.270696180555561</v>
      </c>
      <c r="D30" s="47">
        <f t="shared" ref="D30:L30" si="18">AVERAGE(D13,D14,D17,D19,D21,D23,D25,D27)</f>
        <v>44.094029694264073</v>
      </c>
      <c r="E30" s="47">
        <f t="shared" si="18"/>
        <v>23.13534809027778</v>
      </c>
      <c r="F30" s="47">
        <f t="shared" si="18"/>
        <v>22.047014847132036</v>
      </c>
      <c r="G30" s="47">
        <f t="shared" si="18"/>
        <v>1746.553025419521</v>
      </c>
      <c r="H30" s="47">
        <f t="shared" si="18"/>
        <v>7</v>
      </c>
      <c r="I30" s="47">
        <f t="shared" si="18"/>
        <v>12189.199140137573</v>
      </c>
      <c r="J30" s="47">
        <f t="shared" si="18"/>
        <v>1242172.6952500001</v>
      </c>
      <c r="K30" s="47">
        <f t="shared" si="18"/>
        <v>4.6612540519000656E-2</v>
      </c>
      <c r="L30" s="47">
        <f t="shared" si="18"/>
        <v>4.6612540519000651</v>
      </c>
      <c r="M30" s="47">
        <f>AVERAGE(M13,M17,M19,M21,M23,M25,M27)</f>
        <v>0.43524847191330202</v>
      </c>
    </row>
    <row r="36" spans="1:14">
      <c r="A36" t="s">
        <v>199</v>
      </c>
    </row>
    <row r="37" spans="1:14" ht="45">
      <c r="A37" s="2" t="s">
        <v>220</v>
      </c>
      <c r="B37" s="2" t="s">
        <v>166</v>
      </c>
      <c r="C37" s="2" t="s">
        <v>20</v>
      </c>
      <c r="D37" s="2" t="s">
        <v>103</v>
      </c>
      <c r="E37" s="2" t="s">
        <v>21</v>
      </c>
      <c r="F37" s="2" t="s">
        <v>104</v>
      </c>
      <c r="G37" s="2" t="s">
        <v>6</v>
      </c>
      <c r="H37" s="2" t="s">
        <v>22</v>
      </c>
      <c r="I37" s="2" t="s">
        <v>23</v>
      </c>
      <c r="J37" s="2" t="s">
        <v>9</v>
      </c>
      <c r="K37" s="2" t="s">
        <v>24</v>
      </c>
      <c r="L37" s="2" t="s">
        <v>25</v>
      </c>
    </row>
    <row r="38" spans="1:14">
      <c r="B38" s="2"/>
      <c r="C38">
        <v>34.729999999999997</v>
      </c>
      <c r="D38">
        <v>34.729999999999997</v>
      </c>
      <c r="E38">
        <f>C38/2</f>
        <v>17.364999999999998</v>
      </c>
      <c r="F38">
        <f>D38/2</f>
        <v>17.364999999999998</v>
      </c>
      <c r="G38">
        <f>PI()*E38*F38</f>
        <v>947.32598039977393</v>
      </c>
      <c r="H38" s="2"/>
      <c r="I38" s="2"/>
      <c r="J38" s="2"/>
      <c r="K38" s="2"/>
      <c r="L38" s="2"/>
    </row>
    <row r="39" spans="1:14">
      <c r="C39">
        <v>44.713000000000001</v>
      </c>
      <c r="D39">
        <v>44.713000000000001</v>
      </c>
      <c r="E39">
        <f t="shared" ref="E39:E49" si="19">C39/2</f>
        <v>22.3565</v>
      </c>
      <c r="F39">
        <f t="shared" ref="F39:F49" si="20">D39/2</f>
        <v>22.3565</v>
      </c>
      <c r="G39">
        <f t="shared" ref="G39:G49" si="21">PI()*E39*F39</f>
        <v>1570.2091387805974</v>
      </c>
      <c r="N39" t="s">
        <v>199</v>
      </c>
    </row>
    <row r="40" spans="1:14">
      <c r="C40">
        <v>23.635000000000002</v>
      </c>
      <c r="D40">
        <v>23.635000000000002</v>
      </c>
      <c r="E40">
        <f t="shared" si="19"/>
        <v>11.817500000000001</v>
      </c>
      <c r="F40">
        <f t="shared" si="20"/>
        <v>11.817500000000001</v>
      </c>
      <c r="G40">
        <f t="shared" si="21"/>
        <v>438.73380096452559</v>
      </c>
    </row>
    <row r="41" spans="1:14">
      <c r="C41">
        <v>32.752000000000002</v>
      </c>
      <c r="D41">
        <v>32.752000000000002</v>
      </c>
      <c r="E41">
        <f t="shared" si="19"/>
        <v>16.376000000000001</v>
      </c>
      <c r="F41">
        <f t="shared" si="20"/>
        <v>16.376000000000001</v>
      </c>
      <c r="G41">
        <f t="shared" si="21"/>
        <v>842.49150792997352</v>
      </c>
    </row>
    <row r="42" spans="1:14">
      <c r="C42">
        <v>49.670999999999999</v>
      </c>
      <c r="D42">
        <v>49.670999999999999</v>
      </c>
      <c r="E42">
        <f t="shared" si="19"/>
        <v>24.8355</v>
      </c>
      <c r="F42">
        <f t="shared" si="20"/>
        <v>24.8355</v>
      </c>
      <c r="G42">
        <f t="shared" si="21"/>
        <v>1937.7408212004486</v>
      </c>
    </row>
    <row r="43" spans="1:14">
      <c r="C43">
        <v>54.47</v>
      </c>
      <c r="D43">
        <v>54.47</v>
      </c>
      <c r="E43">
        <f t="shared" si="19"/>
        <v>27.234999999999999</v>
      </c>
      <c r="F43">
        <f t="shared" si="20"/>
        <v>27.234999999999999</v>
      </c>
      <c r="G43">
        <f t="shared" si="21"/>
        <v>2330.2613496953081</v>
      </c>
    </row>
    <row r="44" spans="1:14">
      <c r="C44">
        <v>27.672999999999998</v>
      </c>
      <c r="D44">
        <v>27.672999999999998</v>
      </c>
      <c r="E44">
        <f t="shared" si="19"/>
        <v>13.836499999999999</v>
      </c>
      <c r="F44">
        <f t="shared" si="20"/>
        <v>13.836499999999999</v>
      </c>
      <c r="G44">
        <f t="shared" si="21"/>
        <v>601.45393077567928</v>
      </c>
    </row>
    <row r="45" spans="1:14">
      <c r="C45">
        <v>56.954999999999998</v>
      </c>
      <c r="D45">
        <v>56.954999999999998</v>
      </c>
      <c r="E45">
        <f t="shared" si="19"/>
        <v>28.477499999999999</v>
      </c>
      <c r="F45">
        <f t="shared" si="20"/>
        <v>28.477499999999999</v>
      </c>
      <c r="G45">
        <f t="shared" si="21"/>
        <v>2547.7311307313612</v>
      </c>
    </row>
    <row r="46" spans="1:14">
      <c r="C46">
        <v>19.739999999999998</v>
      </c>
      <c r="D46">
        <v>19.739999999999998</v>
      </c>
      <c r="E46">
        <f t="shared" si="19"/>
        <v>9.8699999999999992</v>
      </c>
      <c r="F46">
        <f t="shared" si="20"/>
        <v>9.8699999999999992</v>
      </c>
      <c r="G46">
        <f t="shared" si="21"/>
        <v>306.04421737549148</v>
      </c>
    </row>
    <row r="47" spans="1:14">
      <c r="C47">
        <v>8.5640000000000001</v>
      </c>
      <c r="D47">
        <v>8.5640000000000001</v>
      </c>
      <c r="E47">
        <f t="shared" si="19"/>
        <v>4.282</v>
      </c>
      <c r="F47">
        <f t="shared" si="20"/>
        <v>4.282</v>
      </c>
      <c r="G47">
        <f t="shared" si="21"/>
        <v>57.602747498119335</v>
      </c>
    </row>
    <row r="48" spans="1:14">
      <c r="C48">
        <v>48.58</v>
      </c>
      <c r="D48">
        <v>48.58</v>
      </c>
      <c r="E48">
        <f t="shared" si="19"/>
        <v>24.29</v>
      </c>
      <c r="F48">
        <f t="shared" si="20"/>
        <v>24.29</v>
      </c>
      <c r="G48">
        <f t="shared" si="21"/>
        <v>1853.5525461478576</v>
      </c>
    </row>
    <row r="49" spans="1:12">
      <c r="C49">
        <v>23.222000000000001</v>
      </c>
      <c r="D49">
        <v>23.222000000000001</v>
      </c>
      <c r="E49">
        <f t="shared" si="19"/>
        <v>11.611000000000001</v>
      </c>
      <c r="F49">
        <f t="shared" si="20"/>
        <v>11.611000000000001</v>
      </c>
      <c r="G49">
        <f t="shared" si="21"/>
        <v>423.53482204494981</v>
      </c>
    </row>
    <row r="50" spans="1:12">
      <c r="A50" s="32" t="s">
        <v>91</v>
      </c>
      <c r="B50" s="32">
        <f>COUNT(C38:C49)</f>
        <v>12</v>
      </c>
      <c r="C50" s="32">
        <f>AVERAGE(C35:C49)</f>
        <v>35.392083333333332</v>
      </c>
      <c r="D50" s="32">
        <f>AVERAGE(D35:D49)</f>
        <v>35.392083333333332</v>
      </c>
      <c r="E50" s="32">
        <f>AVERAGE(E35:E49)</f>
        <v>17.696041666666666</v>
      </c>
      <c r="F50" s="32">
        <f>AVERAGE(F35:F49)</f>
        <v>17.696041666666666</v>
      </c>
      <c r="G50" s="32">
        <f>AVERAGE(G35:G49)</f>
        <v>1154.7234994620071</v>
      </c>
      <c r="H50" s="35">
        <f>B50</f>
        <v>12</v>
      </c>
      <c r="I50" s="70">
        <f>H50*G50</f>
        <v>13856.681993544085</v>
      </c>
      <c r="J50" s="31">
        <v>222160.25399999999</v>
      </c>
      <c r="K50" s="72">
        <f>I50/J50</f>
        <v>6.2372461968575557E-2</v>
      </c>
      <c r="L50" s="72">
        <f>K50*100</f>
        <v>6.2372461968575559</v>
      </c>
    </row>
    <row r="51" spans="1:12">
      <c r="A51" s="33" t="s">
        <v>102</v>
      </c>
      <c r="B51" s="31">
        <f>COUNTIF(C35:C49,"&gt;"&amp;$B$6)</f>
        <v>0</v>
      </c>
      <c r="C51" s="33" t="e">
        <f>AVERAGEIF(C35:C49,"&gt;"&amp;$B$6)</f>
        <v>#DIV/0!</v>
      </c>
      <c r="D51" s="33" t="e">
        <f>AVERAGEIF(D35:D49,"&gt;"&amp;$B$6)</f>
        <v>#DIV/0!</v>
      </c>
      <c r="E51" s="33" t="e">
        <f>AVERAGEIF(C35:C49,"&gt;"&amp;$B$6,E35:E49)</f>
        <v>#DIV/0!</v>
      </c>
      <c r="F51" s="33" t="e">
        <f>AVERAGEIF(D35:D49,"&gt;"&amp;$B$6,F35:F49)</f>
        <v>#DIV/0!</v>
      </c>
      <c r="G51" s="33" t="e">
        <f>AVERAGEIF(C35:C49,"&gt;"&amp;$B$6,G35:G49)</f>
        <v>#DIV/0!</v>
      </c>
      <c r="H51" s="33">
        <f>B51</f>
        <v>0</v>
      </c>
      <c r="I51" s="70" t="e">
        <f>H51*G51</f>
        <v>#DIV/0!</v>
      </c>
      <c r="J51" s="31">
        <v>222160.25399999999</v>
      </c>
      <c r="K51" s="72" t="e">
        <f>I51/J51</f>
        <v>#DIV/0!</v>
      </c>
      <c r="L51" s="72" t="e">
        <f>K51*100</f>
        <v>#DIV/0!</v>
      </c>
    </row>
    <row r="52" spans="1:12">
      <c r="A52" s="31" t="s">
        <v>27</v>
      </c>
      <c r="B52" s="31">
        <f>COUNTIF(C35:C49,"&gt;"&amp;$B$7)-COUNTIF(C35:C49,"&gt;"&amp;$B$6)</f>
        <v>0</v>
      </c>
      <c r="C52" s="31" t="e">
        <f>AVERAGEIFS(C35:C49,C35:C49,"&gt;"&amp;$B$7,C35:C49,"&lt;"&amp;$B$6)</f>
        <v>#DIV/0!</v>
      </c>
      <c r="D52" s="31" t="e">
        <f>AVERAGEIFS(D35:D49,D35:D49,"&gt;"&amp;$B$7,D35:D49,"&lt;"&amp;$B$6)</f>
        <v>#DIV/0!</v>
      </c>
      <c r="E52" s="31" t="e">
        <f>AVERAGEIFS(E35:E49,C35:C49,"&gt;"&amp;$B$7,C35:C49,"&lt;"&amp;$B$6)</f>
        <v>#DIV/0!</v>
      </c>
      <c r="F52" s="31" t="e">
        <f>AVERAGEIFS(F35:F49,D35:D49,"&gt;"&amp;$B$7,D35:D49,"&lt;"&amp;$B$6)</f>
        <v>#DIV/0!</v>
      </c>
      <c r="G52" s="31" t="e">
        <f>AVERAGEIFS(G35:G49,C35:C49,"&gt;"&amp;$B$7,C35:C49,"&lt;"&amp;$B$6)</f>
        <v>#DIV/0!</v>
      </c>
      <c r="H52" s="33">
        <f t="shared" ref="H52" si="22">B52</f>
        <v>0</v>
      </c>
      <c r="I52" s="34" t="e">
        <f>H52*G52</f>
        <v>#DIV/0!</v>
      </c>
      <c r="J52" s="31">
        <v>222160.25399999999</v>
      </c>
      <c r="K52" s="33" t="e">
        <f>I52/J52</f>
        <v>#DIV/0!</v>
      </c>
      <c r="L52" s="33" t="e">
        <f>K52*100</f>
        <v>#DIV/0!</v>
      </c>
    </row>
    <row r="53" spans="1:12">
      <c r="A53" s="34" t="s">
        <v>28</v>
      </c>
      <c r="B53" s="31">
        <f>COUNTIF(C35:C49,"&gt;"&amp;$B$8)-COUNTIF(C35:C49,"&gt;"&amp;$B$7)</f>
        <v>12</v>
      </c>
      <c r="C53" s="31">
        <f>AVERAGEIFS(C36:C49,C36:C49,"&gt;"&amp;$B$8,C36:C49,"&lt;"&amp;$B$7)</f>
        <v>35.392083333333332</v>
      </c>
      <c r="D53" s="31">
        <f>AVERAGEIFS(D36:D49,D36:D49,"&gt;"&amp;$B$8,D36:D49,"&lt;"&amp;$B$7)</f>
        <v>35.392083333333332</v>
      </c>
      <c r="E53" s="31">
        <f>AVERAGEIFS(E35:E49,C35:C49,"&gt;"&amp;$B$8,C35:C49,"&lt;"&amp;$B$7)</f>
        <v>17.696041666666666</v>
      </c>
      <c r="F53" s="31">
        <f>AVERAGEIFS(F35:F49,D35:D49,"&gt;"&amp;$B$8,D35:D49,"&lt;"&amp;$B$7)</f>
        <v>17.696041666666666</v>
      </c>
      <c r="G53" s="31">
        <f>AVERAGEIFS(G35:G49,C35:C49,"&gt;"&amp;$B$8,C35:C49,"&lt;"&amp;$B$7)</f>
        <v>1154.7234994620071</v>
      </c>
      <c r="H53" s="33">
        <f>B53</f>
        <v>12</v>
      </c>
      <c r="I53" s="34">
        <f>H53*G53</f>
        <v>13856.681993544085</v>
      </c>
      <c r="J53" s="31">
        <v>222160.25399999999</v>
      </c>
      <c r="K53" s="33">
        <f>I53/J53</f>
        <v>6.2372461968575557E-2</v>
      </c>
      <c r="L53" s="33">
        <f>K53*100</f>
        <v>6.2372461968575559</v>
      </c>
    </row>
    <row r="56" spans="1:12">
      <c r="A56" t="s">
        <v>153</v>
      </c>
    </row>
    <row r="57" spans="1:12" ht="45">
      <c r="A57" s="2" t="s">
        <v>220</v>
      </c>
      <c r="B57" s="2" t="s">
        <v>166</v>
      </c>
      <c r="C57" s="2" t="s">
        <v>20</v>
      </c>
      <c r="D57" s="2" t="s">
        <v>103</v>
      </c>
      <c r="E57" s="2" t="s">
        <v>21</v>
      </c>
      <c r="F57" s="2" t="s">
        <v>104</v>
      </c>
      <c r="G57" s="2" t="s">
        <v>6</v>
      </c>
      <c r="H57" s="2" t="s">
        <v>22</v>
      </c>
      <c r="I57" s="2" t="s">
        <v>23</v>
      </c>
      <c r="J57" s="2" t="s">
        <v>9</v>
      </c>
      <c r="K57" s="2" t="s">
        <v>24</v>
      </c>
      <c r="L57" s="2" t="s">
        <v>25</v>
      </c>
    </row>
    <row r="58" spans="1:12">
      <c r="C58">
        <v>57.954000000000001</v>
      </c>
      <c r="D58">
        <v>57.954000000000001</v>
      </c>
      <c r="E58">
        <f t="shared" ref="E58" si="23">C58/2</f>
        <v>28.977</v>
      </c>
      <c r="F58">
        <f t="shared" ref="F58" si="24">D58/2</f>
        <v>28.977</v>
      </c>
      <c r="G58">
        <f t="shared" ref="G58" si="25">PI()*E58*F58</f>
        <v>2637.890198971641</v>
      </c>
    </row>
    <row r="59" spans="1:12">
      <c r="C59">
        <v>29.562000000000001</v>
      </c>
      <c r="D59">
        <v>29.562000000000001</v>
      </c>
      <c r="E59">
        <f t="shared" ref="E59:E60" si="26">C59/2</f>
        <v>14.781000000000001</v>
      </c>
      <c r="F59">
        <f t="shared" ref="F59:F60" si="27">D59/2</f>
        <v>14.781000000000001</v>
      </c>
      <c r="G59">
        <f t="shared" ref="G59:G60" si="28">PI()*E59*F59</f>
        <v>686.36875724887739</v>
      </c>
    </row>
    <row r="60" spans="1:12">
      <c r="C60">
        <v>59.738999999999997</v>
      </c>
      <c r="D60">
        <v>59.738999999999997</v>
      </c>
      <c r="E60">
        <f t="shared" si="26"/>
        <v>29.869499999999999</v>
      </c>
      <c r="F60">
        <f t="shared" si="27"/>
        <v>29.869499999999999</v>
      </c>
      <c r="G60">
        <f t="shared" si="28"/>
        <v>2802.8882198614942</v>
      </c>
    </row>
    <row r="61" spans="1:12">
      <c r="A61" s="32" t="s">
        <v>91</v>
      </c>
      <c r="B61" s="32">
        <f>COUNT(C58:C60)</f>
        <v>3</v>
      </c>
      <c r="C61" s="32">
        <f>AVERAGE(C58:C60)</f>
        <v>49.085000000000001</v>
      </c>
      <c r="D61" s="32">
        <f>AVERAGE(D58:D60)</f>
        <v>49.085000000000001</v>
      </c>
      <c r="E61" s="32">
        <f>AVERAGE(E58:E60)</f>
        <v>24.5425</v>
      </c>
      <c r="F61" s="32">
        <f>AVERAGE(F58:F60)</f>
        <v>24.5425</v>
      </c>
      <c r="G61" s="32">
        <f>AVERAGE(G58:G60)</f>
        <v>2042.3823920273378</v>
      </c>
      <c r="H61" s="35">
        <f>B61</f>
        <v>3</v>
      </c>
      <c r="I61" s="70">
        <f>H61*G61</f>
        <v>6127.1471760820132</v>
      </c>
      <c r="J61">
        <v>27544.665000000001</v>
      </c>
      <c r="K61" s="72">
        <f>I61/J61</f>
        <v>0.22244406225604896</v>
      </c>
      <c r="L61" s="72">
        <f>K61*100</f>
        <v>22.244406225604894</v>
      </c>
    </row>
    <row r="62" spans="1:12">
      <c r="A62" s="33" t="s">
        <v>102</v>
      </c>
      <c r="B62" s="31">
        <f>COUNTIF(C58:C60,"&gt;"&amp;$B$6)</f>
        <v>0</v>
      </c>
      <c r="C62" s="33" t="e">
        <f>AVERAGEIF(C58:C60,"&gt;"&amp;$B$6)</f>
        <v>#DIV/0!</v>
      </c>
      <c r="D62" s="33" t="e">
        <f>AVERAGEIF(D58:D60,"&gt;"&amp;$B$6)</f>
        <v>#DIV/0!</v>
      </c>
      <c r="E62" s="33" t="e">
        <f>AVERAGEIF(C58:C60,"&gt;"&amp;$B$6,E58:E60)</f>
        <v>#DIV/0!</v>
      </c>
      <c r="F62" s="33" t="e">
        <f>AVERAGEIF(D58:D60,"&gt;"&amp;$B$6,F58:F60)</f>
        <v>#DIV/0!</v>
      </c>
      <c r="G62" s="33" t="e">
        <f>AVERAGEIF(C58:C60,"&gt;"&amp;$B$6,G58:G60)</f>
        <v>#DIV/0!</v>
      </c>
      <c r="H62" s="33">
        <f>B62</f>
        <v>0</v>
      </c>
      <c r="I62" s="70" t="e">
        <f>H62*G62</f>
        <v>#DIV/0!</v>
      </c>
      <c r="J62">
        <v>27544.665000000001</v>
      </c>
      <c r="K62" s="72" t="e">
        <f>I62/J62</f>
        <v>#DIV/0!</v>
      </c>
      <c r="L62" s="72" t="e">
        <f>K62*100</f>
        <v>#DIV/0!</v>
      </c>
    </row>
    <row r="63" spans="1:12">
      <c r="A63" s="31" t="s">
        <v>27</v>
      </c>
      <c r="B63" s="31">
        <f>COUNTIF(C46:C60,"&gt;"&amp;$B$7)-COUNTIF(C46:C60,"&gt;"&amp;$B$6)</f>
        <v>0</v>
      </c>
      <c r="C63" s="31" t="e">
        <f>AVERAGEIFS(C58:C60,C58:C60,"&gt;"&amp;$B$7,C58:C60,"&lt;"&amp;$B$6)</f>
        <v>#DIV/0!</v>
      </c>
      <c r="D63" s="31" t="e">
        <f>AVERAGEIFS(D58:D60,D58:D60,"&gt;"&amp;$B$7,D58:D60,"&lt;"&amp;$B$6)</f>
        <v>#DIV/0!</v>
      </c>
      <c r="E63" s="31" t="e">
        <f>AVERAGEIFS(E58:E60,C58:C60,"&gt;"&amp;$B$7,C58:C60,"&lt;"&amp;$B$6)</f>
        <v>#DIV/0!</v>
      </c>
      <c r="F63" s="31" t="e">
        <f>AVERAGEIFS(F58:F60,D58:D60,"&gt;"&amp;$B$7,D58:D60,"&lt;"&amp;$B$6)</f>
        <v>#DIV/0!</v>
      </c>
      <c r="G63" s="31" t="e">
        <f>AVERAGEIFS(G58:G60,C58:C60,"&gt;"&amp;$B$7,C58:C60,"&lt;"&amp;$B$6)</f>
        <v>#DIV/0!</v>
      </c>
      <c r="H63" s="33">
        <f t="shared" ref="H63" si="29">B63</f>
        <v>0</v>
      </c>
      <c r="I63" s="34" t="e">
        <f>H63*G63</f>
        <v>#DIV/0!</v>
      </c>
      <c r="J63">
        <v>27544.665000000001</v>
      </c>
      <c r="K63" s="33" t="e">
        <f>I63/J63</f>
        <v>#DIV/0!</v>
      </c>
      <c r="L63" s="33" t="e">
        <f>K63*100</f>
        <v>#DIV/0!</v>
      </c>
    </row>
    <row r="64" spans="1:12">
      <c r="A64" s="34" t="s">
        <v>28</v>
      </c>
      <c r="B64" s="31">
        <f>COUNTIF(C58:C60,"&gt;"&amp;$B$8)-COUNTIF(C58:C60,"&gt;"&amp;$B$7)</f>
        <v>3</v>
      </c>
      <c r="C64" s="31">
        <f>AVERAGEIFS(C58:C60,C58:C60,"&gt;"&amp;$B$8,C58:C60,"&lt;"&amp;$B$7)</f>
        <v>49.085000000000001</v>
      </c>
      <c r="D64" s="31">
        <f>AVERAGEIFS(D58:D60,D58:D60,"&gt;"&amp;$B$8,D58:D60,"&lt;"&amp;$B$7)</f>
        <v>49.085000000000001</v>
      </c>
      <c r="E64" s="31">
        <f>AVERAGEIFS(E58:E60,C58:C60,"&gt;"&amp;$B$8,C58:C60,"&lt;"&amp;$B$7)</f>
        <v>24.5425</v>
      </c>
      <c r="F64" s="31">
        <f>AVERAGEIFS(F58:F60,D58:D60,"&gt;"&amp;$B$8,D58:D60,"&lt;"&amp;$B$7)</f>
        <v>24.5425</v>
      </c>
      <c r="G64" s="31">
        <f>AVERAGEIFS(G58:G60,C58:C60,"&gt;"&amp;$B$8,C58:C60,"&lt;"&amp;$B$7)</f>
        <v>2042.3823920273378</v>
      </c>
      <c r="H64" s="33">
        <f>B64</f>
        <v>3</v>
      </c>
      <c r="I64" s="34">
        <f>H64*G64</f>
        <v>6127.1471760820132</v>
      </c>
      <c r="J64">
        <v>27544.665000000001</v>
      </c>
      <c r="K64" s="33">
        <f>I64/J64</f>
        <v>0.22244406225604896</v>
      </c>
      <c r="L64" s="33">
        <f>K64*100</f>
        <v>22.244406225604894</v>
      </c>
    </row>
    <row r="66" spans="1:12">
      <c r="A66" t="s">
        <v>168</v>
      </c>
    </row>
    <row r="67" spans="1:12" ht="45">
      <c r="A67" s="2" t="s">
        <v>220</v>
      </c>
      <c r="B67" s="2" t="s">
        <v>166</v>
      </c>
      <c r="C67" s="2" t="s">
        <v>20</v>
      </c>
      <c r="D67" s="2" t="s">
        <v>103</v>
      </c>
      <c r="E67" s="2" t="s">
        <v>21</v>
      </c>
      <c r="F67" s="2" t="s">
        <v>104</v>
      </c>
      <c r="G67" s="2" t="s">
        <v>6</v>
      </c>
      <c r="H67" s="2" t="s">
        <v>22</v>
      </c>
      <c r="I67" s="2" t="s">
        <v>23</v>
      </c>
      <c r="J67" s="2" t="s">
        <v>9</v>
      </c>
      <c r="K67" s="2" t="s">
        <v>24</v>
      </c>
      <c r="L67" s="2" t="s">
        <v>25</v>
      </c>
    </row>
    <row r="68" spans="1:12">
      <c r="C68">
        <v>254.66399999999999</v>
      </c>
      <c r="D68" s="3">
        <v>254.66399999999999</v>
      </c>
      <c r="E68">
        <f t="shared" ref="E68" si="30">C68/2</f>
        <v>127.33199999999999</v>
      </c>
      <c r="F68">
        <f t="shared" ref="F68" si="31">D68/2</f>
        <v>127.33199999999999</v>
      </c>
      <c r="G68">
        <f t="shared" ref="G68" si="32">PI()*E68*F68</f>
        <v>50936.018413950333</v>
      </c>
    </row>
    <row r="69" spans="1:12">
      <c r="C69">
        <v>78.903000000000006</v>
      </c>
      <c r="D69" s="3">
        <v>78.903000000000006</v>
      </c>
      <c r="E69">
        <f t="shared" ref="E69:E78" si="33">C69/2</f>
        <v>39.451500000000003</v>
      </c>
      <c r="F69">
        <f t="shared" ref="F69:F78" si="34">D69/2</f>
        <v>39.451500000000003</v>
      </c>
      <c r="G69">
        <f t="shared" ref="G69:G78" si="35">PI()*E69*F69</f>
        <v>4889.6403153225656</v>
      </c>
    </row>
    <row r="70" spans="1:12">
      <c r="C70">
        <v>43.082000000000001</v>
      </c>
      <c r="D70" s="3">
        <v>43.082000000000001</v>
      </c>
      <c r="E70">
        <f t="shared" si="33"/>
        <v>21.541</v>
      </c>
      <c r="F70">
        <f t="shared" si="34"/>
        <v>21.541</v>
      </c>
      <c r="G70">
        <f t="shared" si="35"/>
        <v>1457.7451129874114</v>
      </c>
    </row>
    <row r="71" spans="1:12">
      <c r="C71">
        <v>42.884</v>
      </c>
      <c r="D71" s="3">
        <v>42.884</v>
      </c>
      <c r="E71">
        <f t="shared" si="33"/>
        <v>21.442</v>
      </c>
      <c r="F71">
        <f t="shared" si="34"/>
        <v>21.442</v>
      </c>
      <c r="G71">
        <f t="shared" si="35"/>
        <v>1444.3766403615157</v>
      </c>
    </row>
    <row r="72" spans="1:12">
      <c r="C72">
        <v>104.288</v>
      </c>
      <c r="D72" s="3">
        <v>104.288</v>
      </c>
      <c r="E72">
        <f t="shared" si="33"/>
        <v>52.143999999999998</v>
      </c>
      <c r="F72">
        <f t="shared" si="34"/>
        <v>52.143999999999998</v>
      </c>
      <c r="G72">
        <f t="shared" si="35"/>
        <v>8541.9801709522253</v>
      </c>
    </row>
    <row r="73" spans="1:12">
      <c r="C73">
        <v>74.816999999999993</v>
      </c>
      <c r="D73" s="3">
        <v>74.816999999999993</v>
      </c>
      <c r="E73">
        <f t="shared" si="33"/>
        <v>37.408499999999997</v>
      </c>
      <c r="F73">
        <f t="shared" si="34"/>
        <v>37.408499999999997</v>
      </c>
      <c r="G73">
        <f t="shared" si="35"/>
        <v>4396.3317917244794</v>
      </c>
    </row>
    <row r="74" spans="1:12">
      <c r="C74">
        <v>70.822999999999993</v>
      </c>
      <c r="D74" s="3">
        <v>70.822999999999993</v>
      </c>
      <c r="E74">
        <f t="shared" si="33"/>
        <v>35.411499999999997</v>
      </c>
      <c r="F74">
        <f t="shared" si="34"/>
        <v>35.411499999999997</v>
      </c>
      <c r="G74">
        <f t="shared" si="35"/>
        <v>3939.4765499867653</v>
      </c>
    </row>
    <row r="75" spans="1:12">
      <c r="C75">
        <v>54.918999999999997</v>
      </c>
      <c r="D75" s="3">
        <v>54.918999999999997</v>
      </c>
      <c r="E75">
        <f t="shared" si="33"/>
        <v>27.459499999999998</v>
      </c>
      <c r="F75">
        <f t="shared" si="34"/>
        <v>27.459499999999998</v>
      </c>
      <c r="G75">
        <f t="shared" si="35"/>
        <v>2368.8366996387595</v>
      </c>
    </row>
    <row r="76" spans="1:12">
      <c r="C76">
        <v>49.954999999999998</v>
      </c>
      <c r="D76" s="3">
        <v>49.954999999999998</v>
      </c>
      <c r="E76">
        <f t="shared" si="33"/>
        <v>24.977499999999999</v>
      </c>
      <c r="F76">
        <f t="shared" si="34"/>
        <v>24.977499999999999</v>
      </c>
      <c r="G76">
        <f t="shared" si="35"/>
        <v>1959.9627071896132</v>
      </c>
    </row>
    <row r="77" spans="1:12">
      <c r="C77">
        <v>109.992</v>
      </c>
      <c r="D77">
        <v>109.992</v>
      </c>
      <c r="E77">
        <f t="shared" ref="E77" si="36">C77/2</f>
        <v>54.996000000000002</v>
      </c>
      <c r="F77">
        <f t="shared" ref="F77" si="37">D77/2</f>
        <v>54.996000000000002</v>
      </c>
      <c r="G77">
        <f t="shared" ref="G77" si="38">PI()*E77*F77</f>
        <v>9501.935526607027</v>
      </c>
    </row>
    <row r="78" spans="1:12">
      <c r="C78">
        <v>47.872</v>
      </c>
      <c r="D78" s="3">
        <v>47.872</v>
      </c>
      <c r="E78">
        <f t="shared" si="33"/>
        <v>23.936</v>
      </c>
      <c r="F78">
        <f t="shared" si="34"/>
        <v>23.936</v>
      </c>
      <c r="G78">
        <f t="shared" si="35"/>
        <v>1799.919263799402</v>
      </c>
    </row>
    <row r="79" spans="1:12">
      <c r="A79" s="32" t="s">
        <v>91</v>
      </c>
      <c r="B79" s="32">
        <f>COUNT(C68:C78)</f>
        <v>11</v>
      </c>
      <c r="C79" s="32">
        <f>AVERAGE(C68:C78)</f>
        <v>84.745363636363635</v>
      </c>
      <c r="D79" s="32">
        <f>AVERAGE(D68:D78)</f>
        <v>84.745363636363635</v>
      </c>
      <c r="E79" s="32">
        <f>AVERAGE(E68:E78)</f>
        <v>42.372681818181817</v>
      </c>
      <c r="F79" s="32">
        <f>AVERAGE(F68:F78)</f>
        <v>42.372681818181817</v>
      </c>
      <c r="G79" s="32">
        <f>AVERAGE(G68:G78)</f>
        <v>8294.2021084109183</v>
      </c>
      <c r="H79" s="35">
        <f>B79</f>
        <v>11</v>
      </c>
      <c r="I79" s="70">
        <f>H79*G79</f>
        <v>91236.223192520105</v>
      </c>
      <c r="J79">
        <v>1399366.2290000001</v>
      </c>
      <c r="K79" s="72">
        <f>I79/J79</f>
        <v>6.5198245678487143E-2</v>
      </c>
      <c r="L79" s="72">
        <f>K79*100</f>
        <v>6.5198245678487146</v>
      </c>
    </row>
    <row r="80" spans="1:12">
      <c r="A80" s="33" t="s">
        <v>102</v>
      </c>
      <c r="B80" s="31">
        <f>COUNTIF(C68:C78,"&gt;"&amp;$B$6)</f>
        <v>1</v>
      </c>
      <c r="C80" s="33">
        <f>AVERAGEIF(C68:C78,"&gt;"&amp;$B$6)</f>
        <v>254.66399999999999</v>
      </c>
      <c r="D80" s="33">
        <f>AVERAGEIF(D68:D78,"&gt;"&amp;$B$6)</f>
        <v>254.66399999999999</v>
      </c>
      <c r="E80" s="33">
        <f>AVERAGEIF(C68:C78,"&gt;"&amp;$B$6,E68:E78)</f>
        <v>127.33199999999999</v>
      </c>
      <c r="F80" s="33">
        <f>AVERAGEIF(D68:D78,"&gt;"&amp;$B$6,F68:F78)</f>
        <v>127.33199999999999</v>
      </c>
      <c r="G80" s="33">
        <f ca="1">AVERAGEIF(C68:C78,"&gt;"&amp;$B$6,G74:G78)</f>
        <v>3939.4765499867653</v>
      </c>
      <c r="H80" s="33">
        <f>B80</f>
        <v>1</v>
      </c>
      <c r="I80" s="70">
        <f ca="1">H80*G80</f>
        <v>3939.4765499867653</v>
      </c>
      <c r="J80">
        <v>1399366.2290000001</v>
      </c>
      <c r="K80" s="72">
        <f ca="1">I80/J80</f>
        <v>2.8151862381314945E-3</v>
      </c>
      <c r="L80" s="72">
        <f ca="1">K80*100</f>
        <v>0.28151862381314946</v>
      </c>
    </row>
    <row r="81" spans="1:12">
      <c r="A81" s="31" t="s">
        <v>27</v>
      </c>
      <c r="B81" s="31">
        <f>COUNTIF(C68:C78,"&gt;"&amp;$B$7)-COUNTIF(C68:C78,"&gt;"&amp;$B$6)</f>
        <v>2</v>
      </c>
      <c r="C81" s="31">
        <f>AVERAGEIFS(C68:C78,C68:C78,"&gt;"&amp;$B$7,C68:C78,"&lt;"&amp;$B$6)</f>
        <v>107.14</v>
      </c>
      <c r="D81" s="31">
        <f>AVERAGEIFS(D68:D78,D68:D78,"&gt;"&amp;$B$7,D68:D78,"&lt;"&amp;$B$6)</f>
        <v>107.14</v>
      </c>
      <c r="E81" s="31">
        <f>AVERAGEIFS(E68:E78,C68:C78,"&gt;"&amp;$B$7,C68:C78,"&lt;"&amp;$B$6)</f>
        <v>53.57</v>
      </c>
      <c r="F81" s="31">
        <f>AVERAGEIFS(F68:F78,D68:D78,"&gt;"&amp;$B$7,D68:D78,"&lt;"&amp;$B$6)</f>
        <v>53.57</v>
      </c>
      <c r="G81" s="31">
        <f>AVERAGEIFS(G68:G78,C68:C78,"&gt;"&amp;$B$7,C68:C78,"&lt;"&amp;$B$6)</f>
        <v>9021.9578487796261</v>
      </c>
      <c r="H81" s="33">
        <f t="shared" ref="H81" si="39">B81</f>
        <v>2</v>
      </c>
      <c r="I81" s="34">
        <f>H81*G81</f>
        <v>18043.915697559252</v>
      </c>
      <c r="J81">
        <v>1399366.2290000001</v>
      </c>
      <c r="K81" s="33">
        <f>I81/J81</f>
        <v>1.2894348401171292E-2</v>
      </c>
      <c r="L81" s="33">
        <f>K81*100</f>
        <v>1.2894348401171292</v>
      </c>
    </row>
    <row r="82" spans="1:12">
      <c r="A82" s="34" t="s">
        <v>28</v>
      </c>
      <c r="B82" s="31">
        <f>COUNTIF(C68:C78,"&gt;"&amp;$B$8)-COUNTIF(C68:C78,"&gt;"&amp;$B$7)</f>
        <v>8</v>
      </c>
      <c r="C82" s="31">
        <f>AVERAGEIFS(C68:C78,C68:C78,"&gt;"&amp;$B$8,C68:C78,"&lt;"&amp;$B$7)</f>
        <v>57.906874999999999</v>
      </c>
      <c r="D82" s="31">
        <f>AVERAGEIFS(D68:D78,D68:D78,"&gt;"&amp;$B$8,D68:D78,"&lt;"&amp;$B$7)</f>
        <v>57.906874999999999</v>
      </c>
      <c r="E82" s="31">
        <f>AVERAGEIFS(E68:E78,C68:C78,"&gt;"&amp;$B$8,C68:C78,"&lt;"&amp;$B$7)</f>
        <v>28.9534375</v>
      </c>
      <c r="F82" s="31">
        <f>AVERAGEIFS(F68:F78,D68:D78,"&gt;"&amp;$B$8,D68:D78,"&lt;"&amp;$B$7)</f>
        <v>28.9534375</v>
      </c>
      <c r="G82" s="31">
        <f>AVERAGEIFS(G68:G78,C68:C78,"&gt;"&amp;$B$8,C68:C78,"&lt;"&amp;$B$7)</f>
        <v>2782.0361351263141</v>
      </c>
      <c r="H82" s="33">
        <f>B82</f>
        <v>8</v>
      </c>
      <c r="I82" s="34">
        <f>H82*G82</f>
        <v>22256.289081010513</v>
      </c>
      <c r="J82">
        <v>1399366.2290000001</v>
      </c>
      <c r="K82" s="33">
        <f>I82/J82</f>
        <v>1.5904549230772176E-2</v>
      </c>
      <c r="L82" s="33">
        <f>K82*100</f>
        <v>1.5904549230772176</v>
      </c>
    </row>
    <row r="84" spans="1:12">
      <c r="A84" t="s">
        <v>224</v>
      </c>
    </row>
    <row r="85" spans="1:12" ht="45">
      <c r="A85" s="2" t="s">
        <v>220</v>
      </c>
      <c r="B85" s="2" t="s">
        <v>166</v>
      </c>
      <c r="C85" s="2" t="s">
        <v>20</v>
      </c>
      <c r="D85" s="2" t="s">
        <v>103</v>
      </c>
      <c r="E85" s="2" t="s">
        <v>21</v>
      </c>
      <c r="F85" s="2" t="s">
        <v>104</v>
      </c>
      <c r="G85" s="2" t="s">
        <v>6</v>
      </c>
      <c r="H85" s="2" t="s">
        <v>22</v>
      </c>
      <c r="I85" s="2" t="s">
        <v>23</v>
      </c>
      <c r="J85" s="2" t="s">
        <v>9</v>
      </c>
      <c r="K85" s="2" t="s">
        <v>24</v>
      </c>
      <c r="L85" s="2" t="s">
        <v>25</v>
      </c>
    </row>
    <row r="86" spans="1:12">
      <c r="C86">
        <v>126.08</v>
      </c>
      <c r="D86">
        <v>126.08</v>
      </c>
      <c r="E86">
        <f t="shared" ref="E86" si="40">C86/2</f>
        <v>63.04</v>
      </c>
      <c r="F86">
        <f t="shared" ref="F86" si="41">D86/2</f>
        <v>63.04</v>
      </c>
      <c r="G86">
        <f t="shared" ref="G86" si="42">PI()*E86*F86</f>
        <v>12484.819895620227</v>
      </c>
    </row>
    <row r="87" spans="1:12">
      <c r="C87">
        <v>57.488999999999997</v>
      </c>
      <c r="D87">
        <v>57.488999999999997</v>
      </c>
      <c r="E87">
        <f t="shared" ref="E87:E94" si="43">C87/2</f>
        <v>28.744499999999999</v>
      </c>
      <c r="F87">
        <f t="shared" ref="F87:F94" si="44">D87/2</f>
        <v>28.744499999999999</v>
      </c>
      <c r="G87">
        <f t="shared" ref="G87:G94" si="45">PI()*E87*F87</f>
        <v>2595.7292440892929</v>
      </c>
    </row>
    <row r="88" spans="1:12">
      <c r="C88">
        <v>52.655000000000001</v>
      </c>
      <c r="D88">
        <v>52.655000000000001</v>
      </c>
      <c r="E88">
        <f t="shared" si="43"/>
        <v>26.327500000000001</v>
      </c>
      <c r="F88">
        <f t="shared" si="44"/>
        <v>26.327500000000001</v>
      </c>
      <c r="G88">
        <f t="shared" si="45"/>
        <v>2177.5549121643862</v>
      </c>
    </row>
    <row r="89" spans="1:12">
      <c r="C89">
        <v>46.695999999999998</v>
      </c>
      <c r="D89">
        <v>46.695999999999998</v>
      </c>
      <c r="E89">
        <f t="shared" si="43"/>
        <v>23.347999999999999</v>
      </c>
      <c r="F89">
        <f t="shared" si="44"/>
        <v>23.347999999999999</v>
      </c>
      <c r="G89">
        <f t="shared" si="45"/>
        <v>1712.5735883843861</v>
      </c>
    </row>
    <row r="90" spans="1:12">
      <c r="C90">
        <v>33.838000000000001</v>
      </c>
      <c r="D90">
        <v>33.838000000000001</v>
      </c>
      <c r="E90">
        <f t="shared" si="43"/>
        <v>16.919</v>
      </c>
      <c r="F90">
        <f t="shared" si="44"/>
        <v>16.919</v>
      </c>
      <c r="G90">
        <f t="shared" si="45"/>
        <v>899.28894270886417</v>
      </c>
    </row>
    <row r="91" spans="1:12">
      <c r="C91">
        <v>22.847000000000001</v>
      </c>
      <c r="D91">
        <v>22.847000000000001</v>
      </c>
      <c r="E91">
        <f t="shared" si="43"/>
        <v>11.423500000000001</v>
      </c>
      <c r="F91">
        <f t="shared" si="44"/>
        <v>11.423500000000001</v>
      </c>
      <c r="G91">
        <f t="shared" si="45"/>
        <v>409.96638154886597</v>
      </c>
    </row>
    <row r="92" spans="1:12">
      <c r="C92">
        <v>42.746000000000002</v>
      </c>
      <c r="D92">
        <v>42.746000000000002</v>
      </c>
      <c r="E92">
        <f t="shared" si="43"/>
        <v>21.373000000000001</v>
      </c>
      <c r="F92">
        <f t="shared" si="44"/>
        <v>21.373000000000001</v>
      </c>
      <c r="G92">
        <f t="shared" si="45"/>
        <v>1435.0956373885379</v>
      </c>
    </row>
    <row r="93" spans="1:12">
      <c r="C93">
        <v>44.241</v>
      </c>
      <c r="D93">
        <v>44.241</v>
      </c>
      <c r="E93">
        <f t="shared" si="43"/>
        <v>22.1205</v>
      </c>
      <c r="F93">
        <f t="shared" si="44"/>
        <v>22.1205</v>
      </c>
      <c r="G93">
        <f t="shared" si="45"/>
        <v>1537.2331852975215</v>
      </c>
    </row>
    <row r="94" spans="1:12">
      <c r="C94">
        <v>46.69</v>
      </c>
      <c r="D94">
        <v>46.69</v>
      </c>
      <c r="E94">
        <f t="shared" si="43"/>
        <v>23.344999999999999</v>
      </c>
      <c r="F94">
        <f t="shared" si="44"/>
        <v>23.344999999999999</v>
      </c>
      <c r="G94">
        <f t="shared" si="45"/>
        <v>1712.133517227064</v>
      </c>
    </row>
    <row r="95" spans="1:12">
      <c r="A95" s="32" t="s">
        <v>91</v>
      </c>
      <c r="B95" s="32">
        <f>COUNT(C86:C94)</f>
        <v>9</v>
      </c>
      <c r="C95" s="32">
        <f>AVERAGE(C86:C94)</f>
        <v>52.586888888888879</v>
      </c>
      <c r="D95" s="32">
        <f>AVERAGE(D86:D94)</f>
        <v>52.586888888888879</v>
      </c>
      <c r="E95" s="32">
        <f>AVERAGE(E86:E94)</f>
        <v>26.29344444444444</v>
      </c>
      <c r="F95" s="32">
        <f>AVERAGE(F86:F94)</f>
        <v>26.29344444444444</v>
      </c>
      <c r="G95" s="32">
        <f>AVERAGE(G86:G94)</f>
        <v>2773.8217004921271</v>
      </c>
      <c r="H95" s="35">
        <f>B95</f>
        <v>9</v>
      </c>
      <c r="I95" s="70">
        <f>H95*G95</f>
        <v>24964.395304429145</v>
      </c>
      <c r="J95">
        <v>304308.30900000001</v>
      </c>
      <c r="K95" s="72">
        <f>I95/J95</f>
        <v>8.2036522060359329E-2</v>
      </c>
      <c r="L95" s="72">
        <f>K95*100</f>
        <v>8.2036522060359331</v>
      </c>
    </row>
    <row r="96" spans="1:12">
      <c r="A96" s="33" t="s">
        <v>102</v>
      </c>
      <c r="B96" s="31">
        <f>COUNTIF(C86:C94,"&gt;"&amp;$B$6)</f>
        <v>0</v>
      </c>
      <c r="C96" s="33" t="e">
        <f>AVERAGEIF(C86:C94,"&gt;"&amp;$B$6)</f>
        <v>#DIV/0!</v>
      </c>
      <c r="D96" s="33" t="e">
        <f>AVERAGEIF(D86:D94,"&gt;"&amp;$B$6)</f>
        <v>#DIV/0!</v>
      </c>
      <c r="E96" s="33" t="e">
        <f>AVERAGEIF(C86:C94,"&gt;"&amp;$B$6,E86:E94)</f>
        <v>#DIV/0!</v>
      </c>
      <c r="F96" s="33" t="e">
        <f>AVERAGEIF(D86:D94,"&gt;"&amp;$B$6,F86:F94)</f>
        <v>#DIV/0!</v>
      </c>
      <c r="G96" s="33" t="e">
        <f>AVERAGEIF(C86:C94,"&gt;"&amp;$B$6,G86:G94)</f>
        <v>#DIV/0!</v>
      </c>
      <c r="H96" s="33">
        <f>B96</f>
        <v>0</v>
      </c>
      <c r="I96" s="70" t="e">
        <f>H96*G96</f>
        <v>#DIV/0!</v>
      </c>
      <c r="J96">
        <v>304308.30900000001</v>
      </c>
      <c r="K96" s="72" t="e">
        <f>I96/J96</f>
        <v>#DIV/0!</v>
      </c>
      <c r="L96" s="72" t="e">
        <f>K96*100</f>
        <v>#DIV/0!</v>
      </c>
    </row>
    <row r="97" spans="1:12">
      <c r="A97" s="31" t="s">
        <v>27</v>
      </c>
      <c r="B97" s="31">
        <f>COUNTIF(C86:C94,"&gt;"&amp;$B$7)-COUNTIF(C86:C94,"&gt;"&amp;$B$6)</f>
        <v>1</v>
      </c>
      <c r="C97" s="31">
        <f>AVERAGEIFS(C86:C94,C86:C94,"&gt;"&amp;$B$7,C86:C94,"&lt;"&amp;$B$6)</f>
        <v>126.08</v>
      </c>
      <c r="D97" s="31">
        <f>AVERAGEIFS(D86:D94,D86:D94,"&gt;"&amp;$B$7,D86:D94,"&lt;"&amp;$B$6)</f>
        <v>126.08</v>
      </c>
      <c r="E97" s="31">
        <f>AVERAGEIFS(E86:E94,C86:C94,"&gt;"&amp;$B$7,C86:C94,"&lt;"&amp;$B$6)</f>
        <v>63.04</v>
      </c>
      <c r="F97" s="31">
        <f>AVERAGEIFS(F86:F94,D86:D94,"&gt;"&amp;$B$7,D86:D94,"&lt;"&amp;$B$6)</f>
        <v>63.04</v>
      </c>
      <c r="G97" s="31">
        <f>AVERAGEIFS(G86:G94,C86:C94,"&gt;"&amp;$B$7,C86:C94,"&lt;"&amp;$B$6)</f>
        <v>12484.819895620227</v>
      </c>
      <c r="H97" s="33">
        <f t="shared" ref="H97" si="46">B97</f>
        <v>1</v>
      </c>
      <c r="I97" s="34">
        <f>H97*G97</f>
        <v>12484.819895620227</v>
      </c>
      <c r="J97">
        <v>304308.30900000001</v>
      </c>
      <c r="K97" s="33">
        <f>I97/J97</f>
        <v>4.1026878091653507E-2</v>
      </c>
      <c r="L97" s="33">
        <f>K97*100</f>
        <v>4.1026878091653511</v>
      </c>
    </row>
    <row r="98" spans="1:12">
      <c r="A98" s="34" t="s">
        <v>28</v>
      </c>
      <c r="B98" s="31">
        <f>COUNTIF(C86:C94,"&gt;"&amp;$B$8)-COUNTIF(C86:C94,"&gt;"&amp;$B$7)</f>
        <v>8</v>
      </c>
      <c r="C98" s="31">
        <f>AVERAGEIFS(C86:C94,C86:C94,"&gt;"&amp;$B$8,C86:C94,"&lt;"&amp;$B$7)</f>
        <v>43.40025</v>
      </c>
      <c r="D98" s="31">
        <f>AVERAGEIFS(D86:D94,D86:D94,"&gt;"&amp;$B$8,D86:D94,"&lt;"&amp;$B$7)</f>
        <v>43.40025</v>
      </c>
      <c r="E98" s="31">
        <f>AVERAGEIFS(E86:E94,C86:C94,"&gt;"&amp;$B$8,C86:C94,"&lt;"&amp;$B$7)</f>
        <v>21.700125</v>
      </c>
      <c r="F98" s="31">
        <f>AVERAGEIFS(F86:F94,D86:D94,"&gt;"&amp;$B$8,D86:D94,"&lt;"&amp;$B$7)</f>
        <v>21.700125</v>
      </c>
      <c r="G98" s="31">
        <f>AVERAGEIFS(G84:G94,C84:C94,"&gt;"&amp;$B$8,C84:C94,"&lt;"&amp;$B$7)</f>
        <v>1559.946926101115</v>
      </c>
      <c r="H98" s="33">
        <f>B98</f>
        <v>8</v>
      </c>
      <c r="I98" s="34">
        <f>H98*G98</f>
        <v>12479.57540880892</v>
      </c>
      <c r="J98">
        <v>304308.30900000001</v>
      </c>
      <c r="K98" s="33">
        <f>I98/J98</f>
        <v>4.1009643968705829E-2</v>
      </c>
      <c r="L98" s="33">
        <f>K98*100</f>
        <v>4.1009643968705829</v>
      </c>
    </row>
    <row r="101" spans="1:12">
      <c r="A101" t="s">
        <v>225</v>
      </c>
    </row>
    <row r="102" spans="1:12" ht="45">
      <c r="A102" s="2" t="s">
        <v>220</v>
      </c>
      <c r="B102" s="2" t="s">
        <v>166</v>
      </c>
      <c r="C102" s="2" t="s">
        <v>20</v>
      </c>
      <c r="D102" s="2" t="s">
        <v>103</v>
      </c>
      <c r="E102" s="2" t="s">
        <v>21</v>
      </c>
      <c r="F102" s="2" t="s">
        <v>104</v>
      </c>
      <c r="G102" s="2" t="s">
        <v>6</v>
      </c>
      <c r="H102" s="2" t="s">
        <v>22</v>
      </c>
      <c r="I102" s="2" t="s">
        <v>23</v>
      </c>
      <c r="J102" s="2" t="s">
        <v>9</v>
      </c>
      <c r="K102" s="2" t="s">
        <v>24</v>
      </c>
      <c r="L102" s="2" t="s">
        <v>25</v>
      </c>
    </row>
    <row r="103" spans="1:12">
      <c r="C103">
        <v>136.608</v>
      </c>
      <c r="D103">
        <v>122.04900000000001</v>
      </c>
      <c r="E103">
        <f t="shared" ref="E103" si="47">C103/2</f>
        <v>68.304000000000002</v>
      </c>
      <c r="F103">
        <f t="shared" ref="F103" si="48">D103/2</f>
        <v>61.024500000000003</v>
      </c>
      <c r="G103">
        <f t="shared" ref="G103" si="49">PI()*E103*F103</f>
        <v>13094.841313201598</v>
      </c>
    </row>
    <row r="104" spans="1:12">
      <c r="C104">
        <v>161.566</v>
      </c>
      <c r="D104">
        <v>148.19399999999999</v>
      </c>
      <c r="E104">
        <f t="shared" ref="E104:E112" si="50">C104/2</f>
        <v>80.783000000000001</v>
      </c>
      <c r="F104">
        <f t="shared" ref="F104:F112" si="51">D104/2</f>
        <v>74.096999999999994</v>
      </c>
      <c r="G104">
        <f t="shared" ref="G104:G112" si="52">PI()*E104*F104</f>
        <v>18804.876036881364</v>
      </c>
    </row>
    <row r="105" spans="1:12">
      <c r="C105">
        <v>39.438000000000002</v>
      </c>
      <c r="D105">
        <v>32.732999999999997</v>
      </c>
      <c r="E105">
        <f t="shared" si="50"/>
        <v>19.719000000000001</v>
      </c>
      <c r="F105">
        <f t="shared" si="51"/>
        <v>16.366499999999998</v>
      </c>
      <c r="G105">
        <f t="shared" si="52"/>
        <v>1013.8893810971883</v>
      </c>
    </row>
    <row r="106" spans="1:12">
      <c r="C106">
        <v>64.16</v>
      </c>
      <c r="D106">
        <v>31.353000000000002</v>
      </c>
      <c r="E106">
        <f t="shared" si="50"/>
        <v>32.08</v>
      </c>
      <c r="F106">
        <f t="shared" si="51"/>
        <v>15.676500000000001</v>
      </c>
      <c r="G106">
        <f t="shared" si="52"/>
        <v>1579.9136056667326</v>
      </c>
    </row>
    <row r="107" spans="1:12">
      <c r="C107">
        <v>64.799000000000007</v>
      </c>
      <c r="D107">
        <v>31.135000000000002</v>
      </c>
      <c r="E107">
        <f t="shared" si="50"/>
        <v>32.399500000000003</v>
      </c>
      <c r="F107">
        <f t="shared" si="51"/>
        <v>15.567500000000001</v>
      </c>
      <c r="G107">
        <f t="shared" si="52"/>
        <v>1584.5540403943778</v>
      </c>
    </row>
    <row r="108" spans="1:12">
      <c r="C108">
        <v>70.927000000000007</v>
      </c>
      <c r="D108">
        <v>27.055</v>
      </c>
      <c r="E108">
        <f t="shared" si="50"/>
        <v>35.463500000000003</v>
      </c>
      <c r="F108">
        <f t="shared" si="51"/>
        <v>13.5275</v>
      </c>
      <c r="G108">
        <f t="shared" si="52"/>
        <v>1507.1240859072932</v>
      </c>
    </row>
    <row r="109" spans="1:12">
      <c r="C109">
        <v>36.031999999999996</v>
      </c>
      <c r="D109">
        <v>44.764000000000003</v>
      </c>
      <c r="E109">
        <f t="shared" si="50"/>
        <v>18.015999999999998</v>
      </c>
      <c r="F109">
        <f t="shared" si="51"/>
        <v>22.382000000000001</v>
      </c>
      <c r="G109">
        <f t="shared" si="52"/>
        <v>1266.7973239360037</v>
      </c>
    </row>
    <row r="110" spans="1:12">
      <c r="C110">
        <v>59.722000000000001</v>
      </c>
      <c r="D110">
        <v>46.316000000000003</v>
      </c>
      <c r="E110">
        <f t="shared" si="50"/>
        <v>29.861000000000001</v>
      </c>
      <c r="F110">
        <f t="shared" si="51"/>
        <v>23.158000000000001</v>
      </c>
      <c r="G110">
        <f t="shared" si="52"/>
        <v>2172.4774127835881</v>
      </c>
    </row>
    <row r="111" spans="1:12">
      <c r="C111">
        <v>117.91500000000001</v>
      </c>
      <c r="D111">
        <v>112.72499999999999</v>
      </c>
      <c r="E111">
        <f t="shared" si="50"/>
        <v>58.957500000000003</v>
      </c>
      <c r="F111">
        <f t="shared" si="51"/>
        <v>56.362499999999997</v>
      </c>
      <c r="G111">
        <f t="shared" si="52"/>
        <v>10439.487549661964</v>
      </c>
    </row>
    <row r="112" spans="1:12">
      <c r="C112">
        <v>20.375</v>
      </c>
      <c r="D112">
        <v>20.375</v>
      </c>
      <c r="E112">
        <f t="shared" si="50"/>
        <v>10.1875</v>
      </c>
      <c r="F112">
        <f t="shared" si="51"/>
        <v>10.1875</v>
      </c>
      <c r="G112">
        <f t="shared" si="52"/>
        <v>326.05068442666879</v>
      </c>
    </row>
    <row r="113" spans="1:12">
      <c r="A113" s="32" t="s">
        <v>91</v>
      </c>
      <c r="B113" s="32">
        <f>COUNT(C103:C112)</f>
        <v>10</v>
      </c>
      <c r="C113" s="32">
        <f>AVERAGE(C103:C112)</f>
        <v>77.154199999999989</v>
      </c>
      <c r="D113" s="32">
        <f>AVERAGE(D103:D112)</f>
        <v>61.669900000000005</v>
      </c>
      <c r="E113" s="32">
        <f>AVERAGE(E103:E112)</f>
        <v>38.577099999999994</v>
      </c>
      <c r="F113" s="32">
        <f>AVERAGE(F103:F112)</f>
        <v>30.834950000000003</v>
      </c>
      <c r="G113" s="32">
        <f>AVERAGE(G103:G112)</f>
        <v>5179.001143395677</v>
      </c>
      <c r="H113" s="35">
        <f>B113</f>
        <v>10</v>
      </c>
      <c r="I113" s="70">
        <f>H113*G113</f>
        <v>51790.011433956766</v>
      </c>
      <c r="J113">
        <v>933495.652</v>
      </c>
      <c r="K113" s="72">
        <f>I113/J113</f>
        <v>5.5479649340623563E-2</v>
      </c>
      <c r="L113" s="72">
        <f>K113*100</f>
        <v>5.5479649340623567</v>
      </c>
    </row>
    <row r="114" spans="1:12">
      <c r="A114" s="33" t="s">
        <v>102</v>
      </c>
      <c r="B114" s="31">
        <f>COUNTIF(C103:C112,"&gt;"&amp;$B$6)</f>
        <v>0</v>
      </c>
      <c r="C114" s="33" t="e">
        <f>AVERAGEIF(C103:C112,"&gt;"&amp;$B$6)</f>
        <v>#DIV/0!</v>
      </c>
      <c r="D114" s="33" t="e">
        <f>AVERAGEIF(D103:D112,"&gt;"&amp;$B$6)</f>
        <v>#DIV/0!</v>
      </c>
      <c r="E114" s="33" t="e">
        <f>AVERAGEIF(C103:C112,"&gt;"&amp;$B$6,E103:E112)</f>
        <v>#DIV/0!</v>
      </c>
      <c r="F114" s="33" t="e">
        <f>AVERAGEIF(D103:D112,"&gt;"&amp;$B$6,F103:F112)</f>
        <v>#DIV/0!</v>
      </c>
      <c r="G114" s="33" t="e">
        <f>AVERAGEIF(C103:C112,"&gt;"&amp;$B$6,G103:G112)</f>
        <v>#DIV/0!</v>
      </c>
      <c r="H114" s="33">
        <f>B114</f>
        <v>0</v>
      </c>
      <c r="I114" s="70" t="e">
        <f>H114*G114</f>
        <v>#DIV/0!</v>
      </c>
      <c r="J114">
        <v>933495.652</v>
      </c>
      <c r="K114" s="72" t="e">
        <f>I114/J114</f>
        <v>#DIV/0!</v>
      </c>
      <c r="L114" s="72" t="e">
        <f>K114*100</f>
        <v>#DIV/0!</v>
      </c>
    </row>
    <row r="115" spans="1:12">
      <c r="A115" s="31" t="s">
        <v>27</v>
      </c>
      <c r="B115" s="31">
        <f>COUNTIF(C103:C112,"&gt;"&amp;$B$7)-COUNTIF(C103:C112,"&gt;"&amp;$B$6)</f>
        <v>3</v>
      </c>
      <c r="C115" s="31">
        <f>AVERAGEIFS(C103:C112,C103:C112,"&gt;"&amp;$B$7,C103:C112,"&lt;"&amp;$B$6)</f>
        <v>138.69633333333334</v>
      </c>
      <c r="D115" s="31">
        <f>AVERAGEIFS(D103:D112,D103:D112,"&gt;"&amp;$B$7,D103:D112,"&lt;"&amp;$B$6)</f>
        <v>127.65599999999999</v>
      </c>
      <c r="E115" s="31">
        <f>AVERAGEIFS(E103:E112,C103:C112,"&gt;"&amp;$B$7,C103:C112,"&lt;"&amp;$B$6)</f>
        <v>69.348166666666671</v>
      </c>
      <c r="F115" s="31">
        <f>AVERAGEIFS(F103:F112,D103:D112,"&gt;"&amp;$B$7,D103:D112,"&lt;"&amp;$B$6)</f>
        <v>63.827999999999996</v>
      </c>
      <c r="G115" s="31">
        <f>AVERAGEIFS(G103:G112,C103:C112,"&gt;"&amp;$B$7,C103:C112,"&lt;"&amp;$B$6)</f>
        <v>14113.068299914974</v>
      </c>
      <c r="H115" s="33">
        <f t="shared" ref="H115" si="53">B115</f>
        <v>3</v>
      </c>
      <c r="I115" s="34">
        <f>H115*G115</f>
        <v>42339.204899744924</v>
      </c>
      <c r="J115">
        <v>933495.652</v>
      </c>
      <c r="K115" s="33">
        <f>I115/J115</f>
        <v>4.5355545908579042E-2</v>
      </c>
      <c r="L115" s="33">
        <f>K115*100</f>
        <v>4.5355545908579042</v>
      </c>
    </row>
    <row r="116" spans="1:12">
      <c r="A116" s="34" t="s">
        <v>28</v>
      </c>
      <c r="B116" s="31">
        <f>COUNTIF(C103:C112,"&gt;"&amp;$B$8)-COUNTIF(C103:C112,"&gt;"&amp;$B$7)</f>
        <v>7</v>
      </c>
      <c r="C116" s="31">
        <f>AVERAGEIFS(C103:C112,C103:C112,"&gt;"&amp;$B$8,C103:C112,"&lt;"&amp;$B$7)</f>
        <v>50.778999999999996</v>
      </c>
      <c r="D116" s="31">
        <f>AVERAGEIFS(D103:D112,D103:D112,"&gt;"&amp;$B$8,D103:D112,"&lt;"&amp;$B$7)</f>
        <v>33.390142857142862</v>
      </c>
      <c r="E116" s="31">
        <f>AVERAGEIFS(E103:E112,C103:C112,"&gt;"&amp;$B$8,C103:C112,"&lt;"&amp;$B$7)</f>
        <v>25.389499999999998</v>
      </c>
      <c r="F116" s="31">
        <f>AVERAGEIFS(F103:F112,D103:D112,"&gt;"&amp;$B$8,D103:D112,"&lt;"&amp;$B$7)</f>
        <v>16.695071428571431</v>
      </c>
      <c r="G116" s="31">
        <f>AVERAGEIFS(G103:G112,C103:C112,"&gt;"&amp;$B$8,C103:C112,"&lt;"&amp;$B$7)</f>
        <v>1350.1152191731217</v>
      </c>
      <c r="H116" s="33">
        <f>B116</f>
        <v>7</v>
      </c>
      <c r="I116" s="34">
        <f>H116*G116</f>
        <v>9450.8065342118516</v>
      </c>
      <c r="J116">
        <v>933495.652</v>
      </c>
      <c r="K116" s="33">
        <f>I116/J116</f>
        <v>1.0124103432044536E-2</v>
      </c>
      <c r="L116" s="33">
        <f>K116*100</f>
        <v>1.0124103432044536</v>
      </c>
    </row>
    <row r="119" spans="1:12">
      <c r="A119" t="s">
        <v>226</v>
      </c>
    </row>
    <row r="120" spans="1:12" ht="45">
      <c r="A120" s="2" t="s">
        <v>220</v>
      </c>
      <c r="B120" s="2" t="s">
        <v>166</v>
      </c>
      <c r="C120" s="2" t="s">
        <v>20</v>
      </c>
      <c r="D120" s="2" t="s">
        <v>103</v>
      </c>
      <c r="E120" s="2" t="s">
        <v>21</v>
      </c>
      <c r="F120" s="2" t="s">
        <v>104</v>
      </c>
      <c r="G120" s="2" t="s">
        <v>6</v>
      </c>
      <c r="H120" s="2" t="s">
        <v>22</v>
      </c>
      <c r="I120" s="2" t="s">
        <v>23</v>
      </c>
      <c r="J120" s="2" t="s">
        <v>9</v>
      </c>
      <c r="K120" s="2" t="s">
        <v>24</v>
      </c>
      <c r="L120" s="2" t="s">
        <v>25</v>
      </c>
    </row>
    <row r="121" spans="1:12">
      <c r="C121">
        <v>219.83099999999999</v>
      </c>
      <c r="D121">
        <v>240.661</v>
      </c>
      <c r="E121">
        <f t="shared" ref="E121" si="54">C121/2</f>
        <v>109.91549999999999</v>
      </c>
      <c r="F121">
        <f t="shared" ref="F121" si="55">D121/2</f>
        <v>120.3305</v>
      </c>
      <c r="G121">
        <f t="shared" ref="G121" si="56">PI()*E121*F121</f>
        <v>41551.292142755687</v>
      </c>
    </row>
    <row r="122" spans="1:12">
      <c r="C122">
        <v>119.247</v>
      </c>
      <c r="D122">
        <v>93.894999999999996</v>
      </c>
      <c r="E122">
        <f t="shared" ref="E122:E133" si="57">C122/2</f>
        <v>59.6235</v>
      </c>
      <c r="F122">
        <f t="shared" ref="F122:F133" si="58">D122/2</f>
        <v>46.947499999999998</v>
      </c>
      <c r="G122">
        <f t="shared" ref="G122:G133" si="59">PI()*E122*F122</f>
        <v>8793.8653109686002</v>
      </c>
    </row>
    <row r="123" spans="1:12">
      <c r="C123">
        <v>99.587000000000003</v>
      </c>
      <c r="D123">
        <v>93.894999999999996</v>
      </c>
      <c r="E123">
        <f t="shared" si="57"/>
        <v>49.793500000000002</v>
      </c>
      <c r="F123">
        <f t="shared" si="58"/>
        <v>46.947499999999998</v>
      </c>
      <c r="G123">
        <f t="shared" si="59"/>
        <v>7344.0393865122805</v>
      </c>
    </row>
    <row r="124" spans="1:12">
      <c r="C124">
        <v>45.94</v>
      </c>
      <c r="D124">
        <v>45.94</v>
      </c>
      <c r="E124">
        <f t="shared" si="57"/>
        <v>22.97</v>
      </c>
      <c r="F124">
        <f t="shared" si="58"/>
        <v>22.97</v>
      </c>
      <c r="G124">
        <f t="shared" si="59"/>
        <v>1657.5699433204345</v>
      </c>
    </row>
    <row r="125" spans="1:12">
      <c r="C125">
        <v>69.174999999999997</v>
      </c>
      <c r="D125">
        <v>69.174999999999997</v>
      </c>
      <c r="E125">
        <f t="shared" si="57"/>
        <v>34.587499999999999</v>
      </c>
      <c r="F125">
        <f t="shared" si="58"/>
        <v>34.587499999999999</v>
      </c>
      <c r="G125">
        <f t="shared" si="59"/>
        <v>3758.272074400053</v>
      </c>
    </row>
    <row r="126" spans="1:12">
      <c r="C126">
        <v>36.338999999999999</v>
      </c>
      <c r="D126">
        <v>29.334</v>
      </c>
      <c r="E126">
        <f t="shared" si="57"/>
        <v>18.169499999999999</v>
      </c>
      <c r="F126">
        <f t="shared" si="58"/>
        <v>14.667</v>
      </c>
      <c r="G126">
        <f t="shared" si="59"/>
        <v>837.20948694043602</v>
      </c>
    </row>
    <row r="127" spans="1:12">
      <c r="C127">
        <v>34.01</v>
      </c>
      <c r="D127">
        <v>35.000999999999998</v>
      </c>
      <c r="E127">
        <f t="shared" si="57"/>
        <v>17.004999999999999</v>
      </c>
      <c r="F127">
        <f t="shared" si="58"/>
        <v>17.500499999999999</v>
      </c>
      <c r="G127">
        <f t="shared" si="59"/>
        <v>934.92541519168958</v>
      </c>
    </row>
    <row r="128" spans="1:12">
      <c r="C128">
        <v>22.268000000000001</v>
      </c>
      <c r="D128">
        <v>14.62</v>
      </c>
      <c r="E128">
        <f t="shared" si="57"/>
        <v>11.134</v>
      </c>
      <c r="F128">
        <f t="shared" si="58"/>
        <v>7.31</v>
      </c>
      <c r="G128">
        <f t="shared" si="59"/>
        <v>255.69278094305261</v>
      </c>
    </row>
    <row r="129" spans="1:12">
      <c r="C129">
        <v>127.586</v>
      </c>
      <c r="D129">
        <v>99.62</v>
      </c>
      <c r="E129">
        <f t="shared" si="57"/>
        <v>63.792999999999999</v>
      </c>
      <c r="F129">
        <f t="shared" si="58"/>
        <v>49.81</v>
      </c>
      <c r="G129">
        <f t="shared" si="59"/>
        <v>9982.5027996940971</v>
      </c>
    </row>
    <row r="130" spans="1:12">
      <c r="C130">
        <v>87.68</v>
      </c>
      <c r="D130">
        <v>87.68</v>
      </c>
      <c r="E130">
        <f t="shared" si="57"/>
        <v>43.84</v>
      </c>
      <c r="F130">
        <f t="shared" si="58"/>
        <v>43.84</v>
      </c>
      <c r="G130">
        <f t="shared" si="59"/>
        <v>6037.9701775592284</v>
      </c>
    </row>
    <row r="131" spans="1:12">
      <c r="C131">
        <v>66.805000000000007</v>
      </c>
      <c r="D131">
        <v>44.984999999999999</v>
      </c>
      <c r="E131">
        <f t="shared" si="57"/>
        <v>33.402500000000003</v>
      </c>
      <c r="F131">
        <f t="shared" si="58"/>
        <v>22.4925</v>
      </c>
      <c r="G131">
        <f t="shared" si="59"/>
        <v>2360.2965658949074</v>
      </c>
    </row>
    <row r="132" spans="1:12">
      <c r="C132">
        <v>32.890999999999998</v>
      </c>
      <c r="D132">
        <v>41.484000000000002</v>
      </c>
      <c r="E132">
        <f t="shared" si="57"/>
        <v>16.445499999999999</v>
      </c>
      <c r="F132">
        <f t="shared" si="58"/>
        <v>20.742000000000001</v>
      </c>
      <c r="G132">
        <f t="shared" si="59"/>
        <v>1071.6367156848</v>
      </c>
    </row>
    <row r="133" spans="1:12">
      <c r="C133">
        <v>134.74600000000001</v>
      </c>
      <c r="D133">
        <v>134.74600000000001</v>
      </c>
      <c r="E133">
        <f t="shared" si="57"/>
        <v>67.373000000000005</v>
      </c>
      <c r="F133">
        <f t="shared" si="58"/>
        <v>67.373000000000005</v>
      </c>
      <c r="G133">
        <f t="shared" si="59"/>
        <v>14260.069592620608</v>
      </c>
    </row>
    <row r="134" spans="1:12">
      <c r="A134" s="32" t="s">
        <v>91</v>
      </c>
      <c r="B134" s="32">
        <f>COUNT(C121:C133)</f>
        <v>13</v>
      </c>
      <c r="C134" s="32">
        <f>AVERAGE(C121:C133)</f>
        <v>84.315769230769234</v>
      </c>
      <c r="D134" s="32">
        <f>AVERAGE(D121:D133)</f>
        <v>79.310461538461539</v>
      </c>
      <c r="E134" s="32">
        <f>AVERAGE(E121:E133)</f>
        <v>42.157884615384617</v>
      </c>
      <c r="F134" s="32">
        <f>AVERAGE(F121:F133)</f>
        <v>39.655230769230769</v>
      </c>
      <c r="G134" s="32">
        <f>AVERAGE(G121:G133)</f>
        <v>7603.4878763450679</v>
      </c>
      <c r="H134" s="35">
        <f>B134</f>
        <v>13</v>
      </c>
      <c r="I134" s="70">
        <f>H134*G134</f>
        <v>98845.34239248588</v>
      </c>
      <c r="J134">
        <v>1331250</v>
      </c>
      <c r="K134" s="72">
        <f>I134/J134</f>
        <v>7.4250022454449491E-2</v>
      </c>
      <c r="L134" s="72">
        <f>K134*100</f>
        <v>7.4250022454449489</v>
      </c>
    </row>
    <row r="135" spans="1:12">
      <c r="A135" s="33" t="s">
        <v>102</v>
      </c>
      <c r="B135" s="31">
        <f>COUNTIF(C121:C133,"&gt;"&amp;$B$6)</f>
        <v>0</v>
      </c>
      <c r="C135" s="33" t="e">
        <f>AVERAGEIF(C121:C133,"&gt;"&amp;$B$6)</f>
        <v>#DIV/0!</v>
      </c>
      <c r="D135" s="33" t="e">
        <f>AVERAGEIF(D121:D133,"&gt;"&amp;$B$6)</f>
        <v>#DIV/0!</v>
      </c>
      <c r="E135" s="33" t="e">
        <f>AVERAGEIF(C121:C133,"&gt;"&amp;$B$6,E121:E133)</f>
        <v>#DIV/0!</v>
      </c>
      <c r="F135" s="33" t="e">
        <f>AVERAGEIF(D121:D133,"&gt;"&amp;$B$6,F121:F133)</f>
        <v>#DIV/0!</v>
      </c>
      <c r="G135" s="33" t="e">
        <f>AVERAGEIF(C121:C133,"&gt;"&amp;$B$6,G121:G133)</f>
        <v>#DIV/0!</v>
      </c>
      <c r="H135" s="33">
        <f>B135</f>
        <v>0</v>
      </c>
      <c r="I135" s="70" t="e">
        <f>H135*G135</f>
        <v>#DIV/0!</v>
      </c>
      <c r="J135">
        <v>1331250</v>
      </c>
      <c r="K135" s="72" t="e">
        <f>I135/J135</f>
        <v>#DIV/0!</v>
      </c>
      <c r="L135" s="72" t="e">
        <f>K135*100</f>
        <v>#DIV/0!</v>
      </c>
    </row>
    <row r="136" spans="1:12">
      <c r="A136" s="31" t="s">
        <v>27</v>
      </c>
      <c r="B136" s="31">
        <f>COUNTIF(C121:C133,"&gt;"&amp;$B$7)-COUNTIF(C121:C133,"&gt;"&amp;$B$6)</f>
        <v>4</v>
      </c>
      <c r="C136" s="31">
        <f>AVERAGEIFS(C121:C133,C121:C133,"&gt;"&amp;$B$7,C121:C133,"&lt;"&amp;$B$6)</f>
        <v>150.35249999999999</v>
      </c>
      <c r="D136" s="31">
        <f>AVERAGEIFS(D121:D133,D121:D133,"&gt;"&amp;$B$7,D121:D133,"&lt;"&amp;$B$6)</f>
        <v>187.70350000000002</v>
      </c>
      <c r="E136" s="31">
        <f>AVERAGEIFS(E121:E133,C121:C133,"&gt;"&amp;$B$7,C121:C133,"&lt;"&amp;$B$6)</f>
        <v>75.176249999999996</v>
      </c>
      <c r="F136" s="31">
        <f>AVERAGEIFS(F121:F133,D121:D133,"&gt;"&amp;$B$7,D121:D133,"&lt;"&amp;$B$6)</f>
        <v>93.85175000000001</v>
      </c>
      <c r="G136" s="31">
        <f>AVERAGEIFS(G121:G133,C121:C133,"&gt;"&amp;$B$7,C121:C133,"&lt;"&amp;$B$6)</f>
        <v>18646.932461509747</v>
      </c>
      <c r="H136" s="33">
        <f t="shared" ref="H136" si="60">B136</f>
        <v>4</v>
      </c>
      <c r="I136" s="34">
        <f>H136*G136</f>
        <v>74587.729846038987</v>
      </c>
      <c r="J136">
        <v>1331250</v>
      </c>
      <c r="K136" s="33">
        <f>I136/J136</f>
        <v>5.6028341668386092E-2</v>
      </c>
      <c r="L136" s="33">
        <f>K136*100</f>
        <v>5.6028341668386092</v>
      </c>
    </row>
    <row r="137" spans="1:12">
      <c r="A137" s="34" t="s">
        <v>28</v>
      </c>
      <c r="B137" s="31">
        <f>COUNTIF(C121:C133,"&gt;"&amp;$B$8)-COUNTIF(C121:C133,"&gt;"&amp;$B$7)</f>
        <v>9</v>
      </c>
      <c r="C137" s="31">
        <f>AVERAGEIFS(C121:C133,C121:C133,"&gt;"&amp;$B$8,C121:C133,"&lt;"&amp;$B$7)</f>
        <v>54.966111111111111</v>
      </c>
      <c r="D137" s="31">
        <f>AVERAGEIFS(D121:D133,D121:D133,"&gt;"&amp;$B$8,D121:D133,"&lt;"&amp;$B$7)</f>
        <v>59.602636363636364</v>
      </c>
      <c r="E137" s="31">
        <f>AVERAGEIFS(E121:E133,C121:C133,"&gt;"&amp;$B$8,C121:C133,"&lt;"&amp;$B$7)</f>
        <v>27.483055555555556</v>
      </c>
      <c r="F137" s="31">
        <f>AVERAGEIFS(F121:F133,D121:D133,"&gt;"&amp;$B$8,D121:D133,"&lt;"&amp;$B$7)</f>
        <v>29.801318181818182</v>
      </c>
      <c r="G137" s="31">
        <f>AVERAGEIFS(G121:G133,C121:C133,"&gt;"&amp;$B$8,C121:C133,"&lt;"&amp;$B$7)</f>
        <v>2695.2902829385421</v>
      </c>
      <c r="H137" s="33">
        <f>B137</f>
        <v>9</v>
      </c>
      <c r="I137" s="34">
        <f>H137*G137</f>
        <v>24257.612546446879</v>
      </c>
      <c r="J137">
        <v>1331250</v>
      </c>
      <c r="K137" s="33">
        <f>I137/J137</f>
        <v>1.8221680786063382E-2</v>
      </c>
      <c r="L137" s="33">
        <f>K137*100</f>
        <v>1.8221680786063381</v>
      </c>
    </row>
    <row r="139" spans="1:12">
      <c r="A139" t="s">
        <v>227</v>
      </c>
    </row>
    <row r="140" spans="1:12" ht="45">
      <c r="A140" s="2" t="s">
        <v>220</v>
      </c>
      <c r="B140" s="2" t="s">
        <v>166</v>
      </c>
      <c r="C140" s="2" t="s">
        <v>20</v>
      </c>
      <c r="D140" s="2" t="s">
        <v>103</v>
      </c>
      <c r="E140" s="2" t="s">
        <v>21</v>
      </c>
      <c r="F140" s="2" t="s">
        <v>104</v>
      </c>
      <c r="G140" s="2" t="s">
        <v>6</v>
      </c>
      <c r="H140" s="2" t="s">
        <v>22</v>
      </c>
      <c r="I140" s="2" t="s">
        <v>23</v>
      </c>
      <c r="J140" s="2" t="s">
        <v>9</v>
      </c>
      <c r="K140" s="2" t="s">
        <v>24</v>
      </c>
      <c r="L140" s="2" t="s">
        <v>25</v>
      </c>
    </row>
    <row r="141" spans="1:12">
      <c r="C141">
        <v>310.18799999999999</v>
      </c>
      <c r="D141">
        <v>310.18799999999999</v>
      </c>
      <c r="E141">
        <f t="shared" ref="E141" si="61">C141/2</f>
        <v>155.09399999999999</v>
      </c>
      <c r="F141">
        <f t="shared" ref="F141" si="62">D141/2</f>
        <v>155.09399999999999</v>
      </c>
      <c r="G141">
        <f t="shared" ref="G141" si="63">PI()*E141*F141</f>
        <v>75568.337271533077</v>
      </c>
    </row>
    <row r="142" spans="1:12">
      <c r="C142">
        <v>31.459</v>
      </c>
      <c r="D142">
        <v>25.927</v>
      </c>
      <c r="E142">
        <f t="shared" ref="E142:E149" si="64">C142/2</f>
        <v>15.7295</v>
      </c>
      <c r="F142">
        <f t="shared" ref="F142:F149" si="65">D142/2</f>
        <v>12.9635</v>
      </c>
      <c r="G142">
        <f t="shared" ref="G142:G149" si="66">PI()*E142*F142</f>
        <v>640.600189000299</v>
      </c>
    </row>
    <row r="143" spans="1:12">
      <c r="C143">
        <v>36.134</v>
      </c>
      <c r="D143">
        <v>22.803000000000001</v>
      </c>
      <c r="E143">
        <f t="shared" si="64"/>
        <v>18.067</v>
      </c>
      <c r="F143">
        <f t="shared" si="65"/>
        <v>11.4015</v>
      </c>
      <c r="G143">
        <f t="shared" si="66"/>
        <v>647.13949971714601</v>
      </c>
    </row>
    <row r="144" spans="1:12">
      <c r="C144">
        <v>31.367000000000001</v>
      </c>
      <c r="D144">
        <v>21.186</v>
      </c>
      <c r="E144">
        <f t="shared" si="64"/>
        <v>15.6835</v>
      </c>
      <c r="F144">
        <f t="shared" si="65"/>
        <v>10.593</v>
      </c>
      <c r="G144">
        <f t="shared" si="66"/>
        <v>521.92948667662256</v>
      </c>
    </row>
    <row r="145" spans="1:12">
      <c r="C145">
        <v>46.802</v>
      </c>
      <c r="D145">
        <v>42.777999999999999</v>
      </c>
      <c r="E145">
        <f t="shared" si="64"/>
        <v>23.401</v>
      </c>
      <c r="F145">
        <f t="shared" si="65"/>
        <v>21.388999999999999</v>
      </c>
      <c r="G145">
        <f t="shared" si="66"/>
        <v>1572.4424867878586</v>
      </c>
    </row>
    <row r="146" spans="1:12">
      <c r="C146">
        <v>19.213000000000001</v>
      </c>
      <c r="D146">
        <v>14.993</v>
      </c>
      <c r="E146">
        <f t="shared" si="64"/>
        <v>9.6065000000000005</v>
      </c>
      <c r="F146">
        <f t="shared" si="65"/>
        <v>7.4965000000000002</v>
      </c>
      <c r="G146">
        <f t="shared" si="66"/>
        <v>226.24219471593415</v>
      </c>
    </row>
    <row r="147" spans="1:12">
      <c r="C147">
        <v>41.387</v>
      </c>
      <c r="D147">
        <v>41.387</v>
      </c>
      <c r="E147">
        <f t="shared" si="64"/>
        <v>20.6935</v>
      </c>
      <c r="F147">
        <f t="shared" si="65"/>
        <v>20.6935</v>
      </c>
      <c r="G147">
        <f t="shared" si="66"/>
        <v>1345.2957662858989</v>
      </c>
    </row>
    <row r="148" spans="1:12">
      <c r="C148">
        <v>48.962000000000003</v>
      </c>
      <c r="D148">
        <v>48.962000000000003</v>
      </c>
      <c r="E148">
        <f t="shared" si="64"/>
        <v>24.481000000000002</v>
      </c>
      <c r="F148">
        <f t="shared" si="65"/>
        <v>24.481000000000002</v>
      </c>
      <c r="G148">
        <f t="shared" si="66"/>
        <v>1882.8173016717294</v>
      </c>
    </row>
    <row r="149" spans="1:12">
      <c r="C149">
        <v>32.270000000000003</v>
      </c>
      <c r="D149">
        <v>32.270000000000003</v>
      </c>
      <c r="E149">
        <f t="shared" si="64"/>
        <v>16.135000000000002</v>
      </c>
      <c r="F149">
        <f t="shared" si="65"/>
        <v>16.135000000000002</v>
      </c>
      <c r="G149">
        <f t="shared" si="66"/>
        <v>817.87665510860677</v>
      </c>
    </row>
    <row r="150" spans="1:12">
      <c r="A150" s="32" t="s">
        <v>91</v>
      </c>
      <c r="B150" s="32">
        <f>COUNT(C141:C149)</f>
        <v>9</v>
      </c>
      <c r="C150" s="32">
        <f>AVERAGE(C141:C149)</f>
        <v>66.420222222222222</v>
      </c>
      <c r="D150" s="32">
        <f>AVERAGE(D141:D149)</f>
        <v>62.277111111111111</v>
      </c>
      <c r="E150" s="32">
        <f>AVERAGE(E141:E149)</f>
        <v>33.210111111111111</v>
      </c>
      <c r="F150" s="32">
        <f>AVERAGE(F141:F149)</f>
        <v>31.138555555555556</v>
      </c>
      <c r="G150" s="32">
        <f>AVERAGE(G141:G149)</f>
        <v>9246.9645390552396</v>
      </c>
      <c r="H150" s="35">
        <f>B150</f>
        <v>9</v>
      </c>
      <c r="I150" s="70">
        <f>H150*G150</f>
        <v>83222.680851497164</v>
      </c>
      <c r="J150">
        <v>3524504.4530000002</v>
      </c>
      <c r="K150" s="72">
        <f>I150/J150</f>
        <v>2.3612590638283741E-2</v>
      </c>
      <c r="L150" s="72">
        <f>K150*100</f>
        <v>2.3612590638283741</v>
      </c>
    </row>
    <row r="151" spans="1:12">
      <c r="A151" s="33" t="s">
        <v>102</v>
      </c>
      <c r="B151" s="31">
        <f>COUNTIF(C141:C149,"&gt;"&amp;$B$6)</f>
        <v>1</v>
      </c>
      <c r="C151" s="33">
        <f>AVERAGEIF(C141:C149,"&gt;"&amp;$B$6)</f>
        <v>310.18799999999999</v>
      </c>
      <c r="D151" s="33">
        <f>AVERAGEIF(D141:D149,"&gt;"&amp;$B$6)</f>
        <v>310.18799999999999</v>
      </c>
      <c r="E151" s="33">
        <f>AVERAGEIF(C141:C149,"&gt;"&amp;$B$6,E141:E149)</f>
        <v>155.09399999999999</v>
      </c>
      <c r="F151" s="33">
        <f>AVERAGEIF(D141:D149,"&gt;"&amp;$B$6,F141:F149)</f>
        <v>155.09399999999999</v>
      </c>
      <c r="G151" s="33">
        <f>AVERAGEIF(C141:C149,"&gt;"&amp;$B$6,G141:G149)</f>
        <v>75568.337271533077</v>
      </c>
      <c r="H151" s="33">
        <f>B151</f>
        <v>1</v>
      </c>
      <c r="I151" s="70">
        <f>H151*G151</f>
        <v>75568.337271533077</v>
      </c>
      <c r="J151">
        <v>3524504.4530000002</v>
      </c>
      <c r="K151" s="72">
        <f>I151/J151</f>
        <v>2.1440840344863391E-2</v>
      </c>
      <c r="L151" s="72">
        <f>K151*100</f>
        <v>2.144084034486339</v>
      </c>
    </row>
    <row r="152" spans="1:12">
      <c r="A152" s="31" t="s">
        <v>27</v>
      </c>
      <c r="B152" s="31">
        <f>COUNTIF(C141:C149,"&gt;"&amp;$B$7)-COUNTIF(C141:C149,"&gt;"&amp;$B$6)</f>
        <v>0</v>
      </c>
      <c r="C152" s="31" t="e">
        <f>AVERAGEIFS(C141:C149,C141:C149,"&gt;"&amp;$B$7,C141:C149,"&lt;"&amp;$B$6)</f>
        <v>#DIV/0!</v>
      </c>
      <c r="D152" s="31" t="e">
        <f>AVERAGEIFS(D141:D149,D141:D149,"&gt;"&amp;$B$7,D141:D149,"&lt;"&amp;$B$6)</f>
        <v>#DIV/0!</v>
      </c>
      <c r="E152" s="31" t="e">
        <f>AVERAGEIFS(E141:E149,C141:C149,"&gt;"&amp;$B$7,C141:C149,"&lt;"&amp;$B$6)</f>
        <v>#DIV/0!</v>
      </c>
      <c r="F152" s="31" t="e">
        <f>AVERAGEIFS(F141:F149,D141:D149,"&gt;"&amp;$B$7,D141:D149,"&lt;"&amp;$B$6)</f>
        <v>#DIV/0!</v>
      </c>
      <c r="G152" s="31" t="e">
        <f>AVERAGEIFS(G141:G149,C141:C149,"&gt;"&amp;$B$7,C141:C149,"&lt;"&amp;$B$6)</f>
        <v>#DIV/0!</v>
      </c>
      <c r="H152" s="33">
        <f t="shared" ref="H152" si="67">B152</f>
        <v>0</v>
      </c>
      <c r="I152" s="34" t="e">
        <f>H152*G152</f>
        <v>#DIV/0!</v>
      </c>
      <c r="J152">
        <v>3524504.4530000002</v>
      </c>
      <c r="K152" s="33" t="e">
        <f>I152/J152</f>
        <v>#DIV/0!</v>
      </c>
      <c r="L152" s="33" t="e">
        <f>K152*100</f>
        <v>#DIV/0!</v>
      </c>
    </row>
    <row r="153" spans="1:12">
      <c r="A153" s="34" t="s">
        <v>28</v>
      </c>
      <c r="B153" s="31">
        <f>COUNTIF(C141:C149,"&gt;"&amp;$B$8)-COUNTIF(C141:C149,"&gt;"&amp;$B$7)</f>
        <v>8</v>
      </c>
      <c r="C153" s="31">
        <f>AVERAGEIFS(C141:C149,C141:C149,"&gt;"&amp;$B$8,C141:C149,"&lt;"&amp;$B$7)</f>
        <v>35.949249999999999</v>
      </c>
      <c r="D153" s="31">
        <f>AVERAGEIFS(D141:D149,D141:D149,"&gt;"&amp;$B$8,D141:D149,"&lt;"&amp;$B$7)</f>
        <v>31.288250000000001</v>
      </c>
      <c r="E153" s="31">
        <f>AVERAGEIFS(E141:E149,C141:C149,"&gt;"&amp;$B$8,C141:C149,"&lt;"&amp;$B$7)</f>
        <v>17.974625</v>
      </c>
      <c r="F153" s="31">
        <f>AVERAGEIFS(F141:F149,D141:D149,"&gt;"&amp;$B$8,D141:D149,"&lt;"&amp;$B$7)</f>
        <v>15.644125000000001</v>
      </c>
      <c r="G153" s="31">
        <f>AVERAGEIFS(G141:G149,C141:C149,"&gt;"&amp;$B$8,C141:C149,"&lt;"&amp;$B$7)</f>
        <v>956.79294749551184</v>
      </c>
      <c r="H153" s="33">
        <f>B153</f>
        <v>8</v>
      </c>
      <c r="I153" s="34">
        <f>H153*G153</f>
        <v>7654.3435799640947</v>
      </c>
      <c r="J153">
        <v>3524504.4530000002</v>
      </c>
      <c r="K153" s="33">
        <f>I153/J153</f>
        <v>2.1717502934203541E-3</v>
      </c>
      <c r="L153" s="33">
        <f>K153*100</f>
        <v>0.21717502934203542</v>
      </c>
    </row>
    <row r="156" spans="1:12">
      <c r="A156" t="s">
        <v>228</v>
      </c>
    </row>
    <row r="157" spans="1:12" ht="45">
      <c r="A157" s="2" t="s">
        <v>220</v>
      </c>
      <c r="B157" s="2" t="s">
        <v>166</v>
      </c>
      <c r="C157" s="2" t="s">
        <v>20</v>
      </c>
      <c r="D157" s="2" t="s">
        <v>103</v>
      </c>
      <c r="E157" s="2" t="s">
        <v>21</v>
      </c>
      <c r="F157" s="2" t="s">
        <v>104</v>
      </c>
      <c r="G157" s="2" t="s">
        <v>6</v>
      </c>
      <c r="H157" s="2" t="s">
        <v>22</v>
      </c>
      <c r="I157" s="2" t="s">
        <v>23</v>
      </c>
      <c r="J157" s="2" t="s">
        <v>9</v>
      </c>
      <c r="K157" s="2" t="s">
        <v>24</v>
      </c>
      <c r="L157" s="2" t="s">
        <v>25</v>
      </c>
    </row>
    <row r="158" spans="1:12">
      <c r="C158">
        <v>105.494</v>
      </c>
      <c r="D158">
        <v>105.494</v>
      </c>
      <c r="E158">
        <f t="shared" ref="E158" si="68">C158/2</f>
        <v>52.747</v>
      </c>
      <c r="F158">
        <f t="shared" ref="F158" si="69">D158/2</f>
        <v>52.747</v>
      </c>
      <c r="G158">
        <f t="shared" ref="G158" si="70">PI()*E158*F158</f>
        <v>8740.6836223539212</v>
      </c>
    </row>
    <row r="159" spans="1:12">
      <c r="C159">
        <v>139.07599999999999</v>
      </c>
      <c r="D159">
        <v>102.05</v>
      </c>
      <c r="E159">
        <f t="shared" ref="E159:E162" si="71">C159/2</f>
        <v>69.537999999999997</v>
      </c>
      <c r="F159">
        <f t="shared" ref="F159:F162" si="72">D159/2</f>
        <v>51.024999999999999</v>
      </c>
      <c r="G159">
        <f t="shared" ref="G159:G162" si="73">PI()*E159*F159</f>
        <v>11146.925068960312</v>
      </c>
    </row>
    <row r="160" spans="1:12">
      <c r="C160">
        <v>111.913</v>
      </c>
      <c r="D160">
        <v>128.34</v>
      </c>
      <c r="E160">
        <f t="shared" si="71"/>
        <v>55.956499999999998</v>
      </c>
      <c r="F160">
        <f t="shared" si="72"/>
        <v>64.17</v>
      </c>
      <c r="G160">
        <f t="shared" si="73"/>
        <v>11280.606606502726</v>
      </c>
    </row>
    <row r="161" spans="1:12">
      <c r="C161">
        <v>106.7</v>
      </c>
      <c r="D161">
        <v>106.7</v>
      </c>
      <c r="E161">
        <f t="shared" si="71"/>
        <v>53.35</v>
      </c>
      <c r="F161">
        <f t="shared" si="72"/>
        <v>53.35</v>
      </c>
      <c r="G161">
        <f t="shared" si="73"/>
        <v>8941.6716964819752</v>
      </c>
    </row>
    <row r="162" spans="1:12">
      <c r="C162">
        <v>42.686999999999998</v>
      </c>
      <c r="D162">
        <v>42.686999999999998</v>
      </c>
      <c r="E162">
        <f t="shared" si="71"/>
        <v>21.343499999999999</v>
      </c>
      <c r="F162">
        <f t="shared" si="72"/>
        <v>21.343499999999999</v>
      </c>
      <c r="G162">
        <f t="shared" si="73"/>
        <v>1431.1368010322192</v>
      </c>
    </row>
    <row r="163" spans="1:12">
      <c r="A163" s="32" t="s">
        <v>91</v>
      </c>
      <c r="B163" s="32">
        <f>COUNT(C158:C162)</f>
        <v>5</v>
      </c>
      <c r="C163" s="32">
        <f>AVERAGE(C158:C162)</f>
        <v>101.17400000000001</v>
      </c>
      <c r="D163" s="32">
        <f>AVERAGE(D158:D162)</f>
        <v>97.054200000000009</v>
      </c>
      <c r="E163" s="32">
        <f>AVERAGE(E158:E162)</f>
        <v>50.587000000000003</v>
      </c>
      <c r="F163" s="32">
        <f>AVERAGE(F158:F162)</f>
        <v>48.527100000000004</v>
      </c>
      <c r="G163" s="32">
        <f>AVERAGE(G158:G162)</f>
        <v>8308.2047590662314</v>
      </c>
      <c r="H163" s="35">
        <f>B163</f>
        <v>5</v>
      </c>
      <c r="I163" s="70">
        <f>H163*G163</f>
        <v>41541.023795331159</v>
      </c>
      <c r="J163">
        <v>2194752</v>
      </c>
      <c r="K163" s="72">
        <f>I163/J163</f>
        <v>1.8927434076985081E-2</v>
      </c>
      <c r="L163" s="72">
        <f>K163*100</f>
        <v>1.8927434076985081</v>
      </c>
    </row>
    <row r="164" spans="1:12">
      <c r="A164" s="33" t="s">
        <v>102</v>
      </c>
      <c r="B164" s="31">
        <f>COUNTIF(C158:C162,"&gt;"&amp;$B$6)</f>
        <v>0</v>
      </c>
      <c r="C164" s="33" t="e">
        <f>AVERAGEIF(C158:C162,"&gt;"&amp;$B$6)</f>
        <v>#DIV/0!</v>
      </c>
      <c r="D164" s="33" t="e">
        <f>AVERAGEIF(D158:D162,"&gt;"&amp;$B$6)</f>
        <v>#DIV/0!</v>
      </c>
      <c r="E164" s="33" t="e">
        <f>AVERAGEIF(C158:C162,"&gt;"&amp;$B$6,E158:E162)</f>
        <v>#DIV/0!</v>
      </c>
      <c r="F164" s="33" t="e">
        <f>AVERAGEIF(D158:D162,"&gt;"&amp;$B$6,F158:F162)</f>
        <v>#DIV/0!</v>
      </c>
      <c r="G164" s="33" t="e">
        <f>AVERAGEIF(C158:C162,"&gt;"&amp;$B$6,G158:G162)</f>
        <v>#DIV/0!</v>
      </c>
      <c r="H164" s="33">
        <f>B164</f>
        <v>0</v>
      </c>
      <c r="I164" s="70" t="e">
        <f>H164*G164</f>
        <v>#DIV/0!</v>
      </c>
      <c r="J164">
        <v>2194752</v>
      </c>
      <c r="K164" s="72" t="e">
        <f>I164/J164</f>
        <v>#DIV/0!</v>
      </c>
      <c r="L164" s="72" t="e">
        <f>K164*100</f>
        <v>#DIV/0!</v>
      </c>
    </row>
    <row r="165" spans="1:12">
      <c r="A165" s="31" t="s">
        <v>27</v>
      </c>
      <c r="B165" s="31">
        <f>COUNTIF(C158:C162,"&gt;"&amp;$B$7)-COUNTIF(C158:C162,"&gt;"&amp;$B$6)</f>
        <v>4</v>
      </c>
      <c r="C165" s="31">
        <f>AVERAGEIFS(C158:C162,C158:C162,"&gt;"&amp;$B$7,C158:C162,"&lt;"&amp;$B$6)</f>
        <v>115.79575</v>
      </c>
      <c r="D165" s="31">
        <f>AVERAGEIFS(D158:D162,D158:D162,"&gt;"&amp;$B$7,D158:D162,"&lt;"&amp;$B$6)</f>
        <v>110.646</v>
      </c>
      <c r="E165" s="31">
        <f>AVERAGEIFS(E158:E162,C158:C162,"&gt;"&amp;$B$7,C158:C162,"&lt;"&amp;$B$6)</f>
        <v>57.897874999999999</v>
      </c>
      <c r="F165" s="31">
        <f>AVERAGEIFS(F158:F162,D158:D162,"&gt;"&amp;$B$7,D158:D162,"&lt;"&amp;$B$6)</f>
        <v>55.323</v>
      </c>
      <c r="G165" s="31">
        <f>AVERAGEIFS(G158:G162,C158:C162,"&gt;"&amp;$B$7,C158:C162,"&lt;"&amp;$B$6)</f>
        <v>10027.471748574735</v>
      </c>
      <c r="H165" s="33">
        <f t="shared" ref="H165" si="74">B165</f>
        <v>4</v>
      </c>
      <c r="I165" s="34">
        <f>H165*G165</f>
        <v>40109.88699429894</v>
      </c>
      <c r="J165">
        <v>2194752</v>
      </c>
      <c r="K165" s="33">
        <f>I165/J165</f>
        <v>1.8275361860610649E-2</v>
      </c>
      <c r="L165" s="33">
        <f>K165*100</f>
        <v>1.8275361860610648</v>
      </c>
    </row>
    <row r="166" spans="1:12">
      <c r="A166" s="34" t="s">
        <v>28</v>
      </c>
      <c r="B166" s="31">
        <f>COUNTIF(C158:C162,"&gt;"&amp;$B$8)-COUNTIF(C158:C162,"&gt;"&amp;$B$7)</f>
        <v>1</v>
      </c>
      <c r="C166" s="31">
        <f>AVERAGEIFS(C158:C162,C158:C162,"&gt;"&amp;$B$8,C158:C162,"&lt;"&amp;$B$7)</f>
        <v>42.686999999999998</v>
      </c>
      <c r="D166" s="31">
        <f>AVERAGEIFS(D158:D162,D158:D162,"&gt;"&amp;$B$8,D158:D162,"&lt;"&amp;$B$7)</f>
        <v>42.686999999999998</v>
      </c>
      <c r="E166" s="31">
        <f>AVERAGEIFS(E158:E162,C158:C162,"&gt;"&amp;$B$8,C158:C162,"&lt;"&amp;$B$7)</f>
        <v>21.343499999999999</v>
      </c>
      <c r="F166" s="31">
        <f>AVERAGEIFS(F158:F162,D158:D162,"&gt;"&amp;$B$8,D158:D162,"&lt;"&amp;$B$7)</f>
        <v>21.343499999999999</v>
      </c>
      <c r="G166" s="31">
        <f>AVERAGEIFS(G158:G162,C158:C162,"&gt;"&amp;$B$8,C158:C162,"&lt;"&amp;$B$7)</f>
        <v>1431.1368010322192</v>
      </c>
      <c r="H166" s="33">
        <f>B166</f>
        <v>1</v>
      </c>
      <c r="I166" s="34">
        <f>H166*G166</f>
        <v>1431.1368010322192</v>
      </c>
      <c r="J166">
        <v>2194752</v>
      </c>
      <c r="K166" s="33">
        <f>I166/J166</f>
        <v>6.5207221637443287E-4</v>
      </c>
      <c r="L166" s="33">
        <f>K166*100</f>
        <v>6.5207221637443288E-2</v>
      </c>
    </row>
  </sheetData>
  <pageMargins left="0.75" right="0.75" top="1" bottom="1" header="0.5" footer="0.5"/>
  <pageSetup orientation="portrait" horizontalDpi="4294967292" verticalDpi="4294967292"/>
  <drawing r:id="rId1"/>
  <legacyDrawing r:id="rId2"/>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7:R30"/>
  <sheetViews>
    <sheetView topLeftCell="H1" workbookViewId="0">
      <selection activeCell="O21" sqref="O21"/>
    </sheetView>
  </sheetViews>
  <sheetFormatPr baseColWidth="10" defaultRowHeight="15" x14ac:dyDescent="0"/>
  <cols>
    <col min="14" max="14" width="23.5" customWidth="1"/>
    <col min="15" max="15" width="22.33203125" customWidth="1"/>
  </cols>
  <sheetData>
    <row r="7" spans="1:18">
      <c r="D7" t="s">
        <v>229</v>
      </c>
      <c r="E7" t="s">
        <v>230</v>
      </c>
      <c r="F7" t="s">
        <v>241</v>
      </c>
      <c r="G7" t="s">
        <v>44</v>
      </c>
      <c r="H7" t="s">
        <v>235</v>
      </c>
      <c r="I7" t="s">
        <v>242</v>
      </c>
      <c r="J7" t="s">
        <v>234</v>
      </c>
      <c r="K7" t="s">
        <v>231</v>
      </c>
      <c r="L7" t="s">
        <v>232</v>
      </c>
      <c r="M7" t="s">
        <v>245</v>
      </c>
      <c r="N7" t="s">
        <v>246</v>
      </c>
      <c r="O7" t="s">
        <v>233</v>
      </c>
      <c r="P7" t="s">
        <v>243</v>
      </c>
      <c r="Q7" t="s">
        <v>360</v>
      </c>
      <c r="R7" t="s">
        <v>258</v>
      </c>
    </row>
    <row r="8" spans="1:18">
      <c r="A8" t="s">
        <v>236</v>
      </c>
      <c r="B8">
        <v>1</v>
      </c>
      <c r="C8" t="s">
        <v>237</v>
      </c>
      <c r="D8">
        <v>4.0960000000000001</v>
      </c>
      <c r="E8">
        <v>3.456</v>
      </c>
      <c r="F8">
        <f>(D8+E8)/2</f>
        <v>3.7759999999999998</v>
      </c>
      <c r="G8">
        <f t="shared" ref="G8:G15" si="0">F8*1000</f>
        <v>3776</v>
      </c>
      <c r="H8">
        <f t="shared" ref="H8:H15" si="1">((D8+E8)/2)/2</f>
        <v>1.8879999999999999</v>
      </c>
      <c r="I8">
        <f>G8/2</f>
        <v>1888</v>
      </c>
      <c r="J8">
        <f t="shared" ref="J8:J15" si="2">PI()*(H8^2)/100</f>
        <v>0.11198345243797574</v>
      </c>
      <c r="K8">
        <f t="shared" ref="K8:K15" si="3">PI()*I8*I8</f>
        <v>11198345.243797576</v>
      </c>
      <c r="L8" s="103">
        <v>1.2617923</v>
      </c>
      <c r="M8">
        <f>L8/100</f>
        <v>1.2617923E-2</v>
      </c>
      <c r="N8">
        <f>(J8*L8)</f>
        <v>0.14129985801365402</v>
      </c>
      <c r="O8">
        <f t="shared" ref="O8:O13" si="4">(J8*L8)/1000*60*60</f>
        <v>0.50867948884915448</v>
      </c>
      <c r="Q8">
        <v>1.3056000000000005</v>
      </c>
    </row>
    <row r="9" spans="1:18">
      <c r="A9" t="s">
        <v>236</v>
      </c>
      <c r="B9">
        <v>1</v>
      </c>
      <c r="C9" t="s">
        <v>238</v>
      </c>
      <c r="D9">
        <v>4.0960000000000001</v>
      </c>
      <c r="E9">
        <v>3.456</v>
      </c>
      <c r="F9">
        <f t="shared" ref="F9:F15" si="5">(D9+E9)/2</f>
        <v>3.7759999999999998</v>
      </c>
      <c r="G9">
        <f t="shared" si="0"/>
        <v>3776</v>
      </c>
      <c r="H9">
        <f t="shared" si="1"/>
        <v>1.8879999999999999</v>
      </c>
      <c r="I9">
        <f t="shared" ref="I9:I16" si="6">G9/2</f>
        <v>1888</v>
      </c>
      <c r="J9">
        <f t="shared" si="2"/>
        <v>0.11198345243797574</v>
      </c>
      <c r="K9">
        <f t="shared" si="3"/>
        <v>11198345.243797576</v>
      </c>
      <c r="L9" s="103">
        <v>0.69096690000000005</v>
      </c>
      <c r="M9">
        <f t="shared" ref="M9:M13" si="7">L9/100</f>
        <v>6.9096690000000002E-3</v>
      </c>
      <c r="N9">
        <f t="shared" ref="N9:N13" si="8">(J9*L9)</f>
        <v>7.7376858982365543E-2</v>
      </c>
      <c r="O9">
        <f t="shared" si="4"/>
        <v>0.27855669233651592</v>
      </c>
      <c r="Q9">
        <v>0.95803333333332752</v>
      </c>
    </row>
    <row r="10" spans="1:18">
      <c r="A10" t="s">
        <v>236</v>
      </c>
      <c r="B10">
        <v>1</v>
      </c>
      <c r="C10" t="s">
        <v>239</v>
      </c>
      <c r="D10">
        <v>4.0960000000000001</v>
      </c>
      <c r="E10">
        <v>3.456</v>
      </c>
      <c r="F10">
        <f t="shared" si="5"/>
        <v>3.7759999999999998</v>
      </c>
      <c r="G10">
        <f t="shared" si="0"/>
        <v>3776</v>
      </c>
      <c r="H10">
        <f t="shared" si="1"/>
        <v>1.8879999999999999</v>
      </c>
      <c r="I10">
        <f t="shared" si="6"/>
        <v>1888</v>
      </c>
      <c r="J10">
        <f t="shared" si="2"/>
        <v>0.11198345243797574</v>
      </c>
      <c r="K10">
        <f t="shared" si="3"/>
        <v>11198345.243797576</v>
      </c>
      <c r="L10" s="103">
        <v>0.69121361000000003</v>
      </c>
      <c r="M10">
        <f t="shared" si="7"/>
        <v>6.9121361000000006E-3</v>
      </c>
      <c r="N10">
        <f t="shared" si="8"/>
        <v>7.7404486419916513E-2</v>
      </c>
      <c r="O10">
        <f t="shared" si="4"/>
        <v>0.27865615111169945</v>
      </c>
      <c r="Q10">
        <v>1.4012666666666671</v>
      </c>
    </row>
    <row r="11" spans="1:18">
      <c r="A11" t="s">
        <v>236</v>
      </c>
      <c r="B11">
        <v>1</v>
      </c>
      <c r="C11" t="s">
        <v>240</v>
      </c>
      <c r="D11">
        <v>4.0960000000000001</v>
      </c>
      <c r="E11">
        <v>3.456</v>
      </c>
      <c r="F11">
        <f t="shared" si="5"/>
        <v>3.7759999999999998</v>
      </c>
      <c r="G11">
        <f t="shared" si="0"/>
        <v>3776</v>
      </c>
      <c r="H11">
        <f t="shared" si="1"/>
        <v>1.8879999999999999</v>
      </c>
      <c r="I11">
        <f t="shared" si="6"/>
        <v>1888</v>
      </c>
      <c r="J11">
        <f t="shared" si="2"/>
        <v>0.11198345243797574</v>
      </c>
      <c r="K11">
        <f t="shared" si="3"/>
        <v>11198345.243797576</v>
      </c>
      <c r="L11" s="103">
        <v>1.8554804</v>
      </c>
      <c r="M11">
        <f t="shared" si="7"/>
        <v>1.8554804000000001E-2</v>
      </c>
      <c r="N11">
        <f t="shared" si="8"/>
        <v>0.20778310112299619</v>
      </c>
      <c r="O11">
        <f t="shared" si="4"/>
        <v>0.74801916404278623</v>
      </c>
      <c r="Q11">
        <v>1.5571912280701754</v>
      </c>
    </row>
    <row r="12" spans="1:18">
      <c r="A12" t="s">
        <v>236</v>
      </c>
      <c r="B12">
        <v>2</v>
      </c>
      <c r="C12" t="s">
        <v>237</v>
      </c>
      <c r="D12">
        <v>4.2279999999999998</v>
      </c>
      <c r="E12">
        <v>3.605</v>
      </c>
      <c r="F12">
        <f t="shared" si="5"/>
        <v>3.9165000000000001</v>
      </c>
      <c r="G12">
        <f t="shared" si="0"/>
        <v>3916.5</v>
      </c>
      <c r="H12">
        <f t="shared" si="1"/>
        <v>1.95825</v>
      </c>
      <c r="I12">
        <f t="shared" si="6"/>
        <v>1958.25</v>
      </c>
      <c r="J12">
        <f t="shared" si="2"/>
        <v>0.12047200633554425</v>
      </c>
      <c r="K12">
        <f t="shared" si="3"/>
        <v>12047200.633554425</v>
      </c>
      <c r="L12" s="103">
        <v>2.2024286000000002</v>
      </c>
      <c r="M12">
        <f t="shared" si="7"/>
        <v>2.2024286000000001E-2</v>
      </c>
      <c r="N12">
        <f t="shared" si="8"/>
        <v>0.26533099225278389</v>
      </c>
      <c r="O12">
        <f t="shared" si="4"/>
        <v>0.95519157211002204</v>
      </c>
      <c r="Q12">
        <v>0.99459999999999338</v>
      </c>
    </row>
    <row r="13" spans="1:18">
      <c r="A13" t="s">
        <v>236</v>
      </c>
      <c r="B13">
        <v>3</v>
      </c>
      <c r="C13" t="s">
        <v>237</v>
      </c>
      <c r="D13">
        <v>3.681</v>
      </c>
      <c r="E13">
        <v>2.891</v>
      </c>
      <c r="F13">
        <f t="shared" si="5"/>
        <v>3.286</v>
      </c>
      <c r="G13">
        <f t="shared" si="0"/>
        <v>3286</v>
      </c>
      <c r="H13">
        <f t="shared" si="1"/>
        <v>1.643</v>
      </c>
      <c r="I13">
        <f t="shared" si="6"/>
        <v>1643</v>
      </c>
      <c r="J13">
        <f t="shared" si="2"/>
        <v>8.4805691471403127E-2</v>
      </c>
      <c r="K13">
        <f t="shared" si="3"/>
        <v>8480569.1471403129</v>
      </c>
      <c r="L13" s="103">
        <v>1.4924856</v>
      </c>
      <c r="M13">
        <f t="shared" si="7"/>
        <v>1.4924856E-2</v>
      </c>
      <c r="N13">
        <f t="shared" si="8"/>
        <v>0.12657127331911197</v>
      </c>
      <c r="O13">
        <f t="shared" si="4"/>
        <v>0.4556565839488031</v>
      </c>
      <c r="Q13">
        <v>1.8762876254180603</v>
      </c>
    </row>
    <row r="14" spans="1:18">
      <c r="A14" t="s">
        <v>236</v>
      </c>
      <c r="B14">
        <v>4</v>
      </c>
      <c r="D14">
        <v>3.1669999999999998</v>
      </c>
      <c r="E14">
        <v>2.9430000000000001</v>
      </c>
      <c r="F14">
        <f t="shared" si="5"/>
        <v>3.0549999999999997</v>
      </c>
      <c r="G14">
        <f t="shared" si="0"/>
        <v>3054.9999999999995</v>
      </c>
      <c r="H14">
        <f t="shared" si="1"/>
        <v>1.5274999999999999</v>
      </c>
      <c r="I14">
        <f t="shared" si="6"/>
        <v>1527.4999999999998</v>
      </c>
      <c r="J14">
        <f t="shared" si="2"/>
        <v>7.3301406939424676E-2</v>
      </c>
      <c r="K14">
        <f t="shared" si="3"/>
        <v>7330140.6939424668</v>
      </c>
    </row>
    <row r="15" spans="1:18">
      <c r="A15" s="68" t="s">
        <v>236</v>
      </c>
      <c r="B15" s="68">
        <v>5</v>
      </c>
      <c r="C15" s="68"/>
      <c r="D15" s="68">
        <v>2.3530000000000002</v>
      </c>
      <c r="E15" s="68">
        <v>2.3530000000000002</v>
      </c>
      <c r="F15" s="68">
        <f t="shared" si="5"/>
        <v>2.3530000000000002</v>
      </c>
      <c r="G15" s="68">
        <f t="shared" si="0"/>
        <v>2353</v>
      </c>
      <c r="H15" s="68">
        <f t="shared" si="1"/>
        <v>1.1765000000000001</v>
      </c>
      <c r="I15" s="68">
        <f t="shared" si="6"/>
        <v>1176.5</v>
      </c>
      <c r="J15" s="68">
        <f t="shared" si="2"/>
        <v>4.3484425400497836E-2</v>
      </c>
      <c r="K15" s="68">
        <f t="shared" si="3"/>
        <v>4348442.540049783</v>
      </c>
      <c r="L15" s="68"/>
      <c r="O15" s="68"/>
    </row>
    <row r="16" spans="1:18">
      <c r="G16" s="12">
        <f>AVERAGE(G8:G15)</f>
        <v>3464.3125</v>
      </c>
      <c r="I16" s="12">
        <f t="shared" si="6"/>
        <v>1732.15625</v>
      </c>
      <c r="K16" s="12">
        <f>AVERAGE(K8:K15)</f>
        <v>9624966.7487346604</v>
      </c>
      <c r="L16" s="12">
        <f t="shared" ref="L16:N16" si="9">AVERAGE(L8:L15)</f>
        <v>1.3657279016666666</v>
      </c>
      <c r="M16" s="11">
        <f t="shared" si="9"/>
        <v>1.3657279016666668E-2</v>
      </c>
      <c r="N16" s="11">
        <f t="shared" si="9"/>
        <v>0.1492944283518047</v>
      </c>
      <c r="O16" s="12">
        <f>AVERAGE(O8:O15)</f>
        <v>0.53745994206649683</v>
      </c>
      <c r="P16" s="12">
        <f>PI()*(I16^2)*B18</f>
        <v>62927478665.94001</v>
      </c>
      <c r="Q16" s="12">
        <f>AVERAGE(Q8:Q15)</f>
        <v>1.3488298089147042</v>
      </c>
    </row>
    <row r="17" spans="1:17">
      <c r="Q17">
        <f>STDEV(Q8:Q13)</f>
        <v>0.34769104459656319</v>
      </c>
    </row>
    <row r="18" spans="1:17">
      <c r="A18" t="s">
        <v>244</v>
      </c>
      <c r="B18">
        <v>6676</v>
      </c>
      <c r="Q18">
        <f>Q17/SQRT(COUNT(Q8:Q13))</f>
        <v>0.1419442745661417</v>
      </c>
    </row>
    <row r="29" spans="1:17">
      <c r="A29" s="8"/>
      <c r="B29" s="8"/>
      <c r="C29" s="8"/>
    </row>
    <row r="30" spans="1:17">
      <c r="A30" s="68"/>
      <c r="B30" s="68"/>
      <c r="C30" s="68"/>
      <c r="E30" s="8"/>
    </row>
  </sheetData>
  <pageMargins left="0.75" right="0.75" top="1" bottom="1" header="0.5" footer="0.5"/>
  <pageSetup orientation="portrait" horizontalDpi="4294967292" verticalDpi="4294967292"/>
  <legacyDrawing r:id="rId1"/>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6"/>
  <sheetViews>
    <sheetView workbookViewId="0">
      <selection activeCell="C8" sqref="C8"/>
    </sheetView>
  </sheetViews>
  <sheetFormatPr baseColWidth="10" defaultRowHeight="15" x14ac:dyDescent="0"/>
  <cols>
    <col min="6" max="6" width="12.5" customWidth="1"/>
  </cols>
  <sheetData>
    <row r="1" spans="1:11">
      <c r="A1" s="31" t="s">
        <v>372</v>
      </c>
      <c r="D1" s="176"/>
      <c r="E1" s="176"/>
    </row>
    <row r="2" spans="1:11">
      <c r="D2" s="176"/>
      <c r="E2" s="176"/>
    </row>
    <row r="3" spans="1:11">
      <c r="D3" s="18"/>
      <c r="E3" s="18"/>
    </row>
    <row r="4" spans="1:11">
      <c r="A4" t="s">
        <v>332</v>
      </c>
    </row>
    <row r="5" spans="1:11">
      <c r="A5" t="s">
        <v>333</v>
      </c>
    </row>
    <row r="6" spans="1:11">
      <c r="A6" t="s">
        <v>373</v>
      </c>
    </row>
    <row r="10" spans="1:11">
      <c r="F10" t="s">
        <v>336</v>
      </c>
    </row>
    <row r="11" spans="1:11">
      <c r="A11" t="s">
        <v>323</v>
      </c>
      <c r="B11" t="s">
        <v>337</v>
      </c>
      <c r="C11" t="s">
        <v>338</v>
      </c>
      <c r="D11" t="s">
        <v>339</v>
      </c>
      <c r="E11" t="s">
        <v>335</v>
      </c>
      <c r="F11" t="s">
        <v>334</v>
      </c>
      <c r="G11" t="s">
        <v>324</v>
      </c>
      <c r="H11" t="s">
        <v>341</v>
      </c>
      <c r="J11" t="s">
        <v>340</v>
      </c>
      <c r="K11" t="s">
        <v>258</v>
      </c>
    </row>
    <row r="12" spans="1:11">
      <c r="A12" s="68" t="s">
        <v>331</v>
      </c>
      <c r="B12">
        <v>1.5</v>
      </c>
      <c r="C12">
        <v>2.8</v>
      </c>
      <c r="D12">
        <v>3.45</v>
      </c>
      <c r="E12">
        <f>SUM(B12:D12)/2</f>
        <v>3.875</v>
      </c>
      <c r="F12">
        <f>SQRT(E12*(E12-B12)*(E12-C12)*(E12-D12))</f>
        <v>2.0505310859323735</v>
      </c>
    </row>
    <row r="13" spans="1:11">
      <c r="A13" s="68"/>
      <c r="B13">
        <v>3.45</v>
      </c>
      <c r="C13">
        <v>3.76</v>
      </c>
      <c r="D13">
        <v>2.4</v>
      </c>
      <c r="E13">
        <f t="shared" ref="E13:E14" si="0">SUM(B13:D13)/2</f>
        <v>4.8049999999999997</v>
      </c>
      <c r="F13">
        <f t="shared" ref="F13:F14" si="1">SQRT(E13*(E13-B13)*(E13-C13)*(E13-D13))</f>
        <v>4.0451257705261758</v>
      </c>
    </row>
    <row r="14" spans="1:11">
      <c r="A14" s="68"/>
      <c r="B14">
        <v>2</v>
      </c>
      <c r="C14">
        <v>3.76</v>
      </c>
      <c r="D14">
        <v>2</v>
      </c>
      <c r="E14">
        <f t="shared" si="0"/>
        <v>3.88</v>
      </c>
      <c r="F14">
        <f t="shared" si="1"/>
        <v>1.2828159026142456</v>
      </c>
    </row>
    <row r="15" spans="1:11">
      <c r="A15" s="68" t="s">
        <v>330</v>
      </c>
      <c r="B15" s="68"/>
      <c r="C15" s="68"/>
      <c r="D15" s="68"/>
      <c r="E15" s="68"/>
      <c r="G15" s="68">
        <v>1</v>
      </c>
      <c r="H15" s="68">
        <v>0.5</v>
      </c>
      <c r="I15" s="68"/>
      <c r="J15" s="68"/>
      <c r="K15" s="68"/>
    </row>
    <row r="16" spans="1:11">
      <c r="J16">
        <f>((F12+F13+F14)*G15)+(5*(H15*PI()*((Osculum!G16/10000/2)^2)))</f>
        <v>7.6141208966774236</v>
      </c>
      <c r="K16">
        <f>(B12*G15)+(D14*G15)+(B14*G15)+(C12*G15)+(D13*G15)+F12+F13+F14+((5*(H15*PI()*((Osculum!G16/10000/2)^2))))</f>
        <v>18.314120896677423</v>
      </c>
    </row>
    <row r="18" spans="1:13">
      <c r="A18" s="79" t="s">
        <v>325</v>
      </c>
      <c r="B18" s="79"/>
      <c r="C18" s="79"/>
      <c r="D18" s="8"/>
      <c r="E18" s="8"/>
      <c r="F18" s="8"/>
      <c r="G18" s="8"/>
      <c r="H18" s="8"/>
      <c r="I18" s="8"/>
      <c r="J18" s="8"/>
    </row>
    <row r="19" spans="1:13">
      <c r="A19" s="78"/>
      <c r="B19" s="79" t="s">
        <v>326</v>
      </c>
      <c r="C19" s="79" t="s">
        <v>327</v>
      </c>
      <c r="E19" s="8"/>
      <c r="F19" s="8"/>
      <c r="G19" s="8"/>
      <c r="H19" s="8"/>
      <c r="I19" s="8"/>
      <c r="J19" s="8"/>
    </row>
    <row r="20" spans="1:13">
      <c r="A20" s="79" t="s">
        <v>328</v>
      </c>
      <c r="B20" s="5">
        <f>J16</f>
        <v>7.6141208966774236</v>
      </c>
      <c r="C20" s="5">
        <f>K16</f>
        <v>18.314120896677423</v>
      </c>
      <c r="D20" s="8"/>
      <c r="E20" s="8"/>
      <c r="F20" s="8"/>
      <c r="G20" s="8"/>
      <c r="H20" s="8"/>
      <c r="I20" s="8"/>
      <c r="J20" s="8"/>
    </row>
    <row r="21" spans="1:13">
      <c r="A21" s="79" t="s">
        <v>329</v>
      </c>
      <c r="B21" s="8">
        <f>B20/5</f>
        <v>1.5228241793354846</v>
      </c>
      <c r="C21" s="8">
        <f>C20/5</f>
        <v>3.6628241793354848</v>
      </c>
    </row>
    <row r="22" spans="1:13">
      <c r="M22" s="95"/>
    </row>
    <row r="24" spans="1:13">
      <c r="L24" s="95"/>
      <c r="M24" s="95"/>
    </row>
    <row r="25" spans="1:13">
      <c r="L25" s="95"/>
    </row>
    <row r="36" spans="13:18">
      <c r="M36" t="s">
        <v>331</v>
      </c>
      <c r="R36" t="s">
        <v>330</v>
      </c>
    </row>
  </sheetData>
  <pageMargins left="0.75" right="0.75" top="1" bottom="1" header="0.5" footer="0.5"/>
  <pageSetup orientation="portrait" horizontalDpi="4294967292" verticalDpi="4294967292"/>
  <drawing r:id="rId1"/>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K24"/>
  <sheetViews>
    <sheetView workbookViewId="0">
      <selection activeCell="G17" sqref="G17"/>
    </sheetView>
  </sheetViews>
  <sheetFormatPr baseColWidth="10" defaultColWidth="8.83203125" defaultRowHeight="15" x14ac:dyDescent="0"/>
  <cols>
    <col min="1" max="1" width="22.6640625" customWidth="1"/>
    <col min="2" max="6" width="9.5" customWidth="1"/>
    <col min="7" max="7" width="11.6640625" customWidth="1"/>
    <col min="8" max="11" width="9.5" customWidth="1"/>
  </cols>
  <sheetData>
    <row r="7" spans="1:11" s="1" customFormat="1">
      <c r="B7" s="178" t="s">
        <v>52</v>
      </c>
      <c r="C7" s="179"/>
      <c r="D7" s="178" t="s">
        <v>53</v>
      </c>
      <c r="E7" s="179"/>
      <c r="F7" s="180" t="s">
        <v>152</v>
      </c>
      <c r="G7" s="181"/>
      <c r="H7" s="48" t="s">
        <v>151</v>
      </c>
      <c r="I7" s="49"/>
      <c r="J7" s="180" t="s">
        <v>54</v>
      </c>
      <c r="K7" s="181"/>
    </row>
    <row r="8" spans="1:11" s="19" customFormat="1" ht="46" thickBot="1">
      <c r="A8" s="19" t="s">
        <v>47</v>
      </c>
      <c r="B8" s="20" t="s">
        <v>20</v>
      </c>
      <c r="C8" s="21" t="s">
        <v>51</v>
      </c>
      <c r="D8" s="20" t="s">
        <v>20</v>
      </c>
      <c r="E8" s="21" t="s">
        <v>51</v>
      </c>
      <c r="F8" s="28" t="s">
        <v>20</v>
      </c>
      <c r="G8" s="29" t="s">
        <v>51</v>
      </c>
      <c r="H8" s="50" t="s">
        <v>20</v>
      </c>
      <c r="I8" s="29" t="s">
        <v>51</v>
      </c>
      <c r="J8" s="28" t="s">
        <v>20</v>
      </c>
      <c r="K8" s="29" t="s">
        <v>51</v>
      </c>
    </row>
    <row r="9" spans="1:11" ht="16" thickTop="1">
      <c r="A9" t="s">
        <v>13</v>
      </c>
      <c r="B9" s="22" t="s">
        <v>48</v>
      </c>
      <c r="C9" s="23">
        <v>0.3</v>
      </c>
      <c r="D9" s="51">
        <v>3.8879539623796582</v>
      </c>
      <c r="E9" s="52">
        <v>0.25862424662605926</v>
      </c>
      <c r="F9" s="53">
        <f>[1]Neopetrosia!C12</f>
        <v>0</v>
      </c>
      <c r="G9" s="54">
        <f>[1]Neopetrosia!H12</f>
        <v>0</v>
      </c>
      <c r="H9" s="55">
        <v>22.303762962962963</v>
      </c>
      <c r="I9" s="56">
        <v>0.14119280564025288</v>
      </c>
      <c r="J9" s="53">
        <v>15.999999999999998</v>
      </c>
      <c r="K9" s="54">
        <v>6.7985320539673596E-3</v>
      </c>
    </row>
    <row r="10" spans="1:11">
      <c r="A10" t="s">
        <v>67</v>
      </c>
      <c r="B10" s="22"/>
      <c r="C10" s="23">
        <v>0.95</v>
      </c>
      <c r="D10" s="51">
        <v>90</v>
      </c>
      <c r="E10" s="52">
        <v>0.92773995849848556</v>
      </c>
      <c r="F10" s="53">
        <f>[1]Neopetrosia!C13</f>
        <v>0</v>
      </c>
      <c r="G10" s="54">
        <f>[1]Neopetrosia!H13</f>
        <v>0</v>
      </c>
      <c r="H10" s="55"/>
      <c r="I10" s="56"/>
      <c r="J10" s="57"/>
      <c r="K10" s="54"/>
    </row>
    <row r="11" spans="1:11">
      <c r="A11" t="s">
        <v>68</v>
      </c>
      <c r="B11" s="22" t="s">
        <v>49</v>
      </c>
      <c r="C11" s="23">
        <v>0.1</v>
      </c>
      <c r="D11" s="51">
        <v>365.56999999999994</v>
      </c>
      <c r="E11" s="52">
        <v>0.17116292933983332</v>
      </c>
      <c r="F11" s="53">
        <f>[1]Neopetrosia!C14</f>
        <v>0</v>
      </c>
      <c r="G11" s="54">
        <f>[1]Neopetrosia!H14</f>
        <v>0</v>
      </c>
      <c r="H11" s="55">
        <v>295.5745</v>
      </c>
      <c r="I11" s="56">
        <v>9.1710677675877747E-2</v>
      </c>
      <c r="J11" s="53">
        <v>180.65130952380954</v>
      </c>
      <c r="K11" s="54">
        <v>2.3962217199615526E-2</v>
      </c>
    </row>
    <row r="12" spans="1:11">
      <c r="A12" t="s">
        <v>69</v>
      </c>
      <c r="B12" s="24" t="s">
        <v>50</v>
      </c>
      <c r="C12" s="23">
        <v>2.0699999999999998</v>
      </c>
      <c r="D12" s="51">
        <v>2.1482265858213245</v>
      </c>
      <c r="E12" s="52">
        <v>2.7506314646668373</v>
      </c>
      <c r="F12" s="53">
        <f>[1]Neopetrosia!C17</f>
        <v>8.957665701108283</v>
      </c>
      <c r="G12" s="54">
        <f>[1]Neopetrosia!H17</f>
        <v>0</v>
      </c>
      <c r="H12" s="55">
        <v>6.944</v>
      </c>
      <c r="I12" s="56"/>
      <c r="J12" s="53">
        <v>7.7914999999999992</v>
      </c>
      <c r="K12" s="54">
        <v>6.7012269589591814E-3</v>
      </c>
    </row>
    <row r="13" spans="1:11">
      <c r="A13" t="s">
        <v>70</v>
      </c>
      <c r="B13" s="24"/>
      <c r="C13" s="23"/>
      <c r="D13" s="51">
        <v>2</v>
      </c>
      <c r="E13" s="52">
        <v>1.609844768035297</v>
      </c>
      <c r="F13" s="53">
        <f>[1]Neopetrosia!C18</f>
        <v>0</v>
      </c>
      <c r="G13" s="54">
        <f>[1]Neopetrosia!H18</f>
        <v>0</v>
      </c>
      <c r="H13" s="55"/>
      <c r="I13" s="56"/>
      <c r="J13" s="57"/>
      <c r="K13" s="54"/>
    </row>
    <row r="14" spans="1:11">
      <c r="A14" t="s">
        <v>71</v>
      </c>
      <c r="B14" s="25"/>
      <c r="C14" s="23"/>
      <c r="D14" s="51">
        <v>4.4999999999999998E-2</v>
      </c>
      <c r="E14" s="52">
        <v>2.5133091651266217</v>
      </c>
      <c r="F14" s="53"/>
      <c r="G14" s="54"/>
      <c r="H14" s="55"/>
      <c r="I14" s="56"/>
      <c r="J14" s="53"/>
      <c r="K14" s="54"/>
    </row>
    <row r="15" spans="1:11">
      <c r="A15" t="s">
        <v>72</v>
      </c>
      <c r="B15" s="25">
        <v>0.12</v>
      </c>
      <c r="C15" s="23">
        <v>56</v>
      </c>
      <c r="D15" s="51">
        <v>0.11857142857142856</v>
      </c>
      <c r="E15" s="52">
        <v>7.2195660635325174</v>
      </c>
      <c r="F15" s="53">
        <f>[1]Neopetrosia!C19</f>
        <v>0</v>
      </c>
      <c r="G15" s="54">
        <f>[1]Neopetrosia!H19</f>
        <v>0</v>
      </c>
      <c r="H15" s="55">
        <v>5.7000000000000002E-2</v>
      </c>
      <c r="I15" s="56"/>
      <c r="J15" s="53">
        <v>7.116666666666667E-2</v>
      </c>
      <c r="K15" s="54">
        <v>3.2204950049999998E-3</v>
      </c>
    </row>
    <row r="16" spans="1:11">
      <c r="A16" t="s">
        <v>71</v>
      </c>
      <c r="B16" s="25"/>
      <c r="C16" s="23"/>
      <c r="D16" s="51">
        <v>4.4999999999999998E-2</v>
      </c>
      <c r="E16" s="52">
        <v>2.5133091651266217</v>
      </c>
      <c r="F16" s="53"/>
      <c r="G16" s="54"/>
      <c r="H16" s="55"/>
      <c r="I16" s="56"/>
      <c r="J16" s="53"/>
      <c r="K16" s="54"/>
    </row>
    <row r="17" spans="1:11">
      <c r="A17" t="s">
        <v>73</v>
      </c>
      <c r="B17" s="25"/>
      <c r="C17" s="23"/>
      <c r="D17" s="51">
        <v>2</v>
      </c>
      <c r="E17" s="52">
        <v>1.609844768035297</v>
      </c>
      <c r="F17" s="53">
        <f>[1]Neopetrosia!C20</f>
        <v>0</v>
      </c>
      <c r="G17" s="54">
        <f>[1]Neopetrosia!H20</f>
        <v>0</v>
      </c>
      <c r="H17" s="55"/>
      <c r="I17" s="56"/>
      <c r="J17" s="53"/>
      <c r="K17" s="54"/>
    </row>
    <row r="18" spans="1:11">
      <c r="A18" t="s">
        <v>74</v>
      </c>
      <c r="B18" s="25"/>
      <c r="C18" s="23">
        <v>8.1</v>
      </c>
      <c r="D18" s="51">
        <v>2</v>
      </c>
      <c r="E18" s="52">
        <v>4.010226371080833</v>
      </c>
      <c r="F18" s="53"/>
      <c r="G18" s="54"/>
      <c r="H18" s="55"/>
      <c r="I18" s="56"/>
      <c r="J18" s="53"/>
      <c r="K18" s="54"/>
    </row>
    <row r="19" spans="1:11">
      <c r="A19" t="s">
        <v>75</v>
      </c>
      <c r="B19" s="25"/>
      <c r="C19" s="23"/>
      <c r="D19" s="51">
        <v>56.027845995869619</v>
      </c>
      <c r="E19" s="52">
        <v>4.3925029124997206</v>
      </c>
      <c r="F19" s="53">
        <f>[1]Neopetrosia!C21</f>
        <v>0</v>
      </c>
      <c r="G19" s="54">
        <f>[1]Neopetrosia!H21</f>
        <v>0</v>
      </c>
      <c r="H19" s="55">
        <v>17.143972222222221</v>
      </c>
      <c r="I19" s="56">
        <v>2.4248738428732537</v>
      </c>
      <c r="J19" s="53">
        <v>18.9697</v>
      </c>
      <c r="K19" s="54">
        <v>6.4259442896343444E-2</v>
      </c>
    </row>
    <row r="20" spans="1:11">
      <c r="A20" t="s">
        <v>76</v>
      </c>
      <c r="B20" s="25">
        <v>14</v>
      </c>
      <c r="C20" s="23">
        <v>4.2</v>
      </c>
      <c r="D20" s="51">
        <v>26.370000000000005</v>
      </c>
      <c r="E20" s="52">
        <v>2.0427982377908287</v>
      </c>
      <c r="F20" s="53" t="str">
        <f>[1]Neopetrosia!C22</f>
        <v>Diameter (um)</v>
      </c>
      <c r="G20" s="54" t="str">
        <f>[1]Neopetrosia!H22</f>
        <v>XS area (mm2) of aquiferous system in 1mm3  pieces</v>
      </c>
      <c r="H20" s="55">
        <v>6.7102000000000004</v>
      </c>
      <c r="I20" s="56"/>
      <c r="J20" s="53"/>
      <c r="K20" s="54"/>
    </row>
    <row r="21" spans="1:11">
      <c r="A21" t="s">
        <v>77</v>
      </c>
      <c r="B21" s="25"/>
      <c r="C21" s="23">
        <v>0.03</v>
      </c>
      <c r="D21" s="51">
        <v>405</v>
      </c>
      <c r="E21" s="52">
        <v>0.21007707382627713</v>
      </c>
      <c r="F21" s="53">
        <f>[1]Neopetrosia!C25</f>
        <v>383.33430000000004</v>
      </c>
      <c r="G21" s="54">
        <f>[1]Neopetrosia!H25</f>
        <v>0.15930061140334367</v>
      </c>
      <c r="H21" s="55"/>
      <c r="I21" s="56"/>
      <c r="J21" s="53"/>
      <c r="K21" s="54"/>
    </row>
    <row r="22" spans="1:11">
      <c r="A22" t="s">
        <v>78</v>
      </c>
      <c r="B22" s="25"/>
      <c r="C22" s="23"/>
      <c r="D22" s="51">
        <v>80</v>
      </c>
      <c r="E22" s="52">
        <v>0.8</v>
      </c>
      <c r="F22" s="53"/>
      <c r="G22" s="54"/>
      <c r="H22" s="55"/>
      <c r="I22" s="56"/>
      <c r="J22" s="53"/>
      <c r="K22" s="54"/>
    </row>
    <row r="23" spans="1:11">
      <c r="A23" t="s">
        <v>79</v>
      </c>
      <c r="B23" s="25"/>
      <c r="C23" s="23"/>
      <c r="D23" s="51">
        <v>62000</v>
      </c>
      <c r="E23" s="52"/>
      <c r="F23" s="53"/>
      <c r="G23" s="54"/>
      <c r="H23" s="55"/>
      <c r="I23" s="56"/>
      <c r="J23" s="53"/>
      <c r="K23" s="54"/>
    </row>
    <row r="24" spans="1:11">
      <c r="A24" t="s">
        <v>46</v>
      </c>
      <c r="B24" s="26">
        <v>2100</v>
      </c>
      <c r="C24" s="27">
        <v>3.3E-3</v>
      </c>
      <c r="D24" s="58">
        <v>44733.679854839022</v>
      </c>
      <c r="E24" s="59">
        <v>2.8434672977959635E-2</v>
      </c>
      <c r="F24" s="60">
        <f>[1]Neopetrosia!C26</f>
        <v>155.81196666666668</v>
      </c>
      <c r="G24" s="61">
        <f>[1]Neopetrosia!H26</f>
        <v>7.2081099403660032E-2</v>
      </c>
      <c r="H24" s="62"/>
      <c r="I24" s="63"/>
      <c r="J24" s="60"/>
      <c r="K24" s="61"/>
    </row>
  </sheetData>
  <mergeCells count="4">
    <mergeCell ref="B7:C7"/>
    <mergeCell ref="D7:E7"/>
    <mergeCell ref="J7:K7"/>
    <mergeCell ref="F7:G7"/>
  </mergeCells>
  <pageMargins left="0.7" right="0.7" top="0.75" bottom="0.75" header="0.3" footer="0.3"/>
  <pageSetup orientation="portrait" horizontalDpi="4294967292" verticalDpi="4294967292"/>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P20"/>
  <sheetViews>
    <sheetView topLeftCell="I5" workbookViewId="0">
      <selection activeCell="Y6" sqref="Y6"/>
    </sheetView>
  </sheetViews>
  <sheetFormatPr baseColWidth="10" defaultRowHeight="15" x14ac:dyDescent="0"/>
  <cols>
    <col min="1" max="1" width="17.83203125" customWidth="1"/>
  </cols>
  <sheetData>
    <row r="3" spans="1:16">
      <c r="A3" s="125">
        <f>[1]Neopetrosia!B11</f>
        <v>0</v>
      </c>
      <c r="B3" s="125">
        <f>[1]Neopetrosia!C11</f>
        <v>0</v>
      </c>
      <c r="C3" s="125">
        <f>[1]Neopetrosia!D11</f>
        <v>0</v>
      </c>
      <c r="D3" s="125">
        <f>[1]Neopetrosia!E11</f>
        <v>0</v>
      </c>
      <c r="E3" s="125">
        <f>[1]Neopetrosia!F11</f>
        <v>0</v>
      </c>
      <c r="F3" s="125">
        <f>[1]Neopetrosia!G11</f>
        <v>0</v>
      </c>
      <c r="G3" s="125">
        <f>[1]Neopetrosia!H11</f>
        <v>0</v>
      </c>
      <c r="H3" s="125">
        <f>[1]Neopetrosia!I11</f>
        <v>0</v>
      </c>
      <c r="I3" s="125">
        <f>[1]Neopetrosia!J11</f>
        <v>0</v>
      </c>
      <c r="J3" s="125">
        <f>[1]Neopetrosia!K11</f>
        <v>0</v>
      </c>
      <c r="K3" s="125">
        <f>[1]Neopetrosia!L11</f>
        <v>0</v>
      </c>
      <c r="L3" s="125">
        <f>[1]Neopetrosia!M11</f>
        <v>0</v>
      </c>
      <c r="M3" s="125">
        <f>[1]Neopetrosia!N11</f>
        <v>0</v>
      </c>
      <c r="N3" s="125">
        <f>[1]Neopetrosia!O11</f>
        <v>0</v>
      </c>
      <c r="O3" s="125">
        <f>[1]Neopetrosia!P11</f>
        <v>0</v>
      </c>
      <c r="P3" s="4"/>
    </row>
    <row r="4" spans="1:16">
      <c r="A4" s="128">
        <f>[1]Neopetrosia!B12</f>
        <v>0</v>
      </c>
      <c r="B4" s="128">
        <f>[1]Neopetrosia!C12</f>
        <v>0</v>
      </c>
      <c r="C4" s="128">
        <f>[1]Neopetrosia!D12</f>
        <v>0</v>
      </c>
      <c r="D4" s="128">
        <f>[1]Neopetrosia!E12</f>
        <v>0</v>
      </c>
      <c r="E4" s="128">
        <f>[1]Neopetrosia!F12</f>
        <v>0</v>
      </c>
      <c r="F4" s="128">
        <f>[1]Neopetrosia!G12</f>
        <v>0</v>
      </c>
      <c r="G4" s="128">
        <f>[1]Neopetrosia!H12</f>
        <v>0</v>
      </c>
      <c r="H4" s="128">
        <f>[1]Neopetrosia!I12</f>
        <v>0</v>
      </c>
      <c r="I4" s="128">
        <f>[1]Neopetrosia!J12</f>
        <v>0</v>
      </c>
      <c r="J4" s="128">
        <f>[1]Neopetrosia!K12</f>
        <v>0</v>
      </c>
      <c r="K4" s="128">
        <f>[1]Neopetrosia!L12</f>
        <v>0</v>
      </c>
      <c r="L4" s="128">
        <f>[1]Neopetrosia!M12</f>
        <v>0</v>
      </c>
      <c r="M4" s="128">
        <f>[1]Neopetrosia!N12</f>
        <v>0</v>
      </c>
      <c r="N4" s="128">
        <f>[1]Neopetrosia!O12</f>
        <v>0</v>
      </c>
      <c r="O4" s="128">
        <f>[1]Neopetrosia!P12</f>
        <v>0</v>
      </c>
      <c r="P4" s="4"/>
    </row>
    <row r="5" spans="1:16">
      <c r="A5" s="127">
        <f>[1]Neopetrosia!B13</f>
        <v>0</v>
      </c>
      <c r="B5" s="127">
        <f>[1]Neopetrosia!C13</f>
        <v>0</v>
      </c>
      <c r="C5" s="127">
        <f>[1]Neopetrosia!D13</f>
        <v>0</v>
      </c>
      <c r="D5" s="127">
        <f>[1]Neopetrosia!E13</f>
        <v>0</v>
      </c>
      <c r="E5" s="127">
        <f>[1]Neopetrosia!F13</f>
        <v>0</v>
      </c>
      <c r="F5" s="127">
        <f>[1]Neopetrosia!G13</f>
        <v>0</v>
      </c>
      <c r="G5" s="127">
        <f>[1]Neopetrosia!H13</f>
        <v>0</v>
      </c>
      <c r="H5" s="127">
        <f>[1]Neopetrosia!I13</f>
        <v>0</v>
      </c>
      <c r="I5" s="127">
        <f>[1]Neopetrosia!J13</f>
        <v>0</v>
      </c>
      <c r="J5" s="127">
        <f>[1]Neopetrosia!K13</f>
        <v>0</v>
      </c>
      <c r="K5" s="127">
        <f>[1]Neopetrosia!L13</f>
        <v>0</v>
      </c>
      <c r="L5" s="127">
        <f>[1]Neopetrosia!M13</f>
        <v>0</v>
      </c>
      <c r="M5" s="127">
        <f>[1]Neopetrosia!N13</f>
        <v>0</v>
      </c>
      <c r="N5" s="127">
        <f>[1]Neopetrosia!O13</f>
        <v>0</v>
      </c>
      <c r="O5" s="127">
        <f>[1]Neopetrosia!P13</f>
        <v>0</v>
      </c>
      <c r="P5" s="4"/>
    </row>
    <row r="6" spans="1:16">
      <c r="A6" s="127">
        <f>[1]Neopetrosia!B14</f>
        <v>0</v>
      </c>
      <c r="B6" s="127">
        <f>[1]Neopetrosia!C14</f>
        <v>0</v>
      </c>
      <c r="C6" s="127">
        <f>[1]Neopetrosia!D14</f>
        <v>0</v>
      </c>
      <c r="D6" s="127">
        <f>[1]Neopetrosia!E14</f>
        <v>0</v>
      </c>
      <c r="E6" s="127">
        <f>[1]Neopetrosia!F14</f>
        <v>0</v>
      </c>
      <c r="F6" s="127">
        <f>[1]Neopetrosia!G14</f>
        <v>0</v>
      </c>
      <c r="G6" s="127">
        <f>[1]Neopetrosia!H14</f>
        <v>0</v>
      </c>
      <c r="H6" s="127">
        <f>[1]Neopetrosia!I14</f>
        <v>0</v>
      </c>
      <c r="I6" s="127">
        <f>[1]Neopetrosia!J14</f>
        <v>0</v>
      </c>
      <c r="J6" s="127">
        <f>[1]Neopetrosia!K14</f>
        <v>0</v>
      </c>
      <c r="K6" s="127">
        <f>[1]Neopetrosia!L14</f>
        <v>0</v>
      </c>
      <c r="L6" s="127">
        <f>[1]Neopetrosia!M14</f>
        <v>0</v>
      </c>
      <c r="M6" s="127">
        <f>[1]Neopetrosia!N14</f>
        <v>0</v>
      </c>
      <c r="N6" s="127">
        <f>[1]Neopetrosia!O14</f>
        <v>0</v>
      </c>
      <c r="O6" s="127">
        <f>[1]Neopetrosia!P14</f>
        <v>0</v>
      </c>
      <c r="P6" s="4"/>
    </row>
    <row r="7" spans="1:16" ht="61">
      <c r="A7" s="127" t="str">
        <f>[1]Neopetrosia!B15</f>
        <v xml:space="preserve">Excurrent velocity (m/s) </v>
      </c>
      <c r="B7" s="127" t="str">
        <f>[1]Neopetrosia!C15</f>
        <v xml:space="preserve"> Osculum flow rate (mL/s) </v>
      </c>
      <c r="C7" s="127" t="str">
        <f>[1]Neopetrosia!D15</f>
        <v>Surface area of the 100^3 crosswall section (mm^2)</v>
      </c>
      <c r="D7" s="127" t="str">
        <f>[1]Neopetrosia!E15</f>
        <v/>
      </c>
      <c r="E7" s="127" t="str">
        <f>[1]Neopetrosia!F15</f>
        <v/>
      </c>
      <c r="F7" s="127" t="str">
        <f>[1]Neopetrosia!G15</f>
        <v/>
      </c>
      <c r="G7" s="127" t="str">
        <f>[1]Neopetrosia!H15</f>
        <v xml:space="preserve">Viscosity (Pa s) </v>
      </c>
      <c r="H7" s="127" t="str">
        <f>[1]Neopetrosia!I15</f>
        <v>Alfa (Vex/U)</v>
      </c>
      <c r="I7" s="127" t="str">
        <f>[1]Neopetrosia!J15</f>
        <v>Sponge Volume (cm^3)</v>
      </c>
      <c r="J7" s="127" t="str">
        <f>[1]Neopetrosia!K15</f>
        <v>Specific pumping rate (mL/mLSponge/min)</v>
      </c>
      <c r="K7" s="127" t="str">
        <f>[1]Neopetrosia!L15</f>
        <v>mL/mLSponge/s</v>
      </c>
      <c r="L7" s="127" t="str">
        <f>[1]Neopetrosia!M15</f>
        <v>nL/collar/hr</v>
      </c>
      <c r="M7" s="127">
        <f>[1]Neopetrosia!N15</f>
        <v>0</v>
      </c>
      <c r="N7" s="127">
        <f>[1]Neopetrosia!O15</f>
        <v>0</v>
      </c>
      <c r="O7" s="127">
        <f>[1]Neopetrosia!P15</f>
        <v>0</v>
      </c>
      <c r="P7" s="4"/>
    </row>
    <row r="8" spans="1:16">
      <c r="A8" s="127">
        <f>[1]Neopetrosia!B16</f>
        <v>1.3657279016666668E-2</v>
      </c>
      <c r="B8" s="127">
        <f>[1]Neopetrosia!C16</f>
        <v>0.1492944283518047</v>
      </c>
      <c r="C8" s="127">
        <f>[1]Neopetrosia!D16</f>
        <v>20.25</v>
      </c>
      <c r="D8" s="127">
        <f>[1]Neopetrosia!E16</f>
        <v>1024</v>
      </c>
      <c r="E8" s="127">
        <f>[1]Neopetrosia!F16</f>
        <v>9.8066499999999994</v>
      </c>
      <c r="F8" s="127">
        <f>[1]Neopetrosia!G16</f>
        <v>10045.44</v>
      </c>
      <c r="G8" s="127">
        <f>[1]Neopetrosia!H16</f>
        <v>1.3504000000000001E-3</v>
      </c>
      <c r="H8" s="127">
        <f>[1]Neopetrosia!I16</f>
        <v>0</v>
      </c>
      <c r="I8" s="127">
        <f>[1]Neopetrosia!J16</f>
        <v>1.5228241793354846</v>
      </c>
      <c r="J8" s="127">
        <f>[1]Neopetrosia!K16</f>
        <v>5.8822717833500269</v>
      </c>
      <c r="K8" s="127">
        <f>[1]Neopetrosia!L16</f>
        <v>9.8037863055833785E-2</v>
      </c>
      <c r="L8" s="127">
        <f>[1]Neopetrosia!M16</f>
        <v>1.1357825337936474E-2</v>
      </c>
      <c r="M8" s="127">
        <f>[1]Neopetrosia!N16</f>
        <v>0</v>
      </c>
      <c r="N8" s="127">
        <f>[1]Neopetrosia!O16</f>
        <v>0</v>
      </c>
      <c r="O8" s="127">
        <f>[1]Neopetrosia!P16</f>
        <v>0</v>
      </c>
      <c r="P8" s="4"/>
    </row>
    <row r="9" spans="1:16" ht="25">
      <c r="A9" s="127">
        <f>[1]Neopetrosia!B17</f>
        <v>0</v>
      </c>
      <c r="B9" s="127">
        <f>[1]Neopetrosia!C17</f>
        <v>8.957665701108283</v>
      </c>
      <c r="C9" s="127">
        <f>[1]Neopetrosia!D17</f>
        <v>0</v>
      </c>
      <c r="D9" s="127">
        <f>[1]Neopetrosia!E17</f>
        <v>0</v>
      </c>
      <c r="E9" s="127">
        <f>[1]Neopetrosia!F17</f>
        <v>0</v>
      </c>
      <c r="F9" s="127">
        <f>[1]Neopetrosia!G17</f>
        <v>0</v>
      </c>
      <c r="G9" s="127">
        <f>[1]Neopetrosia!H17</f>
        <v>0</v>
      </c>
      <c r="H9" s="127">
        <f>[1]Neopetrosia!I17</f>
        <v>0</v>
      </c>
      <c r="I9" s="127">
        <f>[1]Neopetrosia!J17</f>
        <v>0</v>
      </c>
      <c r="J9" s="127" t="str">
        <f>[1]Neopetrosia!K17</f>
        <v># chambers in 1mm3</v>
      </c>
      <c r="K9" s="127">
        <f>[1]Neopetrosia!L17</f>
        <v>9792.3168534402084</v>
      </c>
      <c r="L9" s="127">
        <f>[1]Neopetrosia!M17</f>
        <v>0</v>
      </c>
      <c r="M9" s="127">
        <f>[1]Neopetrosia!N17</f>
        <v>0</v>
      </c>
      <c r="N9" s="127">
        <f>[1]Neopetrosia!O17</f>
        <v>0</v>
      </c>
      <c r="O9" s="127">
        <f>[1]Neopetrosia!P17</f>
        <v>0</v>
      </c>
      <c r="P9" s="4"/>
    </row>
    <row r="10" spans="1:16" ht="37">
      <c r="A10" s="128">
        <f>[1]Neopetrosia!B18</f>
        <v>0</v>
      </c>
      <c r="B10" s="128">
        <f>[1]Neopetrosia!C18</f>
        <v>0</v>
      </c>
      <c r="C10" s="128">
        <f>[1]Neopetrosia!D18</f>
        <v>0</v>
      </c>
      <c r="D10" s="128">
        <f>[1]Neopetrosia!E18</f>
        <v>0</v>
      </c>
      <c r="E10" s="128">
        <f>[1]Neopetrosia!F18</f>
        <v>0</v>
      </c>
      <c r="F10" s="128">
        <f>[1]Neopetrosia!G18</f>
        <v>0</v>
      </c>
      <c r="G10" s="128">
        <f>[1]Neopetrosia!H18</f>
        <v>0</v>
      </c>
      <c r="H10" s="128">
        <f>[1]Neopetrosia!I18</f>
        <v>0</v>
      </c>
      <c r="I10" s="128">
        <f>[1]Neopetrosia!J18</f>
        <v>0</v>
      </c>
      <c r="J10" s="128" t="str">
        <f>[1]Neopetrosia!K18</f>
        <v># chambers/sponge</v>
      </c>
      <c r="K10" s="128">
        <f>[1]Neopetrosia!L18</f>
        <v>14911976.87613312</v>
      </c>
      <c r="L10" s="128">
        <f>[1]Neopetrosia!M18</f>
        <v>0</v>
      </c>
      <c r="M10" s="128">
        <f>[1]Neopetrosia!N18</f>
        <v>0</v>
      </c>
      <c r="N10" s="128">
        <f>[1]Neopetrosia!O18</f>
        <v>0</v>
      </c>
      <c r="O10" s="128">
        <f>[1]Neopetrosia!P18</f>
        <v>0</v>
      </c>
      <c r="P10" s="4"/>
    </row>
    <row r="11" spans="1:16" ht="25">
      <c r="A11" s="127">
        <f>[1]Neopetrosia!B19</f>
        <v>0</v>
      </c>
      <c r="B11" s="127">
        <f>[1]Neopetrosia!C19</f>
        <v>0</v>
      </c>
      <c r="C11" s="127">
        <f>[1]Neopetrosia!D19</f>
        <v>0</v>
      </c>
      <c r="D11" s="127">
        <f>[1]Neopetrosia!E19</f>
        <v>0</v>
      </c>
      <c r="E11" s="127">
        <f>[1]Neopetrosia!F19</f>
        <v>0</v>
      </c>
      <c r="F11" s="127">
        <f>[1]Neopetrosia!G19</f>
        <v>0</v>
      </c>
      <c r="G11" s="127">
        <f>[1]Neopetrosia!H19</f>
        <v>0</v>
      </c>
      <c r="H11" s="127">
        <f>[1]Neopetrosia!I19</f>
        <v>0</v>
      </c>
      <c r="I11" s="127">
        <f>[1]Neopetrosia!J19</f>
        <v>0</v>
      </c>
      <c r="J11" s="127" t="str">
        <f>[1]Neopetrosia!K19</f>
        <v>Est # collars per chamber</v>
      </c>
      <c r="K11" s="127">
        <f>[1]Neopetrosia!L19</f>
        <v>80</v>
      </c>
      <c r="L11" s="127">
        <f>[1]Neopetrosia!M19</f>
        <v>0</v>
      </c>
      <c r="M11" s="127">
        <f>[1]Neopetrosia!N19</f>
        <v>0</v>
      </c>
      <c r="N11" s="127">
        <f>[1]Neopetrosia!O19</f>
        <v>0</v>
      </c>
      <c r="O11" s="127">
        <f>[1]Neopetrosia!P19</f>
        <v>0</v>
      </c>
      <c r="P11" s="4"/>
    </row>
    <row r="12" spans="1:16" ht="25">
      <c r="A12" s="126">
        <f>[1]Neopetrosia!B20</f>
        <v>0</v>
      </c>
      <c r="B12" s="126">
        <f>[1]Neopetrosia!C20</f>
        <v>0</v>
      </c>
      <c r="C12" s="126">
        <f>[1]Neopetrosia!D20</f>
        <v>0</v>
      </c>
      <c r="D12" s="126">
        <f>[1]Neopetrosia!E20</f>
        <v>0</v>
      </c>
      <c r="E12" s="126">
        <f>[1]Neopetrosia!F20</f>
        <v>0</v>
      </c>
      <c r="F12" s="126">
        <f>[1]Neopetrosia!G20</f>
        <v>0</v>
      </c>
      <c r="G12" s="126">
        <f>[1]Neopetrosia!H20</f>
        <v>0</v>
      </c>
      <c r="H12" s="126">
        <f>[1]Neopetrosia!I20</f>
        <v>0</v>
      </c>
      <c r="I12" s="126">
        <f>[1]Neopetrosia!J20</f>
        <v>0</v>
      </c>
      <c r="J12" s="126" t="str">
        <f>[1]Neopetrosia!K20</f>
        <v>Number of mv per collar</v>
      </c>
      <c r="K12" s="126">
        <f>[1]Neopetrosia!L20</f>
        <v>39.666666666666664</v>
      </c>
      <c r="L12" s="126">
        <f>[1]Neopetrosia!M20</f>
        <v>0</v>
      </c>
      <c r="M12" s="126">
        <f>[1]Neopetrosia!N20</f>
        <v>0</v>
      </c>
      <c r="N12" s="126">
        <f>[1]Neopetrosia!O20</f>
        <v>0</v>
      </c>
      <c r="O12" s="126">
        <f>[1]Neopetrosia!P20</f>
        <v>0</v>
      </c>
      <c r="P12" s="4"/>
    </row>
    <row r="13" spans="1:16">
      <c r="A13" s="127">
        <f>[1]Neopetrosia!B21</f>
        <v>0</v>
      </c>
      <c r="B13" s="127">
        <f>[1]Neopetrosia!C21</f>
        <v>0</v>
      </c>
      <c r="C13" s="127">
        <f>[1]Neopetrosia!D21</f>
        <v>0</v>
      </c>
      <c r="D13" s="127">
        <f>[1]Neopetrosia!E21</f>
        <v>0</v>
      </c>
      <c r="E13" s="127">
        <f>[1]Neopetrosia!F21</f>
        <v>0</v>
      </c>
      <c r="F13" s="127">
        <f>[1]Neopetrosia!G21</f>
        <v>0</v>
      </c>
      <c r="G13" s="127">
        <f>[1]Neopetrosia!H21</f>
        <v>0</v>
      </c>
      <c r="H13" s="127">
        <f>[1]Neopetrosia!I21</f>
        <v>0</v>
      </c>
      <c r="I13" s="127">
        <f>[1]Neopetrosia!J21</f>
        <v>0</v>
      </c>
      <c r="J13" s="127">
        <f>[1]Neopetrosia!K21</f>
        <v>0</v>
      </c>
      <c r="K13" s="127">
        <f>[1]Neopetrosia!L21</f>
        <v>0</v>
      </c>
      <c r="L13" s="127">
        <f>[1]Neopetrosia!M21</f>
        <v>0</v>
      </c>
      <c r="M13" s="127">
        <f>[1]Neopetrosia!N21</f>
        <v>0</v>
      </c>
      <c r="N13" s="127">
        <f>[1]Neopetrosia!O21</f>
        <v>0</v>
      </c>
      <c r="O13" s="127">
        <f>[1]Neopetrosia!P21</f>
        <v>0</v>
      </c>
      <c r="P13" s="4"/>
    </row>
    <row r="14" spans="1:16" ht="73">
      <c r="A14" s="127" t="str">
        <f>[1]Neopetrosia!B22</f>
        <v>Sponge Region</v>
      </c>
      <c r="B14" s="127" t="str">
        <f>[1]Neopetrosia!C22</f>
        <v>Diameter (um)</v>
      </c>
      <c r="C14" s="127" t="str">
        <f>[1]Neopetrosia!D22</f>
        <v>Path length of each section (um)</v>
      </c>
      <c r="D14" s="127" t="str">
        <f>[1]Neopetrosia!E22</f>
        <v>Distance from inhalent surface (um)</v>
      </c>
      <c r="E14" s="127" t="str">
        <f>[1]Neopetrosia!F22</f>
        <v>proportional distance from inhalent surface</v>
      </c>
      <c r="F14" s="127" t="str">
        <f>[1]Neopetrosia!G22</f>
        <v>% distance from inhalent surface</v>
      </c>
      <c r="G14" s="127" t="str">
        <f>[1]Neopetrosia!H22</f>
        <v>XS area (mm2) of aquiferous system in 1mm3  pieces</v>
      </c>
      <c r="H14" s="127" t="str">
        <f>[1]Neopetrosia!I22</f>
        <v>XS area in 100 mm^3 pieces (mm^2)</v>
      </c>
      <c r="I14" s="127" t="str">
        <f>[1]Neopetrosia!J22</f>
        <v>Fraction of inhalent surface</v>
      </c>
      <c r="J14" s="127" t="str">
        <f>[1]Neopetrosia!K22</f>
        <v xml:space="preserve">Velocity (per opening, m^3/s) </v>
      </c>
      <c r="K14" s="127" t="str">
        <f>[1]Neopetrosia!L22</f>
        <v>Type of opening</v>
      </c>
      <c r="L14" s="127" t="str">
        <f>[1]Neopetrosia!M22</f>
        <v>Equation # in Riisgard and Larsen 1995</v>
      </c>
      <c r="M14" s="127" t="str">
        <f>[1]Neopetrosia!N22</f>
        <v>Velocity (mm/s)</v>
      </c>
      <c r="N14" s="127" t="str">
        <f>[1]Neopetrosia!O22</f>
        <v>Head loss (mm H20) as per Riisgard and Larsen 1995</v>
      </c>
      <c r="O14" s="127" t="str">
        <f>[1]Neopetrosia!P22</f>
        <v>Head loss (um H20) as per Riisgard and Larsen 1995</v>
      </c>
      <c r="P14" s="4"/>
    </row>
    <row r="15" spans="1:16">
      <c r="A15" s="127" t="str">
        <f>[1]Neopetrosia!B23</f>
        <v>ostia</v>
      </c>
      <c r="B15" s="127">
        <f>[1]Neopetrosia!C23</f>
        <v>24.460004166666668</v>
      </c>
      <c r="C15" s="127">
        <f>[1]Neopetrosia!D23</f>
        <v>0.5</v>
      </c>
      <c r="D15" s="127">
        <f>[1]Neopetrosia!E23</f>
        <v>0</v>
      </c>
      <c r="E15" s="127">
        <f>[1]Neopetrosia!F23</f>
        <v>0</v>
      </c>
      <c r="F15" s="127">
        <f>[1]Neopetrosia!G23</f>
        <v>0</v>
      </c>
      <c r="G15" s="127">
        <f>[1]Neopetrosia!H23</f>
        <v>0.16644318026435792</v>
      </c>
      <c r="H15" s="127">
        <f>[1]Neopetrosia!I23</f>
        <v>3.3704744003532481</v>
      </c>
      <c r="I15" s="127">
        <f>[1]Neopetrosia!J23</f>
        <v>16.644318026435791</v>
      </c>
      <c r="J15" s="127">
        <f>[1]Neopetrosia!K23</f>
        <v>6.0479622732158343E-4</v>
      </c>
      <c r="K15" s="127" t="str">
        <f>[1]Neopetrosia!L23</f>
        <v>aperture</v>
      </c>
      <c r="L15" s="127">
        <f>[1]Neopetrosia!M23</f>
        <v>15</v>
      </c>
      <c r="M15" s="127">
        <f>[1]Neopetrosia!N23</f>
        <v>0.60479622732158345</v>
      </c>
      <c r="N15" s="127">
        <f>[1]Neopetrosia!O23</f>
        <v>6.4179366137202987E-2</v>
      </c>
      <c r="O15" s="127">
        <f>[1]Neopetrosia!P23</f>
        <v>64.17936613720299</v>
      </c>
      <c r="P15" s="4"/>
    </row>
    <row r="16" spans="1:16" ht="25">
      <c r="A16" s="127" t="str">
        <f>[1]Neopetrosia!B24</f>
        <v>Subdermal space</v>
      </c>
      <c r="B16" s="127">
        <f>[1]Neopetrosia!C24</f>
        <v>242.38515789473686</v>
      </c>
      <c r="C16" s="127">
        <f>[1]Neopetrosia!D24</f>
        <v>86.14815789473684</v>
      </c>
      <c r="D16" s="127">
        <f>[1]Neopetrosia!E24</f>
        <v>0.5</v>
      </c>
      <c r="E16" s="127">
        <f>[1]Neopetrosia!F24</f>
        <v>6.4752041049011445E-5</v>
      </c>
      <c r="F16" s="127">
        <f>[1]Neopetrosia!G24</f>
        <v>6.4752041049011442E-3</v>
      </c>
      <c r="G16" s="127">
        <f>[1]Neopetrosia!H24</f>
        <v>0.97358395335857462</v>
      </c>
      <c r="H16" s="127">
        <f>[1]Neopetrosia!I24</f>
        <v>19.715075055511136</v>
      </c>
      <c r="I16" s="127">
        <f>[1]Neopetrosia!J24</f>
        <v>97.358395335857466</v>
      </c>
      <c r="J16" s="127">
        <f>[1]Neopetrosia!K24</f>
        <v>1.0339550805046484E-4</v>
      </c>
      <c r="K16" s="127" t="str">
        <f>[1]Neopetrosia!L24</f>
        <v>channels/ducts</v>
      </c>
      <c r="L16" s="127">
        <f>[1]Neopetrosia!M24</f>
        <v>21</v>
      </c>
      <c r="M16" s="127">
        <f>[1]Neopetrosia!N24</f>
        <v>0.10339550805046484</v>
      </c>
      <c r="N16" s="127">
        <f>[1]Neopetrosia!O24</f>
        <v>3.2639696012478396E-2</v>
      </c>
      <c r="O16" s="127">
        <f>[1]Neopetrosia!P24</f>
        <v>32.639696012478396</v>
      </c>
      <c r="P16" s="4"/>
    </row>
    <row r="17" spans="1:16" ht="25">
      <c r="A17" s="127" t="str">
        <f>[1]Neopetrosia!B25</f>
        <v>lg incurrent canal</v>
      </c>
      <c r="B17" s="127">
        <f>[1]Neopetrosia!C25</f>
        <v>383.33430000000004</v>
      </c>
      <c r="C17" s="127">
        <f>[1]Neopetrosia!D25</f>
        <v>2944.154</v>
      </c>
      <c r="D17" s="127">
        <f>[1]Neopetrosia!E25</f>
        <v>86.64815789473684</v>
      </c>
      <c r="E17" s="127">
        <f>[1]Neopetrosia!F25</f>
        <v>1.1221290153642451E-2</v>
      </c>
      <c r="F17" s="127">
        <f>[1]Neopetrosia!G25</f>
        <v>1.1221290153642451</v>
      </c>
      <c r="G17" s="127">
        <f>[1]Neopetrosia!H25</f>
        <v>0.15930061140334367</v>
      </c>
      <c r="H17" s="127">
        <f>[1]Neopetrosia!I25</f>
        <v>15.930061140334367</v>
      </c>
      <c r="I17" s="127">
        <f>[1]Neopetrosia!J25</f>
        <v>78.666968594243784</v>
      </c>
      <c r="J17" s="127">
        <f>[1]Neopetrosia!K25</f>
        <v>1.2796248449143327E-4</v>
      </c>
      <c r="K17" s="127" t="str">
        <f>[1]Neopetrosia!L25</f>
        <v>channels/ducts</v>
      </c>
      <c r="L17" s="127">
        <f>[1]Neopetrosia!M25</f>
        <v>19</v>
      </c>
      <c r="M17" s="127">
        <f>[1]Neopetrosia!N25</f>
        <v>0.12796248449143327</v>
      </c>
      <c r="N17" s="127">
        <f>[1]Neopetrosia!O25</f>
        <v>9.1284820278263127E-3</v>
      </c>
      <c r="O17" s="127">
        <f>[1]Neopetrosia!P25</f>
        <v>9.1284820278263119</v>
      </c>
      <c r="P17" s="4"/>
    </row>
    <row r="18" spans="1:16" ht="25">
      <c r="A18" s="126" t="str">
        <f>[1]Neopetrosia!B26</f>
        <v>med incurrent canal</v>
      </c>
      <c r="B18" s="126">
        <f>[1]Neopetrosia!C26</f>
        <v>155.81196666666668</v>
      </c>
      <c r="C18" s="126">
        <f>[1]Neopetrosia!D26</f>
        <v>647.51357142857159</v>
      </c>
      <c r="D18" s="126">
        <f>[1]Neopetrosia!E26</f>
        <v>3030.8021578947369</v>
      </c>
      <c r="E18" s="126">
        <f>[1]Neopetrosia!F26</f>
        <v>0.392501251478865</v>
      </c>
      <c r="F18" s="126">
        <f>[1]Neopetrosia!G26</f>
        <v>39.2501251478865</v>
      </c>
      <c r="G18" s="126">
        <f>[1]Neopetrosia!H26</f>
        <v>7.2081099403660032E-2</v>
      </c>
      <c r="H18" s="126">
        <f>[1]Neopetrosia!I26</f>
        <v>7.2081099403660032</v>
      </c>
      <c r="I18" s="126">
        <f>[1]Neopetrosia!J26</f>
        <v>35.595604643782728</v>
      </c>
      <c r="J18" s="126">
        <f>[1]Neopetrosia!K26</f>
        <v>2.8279954363655485E-4</v>
      </c>
      <c r="K18" s="126" t="str">
        <f>[1]Neopetrosia!L26</f>
        <v>channels/ducts</v>
      </c>
      <c r="L18" s="126">
        <f>[1]Neopetrosia!M26</f>
        <v>19</v>
      </c>
      <c r="M18" s="126">
        <f>[1]Neopetrosia!N26</f>
        <v>0.28279954363655485</v>
      </c>
      <c r="N18" s="126">
        <f>[1]Neopetrosia!O26</f>
        <v>1.5039093259359242E-2</v>
      </c>
      <c r="O18" s="126">
        <f>[1]Neopetrosia!P26</f>
        <v>15.039093259359243</v>
      </c>
      <c r="P18" s="4"/>
    </row>
    <row r="19" spans="1:16" s="12" customFormat="1">
      <c r="A19" s="4"/>
      <c r="B19" s="4"/>
      <c r="C19" s="4"/>
      <c r="D19" s="4"/>
      <c r="E19" s="4"/>
      <c r="F19" s="4"/>
      <c r="G19" s="4"/>
      <c r="H19" s="4"/>
      <c r="I19" s="4"/>
      <c r="J19" s="4"/>
      <c r="K19" s="4"/>
      <c r="L19" s="4"/>
      <c r="M19" s="4"/>
    </row>
    <row r="20" spans="1:16" s="12" customFormat="1">
      <c r="A20" s="4"/>
      <c r="B20" s="4"/>
      <c r="C20" s="4"/>
      <c r="D20" s="4"/>
      <c r="E20" s="4"/>
      <c r="F20" s="4"/>
      <c r="G20" s="4"/>
      <c r="H20" s="4"/>
      <c r="I20" s="4"/>
      <c r="J20" s="4"/>
      <c r="K20" s="4"/>
      <c r="L20" s="4"/>
      <c r="M20" s="4"/>
    </row>
  </sheetData>
  <pageMargins left="0.75" right="0.75" top="1" bottom="1" header="0.5" footer="0.5"/>
  <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13</vt:i4>
      </vt:variant>
    </vt:vector>
  </HeadingPairs>
  <TitlesOfParts>
    <vt:vector size="13" baseType="lpstr">
      <vt:lpstr>Neopetrosia</vt:lpstr>
      <vt:lpstr>Ostia</vt:lpstr>
      <vt:lpstr>Subdermal space</vt:lpstr>
      <vt:lpstr>Incurrent Canals</vt:lpstr>
      <vt:lpstr>Prosopyles</vt:lpstr>
      <vt:lpstr>Collars</vt:lpstr>
      <vt:lpstr>Choanocyte Chambers</vt:lpstr>
      <vt:lpstr>Apopyle</vt:lpstr>
      <vt:lpstr>Excurrent Canals</vt:lpstr>
      <vt:lpstr>Osculum</vt:lpstr>
      <vt:lpstr>Sponge Volume</vt:lpstr>
      <vt:lpstr>Comparison table</vt:lpstr>
      <vt:lpstr>Graphs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Danielle Ludeman</dc:creator>
  <cp:lastModifiedBy>Danielle Ludeman</cp:lastModifiedBy>
  <dcterms:created xsi:type="dcterms:W3CDTF">2012-04-20T20:53:22Z</dcterms:created>
  <dcterms:modified xsi:type="dcterms:W3CDTF">2014-11-17T04:07:14Z</dcterms:modified>
</cp:coreProperties>
</file>