
<file path=[Content_Types].xml><?xml version="1.0" encoding="utf-8"?>
<Types xmlns="http://schemas.openxmlformats.org/package/2006/content-types">
  <Default Extension="xml" ContentType="application/xml"/>
  <Default Extension="tif" ContentType="image/tiff"/>
  <Default Extension="vml" ContentType="application/vnd.openxmlformats-officedocument.vmlDrawing"/>
  <Default Extension="png" ContentType="image/png"/>
  <Default Extension="JPG" ContentType="image/jpeg"/>
  <Default Extension="rels" ContentType="application/vnd.openxmlformats-package.relationships+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drawings/drawing1.xml" ContentType="application/vnd.openxmlformats-officedocument.drawing+xml"/>
  <Override PartName="/xl/comments2.xml" ContentType="application/vnd.openxmlformats-officedocument.spreadsheetml.comments+xml"/>
  <Override PartName="/xl/drawings/drawing2.xml" ContentType="application/vnd.openxmlformats-officedocument.drawing+xml"/>
  <Override PartName="/xl/comments3.xml" ContentType="application/vnd.openxmlformats-officedocument.spreadsheetml.comments+xml"/>
  <Override PartName="/xl/drawings/drawing3.xml" ContentType="application/vnd.openxmlformats-officedocument.drawing+xml"/>
  <Override PartName="/xl/comments4.xml" ContentType="application/vnd.openxmlformats-officedocument.spreadsheetml.comments+xml"/>
  <Override PartName="/xl/drawings/drawing4.xml" ContentType="application/vnd.openxmlformats-officedocument.drawing+xml"/>
  <Override PartName="/xl/drawings/drawing5.xml" ContentType="application/vnd.openxmlformats-officedocument.drawing+xml"/>
  <Override PartName="/xl/comments5.xml" ContentType="application/vnd.openxmlformats-officedocument.spreadsheetml.comments+xml"/>
  <Override PartName="/xl/drawings/drawing6.xml" ContentType="application/vnd.openxmlformats-officedocument.drawing+xml"/>
  <Override PartName="/xl/comments6.xml" ContentType="application/vnd.openxmlformats-officedocument.spreadsheetml.comments+xml"/>
  <Override PartName="/xl/drawings/drawing7.xml" ContentType="application/vnd.openxmlformats-officedocument.drawing+xml"/>
  <Override PartName="/xl/comments7.xml" ContentType="application/vnd.openxmlformats-officedocument.spreadsheetml.comments+xml"/>
  <Override PartName="/xl/comments8.xml" ContentType="application/vnd.openxmlformats-officedocument.spreadsheetml.comments+xml"/>
  <Override PartName="/xl/drawings/drawing8.xml" ContentType="application/vnd.openxmlformats-officedocument.drawing+xml"/>
  <Override PartName="/xl/comments9.xml" ContentType="application/vnd.openxmlformats-officedocument.spreadsheetml.comments+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1" Type="http://schemas.openxmlformats.org/officeDocument/2006/relationships/officeDocument" Target="xl/workbook.xml"/><Relationship Id="rId2" Type="http://schemas.openxmlformats.org/package/2006/relationships/metadata/core-properties" Target="docProps/core.xml"/><Relationship Id="rId3" Type="http://schemas.openxmlformats.org/officeDocument/2006/relationships/extended-properties" Target="docProps/app.xml"/></Relationships>
</file>

<file path=xl/workbook.xml><?xml version="1.0" encoding="utf-8"?>
<workbook xmlns="http://schemas.openxmlformats.org/spreadsheetml/2006/main" xmlns:r="http://schemas.openxmlformats.org/officeDocument/2006/relationships">
  <fileVersion appName="xl" lastEdited="5" lowestEdited="5" rupBuild="25306"/>
  <workbookPr showInkAnnotation="0" autoCompressPictures="0"/>
  <bookViews>
    <workbookView xWindow="100" yWindow="2060" windowWidth="21180" windowHeight="13000" tabRatio="1000"/>
  </bookViews>
  <sheets>
    <sheet name="Haliclona" sheetId="12" r:id="rId1"/>
    <sheet name="Ostia" sheetId="1" r:id="rId2"/>
    <sheet name="Subdermal space" sheetId="8" r:id="rId3"/>
    <sheet name="Incurrent Canals" sheetId="2" r:id="rId4"/>
    <sheet name="Prosopyles" sheetId="3" r:id="rId5"/>
    <sheet name="Collars" sheetId="5" r:id="rId6"/>
    <sheet name="Choanocyte Chambers" sheetId="4" r:id="rId7"/>
    <sheet name="Excurrent Canals" sheetId="10" r:id="rId8"/>
    <sheet name="Apopyle" sheetId="9" r:id="rId9"/>
    <sheet name="Osculum" sheetId="11" r:id="rId10"/>
    <sheet name="Sponge Volume" sheetId="13" r:id="rId11"/>
    <sheet name="Comparison table" sheetId="7" r:id="rId12"/>
  </sheets>
  <externalReferences>
    <externalReference r:id="rId13"/>
    <externalReference r:id="rId14"/>
    <externalReference r:id="rId15"/>
  </externalReferences>
  <definedNames>
    <definedName name="Density" localSheetId="0">Haliclona!$E$19</definedName>
    <definedName name="Density">[1]Haliclona!$E$13</definedName>
    <definedName name="ExCurrentFlowRate" localSheetId="0">Haliclona!$C$19</definedName>
    <definedName name="ExCurrentFlowRate">[1]Haliclona!$C$13</definedName>
    <definedName name="ExcurrentSpeed" localSheetId="0">Haliclona!$B$19</definedName>
    <definedName name="ExcurrentSpeed">[1]Haliclona!$B$13</definedName>
    <definedName name="gamma" localSheetId="0">Haliclona!$G$16</definedName>
    <definedName name="gamma" localSheetId="10">[2]Summary!$G$10</definedName>
    <definedName name="gamma">[1]Haliclona!$G$10</definedName>
    <definedName name="OscDiam">'[3]Sup. Table 2. Sponge sizes'!$E$17</definedName>
    <definedName name="SpVol">'[3]Sup. Table 2. Sponge sizes'!$F$17</definedName>
    <definedName name="Viscosity" localSheetId="0">Haliclona!$H$16</definedName>
    <definedName name="Viscosity" localSheetId="10">[2]Summary!$H$10</definedName>
    <definedName name="Viscosity">[1]Haliclona!$H$10</definedName>
  </definedNames>
  <calcPr calcId="140001" concurrentCalc="0"/>
  <extLst>
    <ext xmlns:mx="http://schemas.microsoft.com/office/mac/excel/2008/main" uri="{7523E5D3-25F3-A5E0-1632-64F254C22452}">
      <mx:ArchID Flags="2"/>
    </ext>
  </extLst>
</workbook>
</file>

<file path=xl/calcChain.xml><?xml version="1.0" encoding="utf-8"?>
<calcChain xmlns="http://schemas.openxmlformats.org/spreadsheetml/2006/main">
  <c r="F50" i="12" l="1"/>
  <c r="F49" i="12"/>
  <c r="M23" i="12"/>
  <c r="L23" i="12"/>
  <c r="N23" i="12"/>
  <c r="L24" i="12"/>
  <c r="M24" i="12"/>
  <c r="N24" i="12"/>
  <c r="L25" i="12"/>
  <c r="M25" i="12"/>
  <c r="N25" i="12"/>
  <c r="L26" i="12"/>
  <c r="M26" i="12"/>
  <c r="N26" i="12"/>
  <c r="L27" i="12"/>
  <c r="M27" i="12"/>
  <c r="N27" i="12"/>
  <c r="L28" i="12"/>
  <c r="M28" i="12"/>
  <c r="N28" i="12"/>
  <c r="L29" i="12"/>
  <c r="M29" i="12"/>
  <c r="N29" i="12"/>
  <c r="L30" i="12"/>
  <c r="M30" i="12"/>
  <c r="N30" i="12"/>
  <c r="L31" i="12"/>
  <c r="M31" i="12"/>
  <c r="N31" i="12"/>
  <c r="L32" i="12"/>
  <c r="M32" i="12"/>
  <c r="N32" i="12"/>
  <c r="L33" i="12"/>
  <c r="M33" i="12"/>
  <c r="N33" i="12"/>
  <c r="L34" i="12"/>
  <c r="M34" i="12"/>
  <c r="N34" i="12"/>
  <c r="L35" i="12"/>
  <c r="M35" i="12"/>
  <c r="N35" i="12"/>
  <c r="L36" i="12"/>
  <c r="M36" i="12"/>
  <c r="N36" i="12"/>
  <c r="L37" i="12"/>
  <c r="M37" i="12"/>
  <c r="N37" i="12"/>
  <c r="N38" i="12"/>
  <c r="K37" i="12"/>
  <c r="C43" i="12"/>
  <c r="R20" i="11"/>
  <c r="R19" i="11"/>
  <c r="R18" i="11"/>
  <c r="V27" i="12"/>
  <c r="V28" i="12"/>
  <c r="V29" i="12"/>
  <c r="V32" i="12"/>
  <c r="V31" i="12"/>
  <c r="V30" i="12"/>
  <c r="B16" i="12"/>
  <c r="H29" i="12"/>
  <c r="I29" i="12"/>
  <c r="J29" i="12"/>
  <c r="C37" i="12"/>
  <c r="A16" i="12"/>
  <c r="H37" i="12"/>
  <c r="I37" i="12"/>
  <c r="J37" i="12"/>
  <c r="K29" i="12"/>
  <c r="Q29" i="12"/>
  <c r="V33" i="12"/>
  <c r="R30" i="12"/>
  <c r="Q37" i="12"/>
  <c r="R37" i="12"/>
  <c r="S37" i="12"/>
  <c r="S30" i="12"/>
  <c r="H23" i="12"/>
  <c r="I23" i="12"/>
  <c r="J23" i="12"/>
  <c r="K23" i="12"/>
  <c r="Q23" i="12"/>
  <c r="C23" i="12"/>
  <c r="R23" i="12"/>
  <c r="S23" i="12"/>
  <c r="C24" i="12"/>
  <c r="D24" i="12"/>
  <c r="R24" i="12"/>
  <c r="S24" i="12"/>
  <c r="H24" i="12"/>
  <c r="I24" i="12"/>
  <c r="J24" i="12"/>
  <c r="K24" i="12"/>
  <c r="Q24" i="12"/>
  <c r="D25" i="12"/>
  <c r="C25" i="12"/>
  <c r="R25" i="12"/>
  <c r="S25" i="12"/>
  <c r="H25" i="12"/>
  <c r="I25" i="12"/>
  <c r="J25" i="12"/>
  <c r="K25" i="12"/>
  <c r="Q25" i="12"/>
  <c r="D26" i="12"/>
  <c r="C26" i="12"/>
  <c r="R26" i="12"/>
  <c r="S26" i="12"/>
  <c r="H26" i="12"/>
  <c r="I26" i="12"/>
  <c r="J26" i="12"/>
  <c r="K26" i="12"/>
  <c r="Q26" i="12"/>
  <c r="D27" i="12"/>
  <c r="C27" i="12"/>
  <c r="R27" i="12"/>
  <c r="S27" i="12"/>
  <c r="I27" i="12"/>
  <c r="J27" i="12"/>
  <c r="K27" i="12"/>
  <c r="C28" i="12"/>
  <c r="R28" i="12"/>
  <c r="S28" i="12"/>
  <c r="H28" i="12"/>
  <c r="I28" i="12"/>
  <c r="J28" i="12"/>
  <c r="K28" i="12"/>
  <c r="Q28" i="12"/>
  <c r="D29" i="12"/>
  <c r="C29" i="12"/>
  <c r="R29" i="12"/>
  <c r="S29" i="12"/>
  <c r="H30" i="12"/>
  <c r="I30" i="12"/>
  <c r="J30" i="12"/>
  <c r="K30" i="12"/>
  <c r="Q30" i="12"/>
  <c r="D31" i="12"/>
  <c r="C31" i="12"/>
  <c r="R31" i="12"/>
  <c r="S31" i="12"/>
  <c r="H31" i="12"/>
  <c r="I31" i="12"/>
  <c r="J31" i="12"/>
  <c r="K31" i="12"/>
  <c r="Q31" i="12"/>
  <c r="C32" i="12"/>
  <c r="D32" i="12"/>
  <c r="R32" i="12"/>
  <c r="S32" i="12"/>
  <c r="H32" i="12"/>
  <c r="I32" i="12"/>
  <c r="J32" i="12"/>
  <c r="K32" i="12"/>
  <c r="C33" i="12"/>
  <c r="R33" i="12"/>
  <c r="S33" i="12"/>
  <c r="H33" i="12"/>
  <c r="I33" i="12"/>
  <c r="J33" i="12"/>
  <c r="K33" i="12"/>
  <c r="Q33" i="12"/>
  <c r="D34" i="12"/>
  <c r="C34" i="12"/>
  <c r="R34" i="12"/>
  <c r="S34" i="12"/>
  <c r="H34" i="12"/>
  <c r="I34" i="12"/>
  <c r="J34" i="12"/>
  <c r="K34" i="12"/>
  <c r="Q34" i="12"/>
  <c r="D35" i="12"/>
  <c r="C35" i="12"/>
  <c r="R35" i="12"/>
  <c r="S35" i="12"/>
  <c r="H35" i="12"/>
  <c r="I35" i="12"/>
  <c r="J35" i="12"/>
  <c r="K35" i="12"/>
  <c r="Q35" i="12"/>
  <c r="D36" i="12"/>
  <c r="C36" i="12"/>
  <c r="R36" i="12"/>
  <c r="S36" i="12"/>
  <c r="S38" i="12"/>
  <c r="C16" i="12"/>
  <c r="C17" i="12"/>
  <c r="C49" i="12"/>
  <c r="C44" i="12"/>
  <c r="C45" i="12"/>
  <c r="C46" i="12"/>
  <c r="C50" i="12"/>
  <c r="G16" i="12"/>
  <c r="D28" i="12"/>
  <c r="C30" i="12"/>
  <c r="D30" i="12"/>
  <c r="H36" i="12"/>
  <c r="I36" i="12"/>
  <c r="J36" i="12"/>
  <c r="K36" i="12"/>
  <c r="D37" i="12"/>
  <c r="Q27" i="12"/>
  <c r="Q32" i="12"/>
  <c r="Q36" i="12"/>
  <c r="I19" i="13"/>
  <c r="C23" i="13"/>
  <c r="C24" i="13"/>
  <c r="J16" i="12"/>
  <c r="E17" i="13"/>
  <c r="E19" i="13"/>
  <c r="H19" i="13"/>
  <c r="B23" i="13"/>
  <c r="B24" i="13"/>
  <c r="D17" i="13"/>
  <c r="D19" i="13"/>
  <c r="F19" i="13"/>
  <c r="G18" i="13"/>
  <c r="G19" i="13"/>
  <c r="B24" i="5"/>
  <c r="C24" i="5"/>
  <c r="M8" i="11"/>
  <c r="M9" i="11"/>
  <c r="M10" i="11"/>
  <c r="M11" i="11"/>
  <c r="M12" i="11"/>
  <c r="M13" i="11"/>
  <c r="M14" i="11"/>
  <c r="M15" i="11"/>
  <c r="M16" i="11"/>
  <c r="M17" i="11"/>
  <c r="M18" i="11"/>
  <c r="N8" i="11"/>
  <c r="N9" i="11"/>
  <c r="N10" i="11"/>
  <c r="N11" i="11"/>
  <c r="N12" i="11"/>
  <c r="N13" i="11"/>
  <c r="N14" i="11"/>
  <c r="N15" i="11"/>
  <c r="N16" i="11"/>
  <c r="N17" i="11"/>
  <c r="N18" i="11"/>
  <c r="Q38" i="12"/>
  <c r="E24" i="12"/>
  <c r="E25" i="12"/>
  <c r="E26" i="12"/>
  <c r="E27" i="12"/>
  <c r="E28" i="12"/>
  <c r="E29" i="12"/>
  <c r="E30" i="12"/>
  <c r="E31" i="12"/>
  <c r="E32" i="12"/>
  <c r="E33" i="12"/>
  <c r="E34" i="12"/>
  <c r="E35" i="12"/>
  <c r="E36" i="12"/>
  <c r="E37" i="12"/>
  <c r="F37" i="12"/>
  <c r="G37" i="12"/>
  <c r="F36" i="12"/>
  <c r="G36" i="12"/>
  <c r="F35" i="12"/>
  <c r="G35" i="12"/>
  <c r="F34" i="12"/>
  <c r="G34" i="12"/>
  <c r="F33" i="12"/>
  <c r="G33" i="12"/>
  <c r="F32" i="12"/>
  <c r="G32" i="12"/>
  <c r="F31" i="12"/>
  <c r="G31" i="12"/>
  <c r="F30" i="12"/>
  <c r="G30" i="12"/>
  <c r="F29" i="12"/>
  <c r="G29" i="12"/>
  <c r="F28" i="12"/>
  <c r="G28" i="12"/>
  <c r="H27" i="12"/>
  <c r="F27" i="12"/>
  <c r="G27" i="12"/>
  <c r="F26" i="12"/>
  <c r="G26" i="12"/>
  <c r="F25" i="12"/>
  <c r="G25" i="12"/>
  <c r="F24" i="12"/>
  <c r="G24" i="12"/>
  <c r="F23" i="12"/>
  <c r="G23" i="12"/>
  <c r="L20" i="12"/>
  <c r="L19" i="12"/>
  <c r="L17" i="12"/>
  <c r="L18" i="12"/>
  <c r="M16" i="12"/>
  <c r="K16" i="12"/>
  <c r="L16" i="12"/>
  <c r="B64" i="5"/>
  <c r="C64" i="5"/>
  <c r="D64" i="5"/>
  <c r="E64" i="5"/>
  <c r="N64" i="5"/>
  <c r="N17" i="5"/>
  <c r="J24" i="1"/>
  <c r="Q21" i="10"/>
  <c r="G14" i="9"/>
  <c r="F14" i="9"/>
  <c r="E14" i="9"/>
  <c r="C14" i="9"/>
  <c r="D38" i="9"/>
  <c r="E38" i="9"/>
  <c r="F38" i="9"/>
  <c r="D39" i="9"/>
  <c r="E39" i="9"/>
  <c r="F39" i="9"/>
  <c r="D40" i="9"/>
  <c r="E40" i="9"/>
  <c r="F40" i="9"/>
  <c r="D41" i="9"/>
  <c r="E41" i="9"/>
  <c r="F41" i="9"/>
  <c r="D42" i="9"/>
  <c r="E42" i="9"/>
  <c r="F42" i="9"/>
  <c r="D43" i="9"/>
  <c r="E43" i="9"/>
  <c r="F43" i="9"/>
  <c r="E37" i="9"/>
  <c r="D37" i="9"/>
  <c r="F37" i="9"/>
  <c r="D31" i="9"/>
  <c r="E31" i="9"/>
  <c r="F31" i="9"/>
  <c r="D32" i="9"/>
  <c r="E32" i="9"/>
  <c r="F32" i="9"/>
  <c r="D30" i="9"/>
  <c r="E30" i="9"/>
  <c r="F30" i="9"/>
  <c r="D22" i="9"/>
  <c r="E22" i="9"/>
  <c r="F22" i="9"/>
  <c r="D23" i="9"/>
  <c r="E23" i="9"/>
  <c r="F23" i="9"/>
  <c r="D24" i="9"/>
  <c r="E24" i="9"/>
  <c r="F24" i="9"/>
  <c r="F21" i="9"/>
  <c r="E21" i="9"/>
  <c r="D21" i="9"/>
  <c r="D25" i="9"/>
  <c r="D10" i="9"/>
  <c r="D33" i="9"/>
  <c r="D11" i="9"/>
  <c r="D44" i="9"/>
  <c r="D12" i="9"/>
  <c r="C12" i="9"/>
  <c r="E44" i="9"/>
  <c r="E12" i="9"/>
  <c r="F44" i="9"/>
  <c r="F12" i="9"/>
  <c r="B12" i="9"/>
  <c r="C10" i="9"/>
  <c r="E25" i="9"/>
  <c r="E10" i="9"/>
  <c r="F25" i="9"/>
  <c r="F10" i="9"/>
  <c r="B10" i="9"/>
  <c r="C11" i="9"/>
  <c r="E33" i="9"/>
  <c r="E11" i="9"/>
  <c r="F33" i="9"/>
  <c r="F11" i="9"/>
  <c r="B11" i="9"/>
  <c r="A12" i="9"/>
  <c r="A11" i="9"/>
  <c r="C44" i="9"/>
  <c r="B44" i="9"/>
  <c r="C33" i="9"/>
  <c r="B33" i="9"/>
  <c r="B19" i="3"/>
  <c r="B21" i="3"/>
  <c r="C24" i="3"/>
  <c r="M10" i="4"/>
  <c r="H10" i="4"/>
  <c r="D10" i="4"/>
  <c r="C71" i="4"/>
  <c r="F21" i="4"/>
  <c r="G21" i="4"/>
  <c r="H21" i="4"/>
  <c r="D71" i="4"/>
  <c r="E71" i="4"/>
  <c r="F18" i="4"/>
  <c r="G18" i="4"/>
  <c r="H18" i="4"/>
  <c r="F19" i="4"/>
  <c r="G19" i="4"/>
  <c r="H19" i="4"/>
  <c r="F20" i="4"/>
  <c r="G20" i="4"/>
  <c r="H20" i="4"/>
  <c r="F22" i="4"/>
  <c r="G22" i="4"/>
  <c r="H22" i="4"/>
  <c r="F23" i="4"/>
  <c r="G23" i="4"/>
  <c r="H23" i="4"/>
  <c r="F24" i="4"/>
  <c r="G24" i="4"/>
  <c r="H24" i="4"/>
  <c r="F25" i="4"/>
  <c r="G25" i="4"/>
  <c r="H25" i="4"/>
  <c r="F26" i="4"/>
  <c r="G26" i="4"/>
  <c r="H26" i="4"/>
  <c r="F27" i="4"/>
  <c r="G27" i="4"/>
  <c r="H27" i="4"/>
  <c r="F28" i="4"/>
  <c r="G28" i="4"/>
  <c r="H28" i="4"/>
  <c r="F29" i="4"/>
  <c r="G29" i="4"/>
  <c r="H29" i="4"/>
  <c r="F30" i="4"/>
  <c r="G30" i="4"/>
  <c r="H30" i="4"/>
  <c r="F31" i="4"/>
  <c r="G31" i="4"/>
  <c r="H31" i="4"/>
  <c r="F32" i="4"/>
  <c r="G32" i="4"/>
  <c r="H32" i="4"/>
  <c r="F33" i="4"/>
  <c r="G33" i="4"/>
  <c r="H33" i="4"/>
  <c r="F34" i="4"/>
  <c r="G34" i="4"/>
  <c r="H34" i="4"/>
  <c r="F35" i="4"/>
  <c r="G35" i="4"/>
  <c r="H35" i="4"/>
  <c r="F36" i="4"/>
  <c r="G36" i="4"/>
  <c r="H36" i="4"/>
  <c r="F37" i="4"/>
  <c r="G37" i="4"/>
  <c r="H37" i="4"/>
  <c r="F38" i="4"/>
  <c r="G38" i="4"/>
  <c r="H38" i="4"/>
  <c r="F39" i="4"/>
  <c r="G39" i="4"/>
  <c r="H39" i="4"/>
  <c r="F40" i="4"/>
  <c r="G40" i="4"/>
  <c r="H40" i="4"/>
  <c r="F41" i="4"/>
  <c r="G41" i="4"/>
  <c r="H41" i="4"/>
  <c r="F42" i="4"/>
  <c r="G42" i="4"/>
  <c r="H42" i="4"/>
  <c r="F43" i="4"/>
  <c r="G43" i="4"/>
  <c r="H43" i="4"/>
  <c r="F44" i="4"/>
  <c r="G44" i="4"/>
  <c r="H44" i="4"/>
  <c r="F45" i="4"/>
  <c r="G45" i="4"/>
  <c r="H45" i="4"/>
  <c r="F46" i="4"/>
  <c r="G46" i="4"/>
  <c r="H46" i="4"/>
  <c r="F47" i="4"/>
  <c r="G47" i="4"/>
  <c r="H47" i="4"/>
  <c r="F48" i="4"/>
  <c r="G48" i="4"/>
  <c r="H48" i="4"/>
  <c r="F49" i="4"/>
  <c r="G49" i="4"/>
  <c r="H49" i="4"/>
  <c r="F50" i="4"/>
  <c r="G50" i="4"/>
  <c r="H50" i="4"/>
  <c r="F51" i="4"/>
  <c r="G51" i="4"/>
  <c r="H51" i="4"/>
  <c r="F52" i="4"/>
  <c r="G52" i="4"/>
  <c r="H52" i="4"/>
  <c r="F53" i="4"/>
  <c r="G53" i="4"/>
  <c r="H53" i="4"/>
  <c r="F54" i="4"/>
  <c r="G54" i="4"/>
  <c r="H54" i="4"/>
  <c r="F55" i="4"/>
  <c r="G55" i="4"/>
  <c r="H55" i="4"/>
  <c r="F56" i="4"/>
  <c r="G56" i="4"/>
  <c r="H56" i="4"/>
  <c r="F57" i="4"/>
  <c r="G57" i="4"/>
  <c r="H57" i="4"/>
  <c r="F58" i="4"/>
  <c r="G58" i="4"/>
  <c r="H58" i="4"/>
  <c r="F59" i="4"/>
  <c r="G59" i="4"/>
  <c r="H59" i="4"/>
  <c r="F60" i="4"/>
  <c r="G60" i="4"/>
  <c r="H60" i="4"/>
  <c r="F61" i="4"/>
  <c r="G61" i="4"/>
  <c r="H61" i="4"/>
  <c r="F62" i="4"/>
  <c r="G62" i="4"/>
  <c r="H62" i="4"/>
  <c r="F63" i="4"/>
  <c r="G63" i="4"/>
  <c r="H63" i="4"/>
  <c r="F64" i="4"/>
  <c r="G64" i="4"/>
  <c r="H64" i="4"/>
  <c r="F65" i="4"/>
  <c r="G65" i="4"/>
  <c r="H65" i="4"/>
  <c r="F66" i="4"/>
  <c r="G66" i="4"/>
  <c r="H66" i="4"/>
  <c r="F67" i="4"/>
  <c r="G67" i="4"/>
  <c r="H67" i="4"/>
  <c r="F68" i="4"/>
  <c r="G68" i="4"/>
  <c r="H68" i="4"/>
  <c r="F69" i="4"/>
  <c r="G69" i="4"/>
  <c r="H69" i="4"/>
  <c r="F70" i="4"/>
  <c r="G70" i="4"/>
  <c r="H70" i="4"/>
  <c r="H71" i="4"/>
  <c r="F71" i="4"/>
  <c r="G71" i="4"/>
  <c r="P15" i="10"/>
  <c r="D29" i="10"/>
  <c r="E29" i="10"/>
  <c r="F29" i="10"/>
  <c r="G29" i="10"/>
  <c r="H29" i="10"/>
  <c r="I29" i="10"/>
  <c r="J29" i="10"/>
  <c r="K29" i="10"/>
  <c r="L29" i="10"/>
  <c r="M29" i="10"/>
  <c r="D30" i="10"/>
  <c r="E30" i="10"/>
  <c r="F30" i="10"/>
  <c r="G30" i="10"/>
  <c r="H30" i="10"/>
  <c r="I30" i="10"/>
  <c r="J30" i="10"/>
  <c r="K30" i="10"/>
  <c r="L30" i="10"/>
  <c r="M30" i="10"/>
  <c r="C30" i="10"/>
  <c r="C29" i="10"/>
  <c r="M18" i="10"/>
  <c r="M19" i="10"/>
  <c r="D18" i="10"/>
  <c r="E18" i="10"/>
  <c r="F18" i="10"/>
  <c r="G18" i="10"/>
  <c r="H18" i="10"/>
  <c r="I18" i="10"/>
  <c r="J18" i="10"/>
  <c r="K18" i="10"/>
  <c r="L18" i="10"/>
  <c r="D19" i="10"/>
  <c r="E19" i="10"/>
  <c r="F19" i="10"/>
  <c r="G19" i="10"/>
  <c r="H19" i="10"/>
  <c r="I19" i="10"/>
  <c r="J19" i="10"/>
  <c r="K19" i="10"/>
  <c r="L19" i="10"/>
  <c r="C19" i="10"/>
  <c r="C18" i="10"/>
  <c r="A18" i="10"/>
  <c r="E113" i="10"/>
  <c r="F113" i="10"/>
  <c r="G113" i="10"/>
  <c r="E114" i="10"/>
  <c r="F114" i="10"/>
  <c r="G114" i="10"/>
  <c r="E115" i="10"/>
  <c r="F115" i="10"/>
  <c r="G115" i="10"/>
  <c r="E116" i="10"/>
  <c r="F116" i="10"/>
  <c r="G116" i="10"/>
  <c r="E117" i="10"/>
  <c r="F117" i="10"/>
  <c r="G117" i="10"/>
  <c r="E118" i="10"/>
  <c r="F118" i="10"/>
  <c r="G118" i="10"/>
  <c r="E119" i="10"/>
  <c r="F119" i="10"/>
  <c r="G119" i="10"/>
  <c r="E120" i="10"/>
  <c r="F120" i="10"/>
  <c r="G120" i="10"/>
  <c r="E121" i="10"/>
  <c r="F121" i="10"/>
  <c r="G121" i="10"/>
  <c r="E122" i="10"/>
  <c r="F122" i="10"/>
  <c r="G122" i="10"/>
  <c r="E123" i="10"/>
  <c r="F123" i="10"/>
  <c r="G123" i="10"/>
  <c r="E124" i="10"/>
  <c r="F124" i="10"/>
  <c r="G124" i="10"/>
  <c r="E125" i="10"/>
  <c r="F125" i="10"/>
  <c r="G125" i="10"/>
  <c r="E126" i="10"/>
  <c r="F126" i="10"/>
  <c r="G126" i="10"/>
  <c r="E127" i="10"/>
  <c r="F127" i="10"/>
  <c r="G127" i="10"/>
  <c r="E128" i="10"/>
  <c r="F128" i="10"/>
  <c r="G128" i="10"/>
  <c r="E129" i="10"/>
  <c r="F129" i="10"/>
  <c r="G129" i="10"/>
  <c r="E130" i="10"/>
  <c r="F130" i="10"/>
  <c r="G130" i="10"/>
  <c r="B149" i="10"/>
  <c r="H149" i="10"/>
  <c r="E99" i="10"/>
  <c r="F99" i="10"/>
  <c r="G99" i="10"/>
  <c r="E100" i="10"/>
  <c r="F100" i="10"/>
  <c r="G100" i="10"/>
  <c r="E101" i="10"/>
  <c r="F101" i="10"/>
  <c r="G101" i="10"/>
  <c r="E103" i="10"/>
  <c r="F103" i="10"/>
  <c r="G103" i="10"/>
  <c r="E102" i="10"/>
  <c r="F102" i="10"/>
  <c r="G102" i="10"/>
  <c r="E104" i="10"/>
  <c r="F104" i="10"/>
  <c r="G104" i="10"/>
  <c r="E105" i="10"/>
  <c r="F105" i="10"/>
  <c r="G105" i="10"/>
  <c r="E106" i="10"/>
  <c r="F106" i="10"/>
  <c r="G106" i="10"/>
  <c r="E107" i="10"/>
  <c r="F107" i="10"/>
  <c r="G107" i="10"/>
  <c r="E108" i="10"/>
  <c r="F108" i="10"/>
  <c r="G108" i="10"/>
  <c r="E109" i="10"/>
  <c r="F109" i="10"/>
  <c r="G109" i="10"/>
  <c r="E110" i="10"/>
  <c r="F110" i="10"/>
  <c r="G110" i="10"/>
  <c r="E111" i="10"/>
  <c r="F111" i="10"/>
  <c r="G111" i="10"/>
  <c r="E112" i="10"/>
  <c r="F112" i="10"/>
  <c r="G112" i="10"/>
  <c r="E131" i="10"/>
  <c r="F131" i="10"/>
  <c r="G131" i="10"/>
  <c r="E132" i="10"/>
  <c r="F132" i="10"/>
  <c r="G132" i="10"/>
  <c r="E133" i="10"/>
  <c r="F133" i="10"/>
  <c r="G133" i="10"/>
  <c r="E134" i="10"/>
  <c r="F134" i="10"/>
  <c r="G134" i="10"/>
  <c r="E135" i="10"/>
  <c r="F135" i="10"/>
  <c r="G135" i="10"/>
  <c r="E136" i="10"/>
  <c r="F136" i="10"/>
  <c r="G136" i="10"/>
  <c r="E137" i="10"/>
  <c r="F137" i="10"/>
  <c r="G137" i="10"/>
  <c r="E138" i="10"/>
  <c r="F138" i="10"/>
  <c r="G138" i="10"/>
  <c r="E139" i="10"/>
  <c r="F139" i="10"/>
  <c r="G139" i="10"/>
  <c r="E140" i="10"/>
  <c r="F140" i="10"/>
  <c r="G140" i="10"/>
  <c r="E141" i="10"/>
  <c r="F141" i="10"/>
  <c r="G141" i="10"/>
  <c r="E142" i="10"/>
  <c r="F142" i="10"/>
  <c r="G142" i="10"/>
  <c r="E143" i="10"/>
  <c r="F143" i="10"/>
  <c r="G143" i="10"/>
  <c r="E144" i="10"/>
  <c r="F144" i="10"/>
  <c r="G144" i="10"/>
  <c r="E145" i="10"/>
  <c r="F145" i="10"/>
  <c r="G145" i="10"/>
  <c r="G149" i="10"/>
  <c r="I149" i="10"/>
  <c r="J149" i="10"/>
  <c r="K149" i="10"/>
  <c r="L149" i="10"/>
  <c r="F149" i="10"/>
  <c r="E149" i="10"/>
  <c r="D149" i="10"/>
  <c r="C149" i="10"/>
  <c r="B148" i="10"/>
  <c r="H148" i="10"/>
  <c r="G148" i="10"/>
  <c r="I148" i="10"/>
  <c r="J148" i="10"/>
  <c r="K148" i="10"/>
  <c r="L148" i="10"/>
  <c r="F148" i="10"/>
  <c r="E148" i="10"/>
  <c r="D148" i="10"/>
  <c r="C148" i="10"/>
  <c r="B147" i="10"/>
  <c r="H147" i="10"/>
  <c r="G147" i="10"/>
  <c r="I147" i="10"/>
  <c r="J147" i="10"/>
  <c r="K147" i="10"/>
  <c r="L147" i="10"/>
  <c r="F147" i="10"/>
  <c r="E147" i="10"/>
  <c r="D147" i="10"/>
  <c r="C147" i="10"/>
  <c r="B146" i="10"/>
  <c r="H146" i="10"/>
  <c r="G146" i="10"/>
  <c r="I146" i="10"/>
  <c r="K146" i="10"/>
  <c r="L146" i="10"/>
  <c r="F146" i="10"/>
  <c r="E146" i="10"/>
  <c r="D146" i="10"/>
  <c r="C146" i="10"/>
  <c r="P15" i="2"/>
  <c r="D28" i="2"/>
  <c r="E28" i="2"/>
  <c r="F28" i="2"/>
  <c r="G28" i="2"/>
  <c r="H28" i="2"/>
  <c r="I28" i="2"/>
  <c r="J28" i="2"/>
  <c r="K28" i="2"/>
  <c r="L28" i="2"/>
  <c r="M28" i="2"/>
  <c r="C28" i="2"/>
  <c r="D27" i="2"/>
  <c r="E27" i="2"/>
  <c r="F27" i="2"/>
  <c r="G27" i="2"/>
  <c r="H27" i="2"/>
  <c r="I27" i="2"/>
  <c r="J27" i="2"/>
  <c r="K27" i="2"/>
  <c r="L27" i="2"/>
  <c r="M27" i="2"/>
  <c r="C27" i="2"/>
  <c r="M18" i="2"/>
  <c r="M19" i="2"/>
  <c r="D19" i="2"/>
  <c r="E19" i="2"/>
  <c r="F19" i="2"/>
  <c r="G19" i="2"/>
  <c r="H19" i="2"/>
  <c r="I19" i="2"/>
  <c r="J19" i="2"/>
  <c r="K19" i="2"/>
  <c r="L19" i="2"/>
  <c r="C19" i="2"/>
  <c r="D18" i="2"/>
  <c r="E18" i="2"/>
  <c r="F18" i="2"/>
  <c r="G18" i="2"/>
  <c r="H18" i="2"/>
  <c r="I18" i="2"/>
  <c r="J18" i="2"/>
  <c r="K18" i="2"/>
  <c r="L18" i="2"/>
  <c r="C18" i="2"/>
  <c r="A18" i="2"/>
  <c r="B137" i="2"/>
  <c r="H137" i="2"/>
  <c r="E97" i="2"/>
  <c r="F97" i="2"/>
  <c r="G97" i="2"/>
  <c r="E98" i="2"/>
  <c r="F98" i="2"/>
  <c r="G98" i="2"/>
  <c r="E99" i="2"/>
  <c r="F99" i="2"/>
  <c r="G99" i="2"/>
  <c r="E100" i="2"/>
  <c r="F100" i="2"/>
  <c r="G100" i="2"/>
  <c r="E96" i="2"/>
  <c r="F96" i="2"/>
  <c r="G96" i="2"/>
  <c r="E101" i="2"/>
  <c r="F101" i="2"/>
  <c r="G101" i="2"/>
  <c r="E102" i="2"/>
  <c r="F102" i="2"/>
  <c r="G102" i="2"/>
  <c r="E103" i="2"/>
  <c r="F103" i="2"/>
  <c r="G103" i="2"/>
  <c r="E104" i="2"/>
  <c r="F104" i="2"/>
  <c r="G104" i="2"/>
  <c r="E105" i="2"/>
  <c r="F105" i="2"/>
  <c r="G105" i="2"/>
  <c r="E106" i="2"/>
  <c r="F106" i="2"/>
  <c r="G106" i="2"/>
  <c r="E107" i="2"/>
  <c r="F107" i="2"/>
  <c r="G107" i="2"/>
  <c r="E108" i="2"/>
  <c r="F108" i="2"/>
  <c r="G108" i="2"/>
  <c r="E109" i="2"/>
  <c r="F109" i="2"/>
  <c r="G109" i="2"/>
  <c r="E110" i="2"/>
  <c r="F110" i="2"/>
  <c r="G110" i="2"/>
  <c r="E111" i="2"/>
  <c r="F111" i="2"/>
  <c r="G111" i="2"/>
  <c r="E112" i="2"/>
  <c r="F112" i="2"/>
  <c r="G112" i="2"/>
  <c r="E113" i="2"/>
  <c r="F113" i="2"/>
  <c r="G113" i="2"/>
  <c r="E114" i="2"/>
  <c r="F114" i="2"/>
  <c r="G114" i="2"/>
  <c r="E115" i="2"/>
  <c r="F115" i="2"/>
  <c r="G115" i="2"/>
  <c r="E116" i="2"/>
  <c r="F116" i="2"/>
  <c r="G116" i="2"/>
  <c r="E117" i="2"/>
  <c r="F117" i="2"/>
  <c r="G117" i="2"/>
  <c r="E118" i="2"/>
  <c r="F118" i="2"/>
  <c r="G118" i="2"/>
  <c r="E119" i="2"/>
  <c r="F119" i="2"/>
  <c r="G119" i="2"/>
  <c r="E120" i="2"/>
  <c r="F120" i="2"/>
  <c r="G120" i="2"/>
  <c r="E121" i="2"/>
  <c r="F121" i="2"/>
  <c r="G121" i="2"/>
  <c r="E122" i="2"/>
  <c r="F122" i="2"/>
  <c r="G122" i="2"/>
  <c r="E123" i="2"/>
  <c r="F123" i="2"/>
  <c r="G123" i="2"/>
  <c r="E124" i="2"/>
  <c r="F124" i="2"/>
  <c r="G124" i="2"/>
  <c r="E125" i="2"/>
  <c r="F125" i="2"/>
  <c r="G125" i="2"/>
  <c r="E126" i="2"/>
  <c r="F126" i="2"/>
  <c r="G126" i="2"/>
  <c r="E127" i="2"/>
  <c r="F127" i="2"/>
  <c r="G127" i="2"/>
  <c r="E128" i="2"/>
  <c r="F128" i="2"/>
  <c r="G128" i="2"/>
  <c r="E129" i="2"/>
  <c r="F129" i="2"/>
  <c r="G129" i="2"/>
  <c r="E130" i="2"/>
  <c r="F130" i="2"/>
  <c r="G130" i="2"/>
  <c r="E131" i="2"/>
  <c r="F131" i="2"/>
  <c r="G131" i="2"/>
  <c r="E132" i="2"/>
  <c r="F132" i="2"/>
  <c r="G132" i="2"/>
  <c r="E133" i="2"/>
  <c r="F133" i="2"/>
  <c r="G133" i="2"/>
  <c r="G137" i="2"/>
  <c r="I137" i="2"/>
  <c r="J137" i="2"/>
  <c r="K137" i="2"/>
  <c r="L137" i="2"/>
  <c r="F137" i="2"/>
  <c r="E137" i="2"/>
  <c r="D137" i="2"/>
  <c r="C137" i="2"/>
  <c r="B136" i="2"/>
  <c r="H136" i="2"/>
  <c r="G136" i="2"/>
  <c r="I136" i="2"/>
  <c r="J136" i="2"/>
  <c r="K136" i="2"/>
  <c r="L136" i="2"/>
  <c r="F136" i="2"/>
  <c r="E136" i="2"/>
  <c r="D136" i="2"/>
  <c r="C136" i="2"/>
  <c r="B135" i="2"/>
  <c r="H135" i="2"/>
  <c r="G135" i="2"/>
  <c r="I135" i="2"/>
  <c r="J135" i="2"/>
  <c r="K135" i="2"/>
  <c r="L135" i="2"/>
  <c r="F135" i="2"/>
  <c r="E135" i="2"/>
  <c r="D135" i="2"/>
  <c r="C135" i="2"/>
  <c r="B134" i="2"/>
  <c r="H134" i="2"/>
  <c r="G134" i="2"/>
  <c r="I134" i="2"/>
  <c r="K134" i="2"/>
  <c r="L134" i="2"/>
  <c r="F134" i="2"/>
  <c r="E134" i="2"/>
  <c r="D134" i="2"/>
  <c r="C134" i="2"/>
  <c r="B40" i="2"/>
  <c r="H40" i="2"/>
  <c r="E34" i="2"/>
  <c r="F34" i="2"/>
  <c r="G34" i="2"/>
  <c r="G40" i="2"/>
  <c r="I40" i="2"/>
  <c r="J40" i="2"/>
  <c r="K40" i="2"/>
  <c r="K13" i="2"/>
  <c r="B90" i="2"/>
  <c r="H90" i="2"/>
  <c r="E59" i="2"/>
  <c r="F59" i="2"/>
  <c r="G59" i="2"/>
  <c r="E60" i="2"/>
  <c r="F60" i="2"/>
  <c r="G60" i="2"/>
  <c r="E63" i="2"/>
  <c r="F63" i="2"/>
  <c r="G63" i="2"/>
  <c r="G90" i="2"/>
  <c r="I90" i="2"/>
  <c r="J90" i="2"/>
  <c r="K90" i="2"/>
  <c r="K15" i="2"/>
  <c r="K26" i="2"/>
  <c r="B91" i="2"/>
  <c r="H91" i="2"/>
  <c r="E47" i="2"/>
  <c r="F47" i="2"/>
  <c r="G47" i="2"/>
  <c r="E55" i="2"/>
  <c r="F55" i="2"/>
  <c r="G55" i="2"/>
  <c r="E58" i="2"/>
  <c r="F58" i="2"/>
  <c r="G58" i="2"/>
  <c r="E61" i="2"/>
  <c r="F61" i="2"/>
  <c r="G61" i="2"/>
  <c r="E48" i="2"/>
  <c r="F48" i="2"/>
  <c r="G48" i="2"/>
  <c r="E49" i="2"/>
  <c r="F49" i="2"/>
  <c r="G49" i="2"/>
  <c r="E50" i="2"/>
  <c r="F50" i="2"/>
  <c r="G50" i="2"/>
  <c r="E51" i="2"/>
  <c r="F51" i="2"/>
  <c r="G51" i="2"/>
  <c r="E52" i="2"/>
  <c r="F52" i="2"/>
  <c r="G52" i="2"/>
  <c r="E53" i="2"/>
  <c r="F53" i="2"/>
  <c r="G53" i="2"/>
  <c r="E54" i="2"/>
  <c r="F54" i="2"/>
  <c r="G54" i="2"/>
  <c r="E56" i="2"/>
  <c r="F56" i="2"/>
  <c r="G56" i="2"/>
  <c r="E57" i="2"/>
  <c r="F57" i="2"/>
  <c r="G57" i="2"/>
  <c r="E62" i="2"/>
  <c r="F62" i="2"/>
  <c r="G62" i="2"/>
  <c r="E64" i="2"/>
  <c r="F64" i="2"/>
  <c r="G64" i="2"/>
  <c r="E65" i="2"/>
  <c r="F65" i="2"/>
  <c r="G65" i="2"/>
  <c r="E66" i="2"/>
  <c r="F66" i="2"/>
  <c r="G66" i="2"/>
  <c r="E67" i="2"/>
  <c r="F67" i="2"/>
  <c r="G67" i="2"/>
  <c r="E68" i="2"/>
  <c r="F68" i="2"/>
  <c r="G68" i="2"/>
  <c r="E69" i="2"/>
  <c r="F69" i="2"/>
  <c r="G69" i="2"/>
  <c r="E70" i="2"/>
  <c r="F70" i="2"/>
  <c r="G70" i="2"/>
  <c r="E71" i="2"/>
  <c r="F71" i="2"/>
  <c r="G71" i="2"/>
  <c r="E72" i="2"/>
  <c r="F72" i="2"/>
  <c r="G72" i="2"/>
  <c r="E73" i="2"/>
  <c r="F73" i="2"/>
  <c r="G73" i="2"/>
  <c r="E74" i="2"/>
  <c r="F74" i="2"/>
  <c r="G74" i="2"/>
  <c r="E75" i="2"/>
  <c r="F75" i="2"/>
  <c r="G75" i="2"/>
  <c r="E76" i="2"/>
  <c r="F76" i="2"/>
  <c r="G76" i="2"/>
  <c r="E77" i="2"/>
  <c r="F77" i="2"/>
  <c r="G77" i="2"/>
  <c r="E78" i="2"/>
  <c r="F78" i="2"/>
  <c r="G78" i="2"/>
  <c r="E79" i="2"/>
  <c r="F79" i="2"/>
  <c r="G79" i="2"/>
  <c r="E80" i="2"/>
  <c r="F80" i="2"/>
  <c r="G80" i="2"/>
  <c r="E81" i="2"/>
  <c r="F81" i="2"/>
  <c r="G81" i="2"/>
  <c r="E82" i="2"/>
  <c r="F82" i="2"/>
  <c r="G82" i="2"/>
  <c r="E83" i="2"/>
  <c r="F83" i="2"/>
  <c r="G83" i="2"/>
  <c r="E84" i="2"/>
  <c r="F84" i="2"/>
  <c r="G84" i="2"/>
  <c r="E85" i="2"/>
  <c r="F85" i="2"/>
  <c r="G85" i="2"/>
  <c r="E86" i="2"/>
  <c r="F86" i="2"/>
  <c r="G86" i="2"/>
  <c r="E87" i="2"/>
  <c r="F87" i="2"/>
  <c r="G87" i="2"/>
  <c r="E88" i="2"/>
  <c r="F88" i="2"/>
  <c r="G88" i="2"/>
  <c r="G91" i="2"/>
  <c r="I91" i="2"/>
  <c r="J91" i="2"/>
  <c r="K91" i="2"/>
  <c r="K16" i="2"/>
  <c r="B42" i="2"/>
  <c r="H42" i="2"/>
  <c r="E35" i="2"/>
  <c r="F35" i="2"/>
  <c r="G35" i="2"/>
  <c r="E36" i="2"/>
  <c r="F36" i="2"/>
  <c r="G36" i="2"/>
  <c r="E37" i="2"/>
  <c r="F37" i="2"/>
  <c r="G37" i="2"/>
  <c r="E38" i="2"/>
  <c r="F38" i="2"/>
  <c r="G38" i="2"/>
  <c r="G42" i="2"/>
  <c r="I42" i="2"/>
  <c r="J42" i="2"/>
  <c r="K42" i="2"/>
  <c r="K14" i="2"/>
  <c r="M14" i="2"/>
  <c r="B92" i="2"/>
  <c r="H92" i="2"/>
  <c r="G92" i="2"/>
  <c r="I92" i="2"/>
  <c r="J92" i="2"/>
  <c r="K92" i="2"/>
  <c r="K17" i="2"/>
  <c r="M17" i="2"/>
  <c r="C10" i="4"/>
  <c r="B10" i="4"/>
  <c r="E10" i="4"/>
  <c r="F10" i="4"/>
  <c r="G10" i="4"/>
  <c r="G13" i="4"/>
  <c r="B24" i="3"/>
  <c r="M13" i="4"/>
  <c r="B20" i="3"/>
  <c r="D24" i="3"/>
  <c r="E24" i="3"/>
  <c r="K17" i="5"/>
  <c r="F64" i="5"/>
  <c r="G64" i="5"/>
  <c r="H64" i="5"/>
  <c r="I64" i="5"/>
  <c r="J64" i="5"/>
  <c r="J17" i="5"/>
  <c r="L17" i="5"/>
  <c r="M17" i="5"/>
  <c r="D23" i="5"/>
  <c r="I17" i="5"/>
  <c r="E23" i="5"/>
  <c r="F23" i="5"/>
  <c r="G23" i="5"/>
  <c r="E17" i="5"/>
  <c r="D24" i="5"/>
  <c r="E24" i="5"/>
  <c r="F24" i="5"/>
  <c r="G24" i="5"/>
  <c r="I10" i="4"/>
  <c r="J10" i="4"/>
  <c r="J13" i="4"/>
  <c r="B95" i="10"/>
  <c r="H95" i="10"/>
  <c r="E63" i="10"/>
  <c r="F63" i="10"/>
  <c r="G63" i="10"/>
  <c r="E64" i="10"/>
  <c r="F64" i="10"/>
  <c r="G64" i="10"/>
  <c r="E65" i="10"/>
  <c r="F65" i="10"/>
  <c r="G65" i="10"/>
  <c r="E67" i="10"/>
  <c r="F67" i="10"/>
  <c r="G67" i="10"/>
  <c r="E66" i="10"/>
  <c r="F66" i="10"/>
  <c r="G66" i="10"/>
  <c r="E68" i="10"/>
  <c r="F68" i="10"/>
  <c r="G68" i="10"/>
  <c r="E69" i="10"/>
  <c r="F69" i="10"/>
  <c r="G69" i="10"/>
  <c r="E70" i="10"/>
  <c r="F70" i="10"/>
  <c r="G70" i="10"/>
  <c r="E71" i="10"/>
  <c r="F71" i="10"/>
  <c r="G71" i="10"/>
  <c r="E72" i="10"/>
  <c r="F72" i="10"/>
  <c r="G72" i="10"/>
  <c r="E73" i="10"/>
  <c r="F73" i="10"/>
  <c r="G73" i="10"/>
  <c r="E74" i="10"/>
  <c r="F74" i="10"/>
  <c r="G74" i="10"/>
  <c r="E75" i="10"/>
  <c r="F75" i="10"/>
  <c r="G75" i="10"/>
  <c r="E76" i="10"/>
  <c r="F76" i="10"/>
  <c r="G76" i="10"/>
  <c r="E77" i="10"/>
  <c r="F77" i="10"/>
  <c r="G77" i="10"/>
  <c r="E78" i="10"/>
  <c r="F78" i="10"/>
  <c r="G78" i="10"/>
  <c r="E79" i="10"/>
  <c r="F79" i="10"/>
  <c r="G79" i="10"/>
  <c r="E80" i="10"/>
  <c r="F80" i="10"/>
  <c r="G80" i="10"/>
  <c r="E81" i="10"/>
  <c r="F81" i="10"/>
  <c r="G81" i="10"/>
  <c r="E82" i="10"/>
  <c r="F82" i="10"/>
  <c r="G82" i="10"/>
  <c r="E83" i="10"/>
  <c r="F83" i="10"/>
  <c r="G83" i="10"/>
  <c r="E84" i="10"/>
  <c r="F84" i="10"/>
  <c r="G84" i="10"/>
  <c r="E85" i="10"/>
  <c r="F85" i="10"/>
  <c r="G85" i="10"/>
  <c r="E86" i="10"/>
  <c r="F86" i="10"/>
  <c r="G86" i="10"/>
  <c r="E87" i="10"/>
  <c r="F87" i="10"/>
  <c r="G87" i="10"/>
  <c r="E88" i="10"/>
  <c r="F88" i="10"/>
  <c r="G88" i="10"/>
  <c r="E89" i="10"/>
  <c r="F89" i="10"/>
  <c r="G89" i="10"/>
  <c r="E90" i="10"/>
  <c r="F90" i="10"/>
  <c r="G90" i="10"/>
  <c r="E91" i="10"/>
  <c r="F91" i="10"/>
  <c r="G91" i="10"/>
  <c r="G95" i="10"/>
  <c r="I95" i="10"/>
  <c r="J95" i="10"/>
  <c r="K95" i="10"/>
  <c r="K17" i="10"/>
  <c r="K15" i="10"/>
  <c r="B94" i="10"/>
  <c r="H94" i="10"/>
  <c r="G94" i="10"/>
  <c r="I94" i="10"/>
  <c r="J94" i="10"/>
  <c r="K94" i="10"/>
  <c r="K16" i="10"/>
  <c r="K14" i="10"/>
  <c r="E12" i="3"/>
  <c r="E16" i="3"/>
  <c r="D32" i="3"/>
  <c r="D33" i="3"/>
  <c r="D34" i="3"/>
  <c r="D35" i="3"/>
  <c r="D36" i="3"/>
  <c r="D37" i="3"/>
  <c r="D38" i="3"/>
  <c r="D39" i="3"/>
  <c r="D41" i="3"/>
  <c r="G41" i="3"/>
  <c r="P14" i="10"/>
  <c r="D95" i="10"/>
  <c r="D17" i="10"/>
  <c r="D15" i="10"/>
  <c r="E95" i="10"/>
  <c r="E17" i="10"/>
  <c r="E15" i="10"/>
  <c r="F95" i="10"/>
  <c r="F17" i="10"/>
  <c r="F15" i="10"/>
  <c r="G17" i="10"/>
  <c r="G15" i="10"/>
  <c r="H17" i="10"/>
  <c r="H15" i="10"/>
  <c r="I17" i="10"/>
  <c r="I15" i="10"/>
  <c r="J17" i="10"/>
  <c r="J15" i="10"/>
  <c r="L95" i="10"/>
  <c r="L17" i="10"/>
  <c r="L15" i="10"/>
  <c r="M17" i="10"/>
  <c r="M15" i="10"/>
  <c r="C95" i="10"/>
  <c r="C17" i="10"/>
  <c r="C15" i="10"/>
  <c r="D94" i="10"/>
  <c r="D16" i="10"/>
  <c r="D14" i="10"/>
  <c r="E94" i="10"/>
  <c r="E16" i="10"/>
  <c r="E14" i="10"/>
  <c r="F94" i="10"/>
  <c r="F16" i="10"/>
  <c r="F14" i="10"/>
  <c r="G16" i="10"/>
  <c r="G14" i="10"/>
  <c r="H16" i="10"/>
  <c r="H14" i="10"/>
  <c r="I16" i="10"/>
  <c r="I14" i="10"/>
  <c r="J16" i="10"/>
  <c r="J14" i="10"/>
  <c r="L94" i="10"/>
  <c r="L16" i="10"/>
  <c r="L14" i="10"/>
  <c r="M16" i="10"/>
  <c r="M14" i="10"/>
  <c r="C94" i="10"/>
  <c r="C16" i="10"/>
  <c r="C14" i="10"/>
  <c r="D28" i="10"/>
  <c r="E28" i="10"/>
  <c r="F28" i="10"/>
  <c r="G28" i="10"/>
  <c r="H28" i="10"/>
  <c r="I28" i="10"/>
  <c r="J28" i="10"/>
  <c r="K28" i="10"/>
  <c r="L28" i="10"/>
  <c r="M28" i="10"/>
  <c r="C28" i="10"/>
  <c r="A16" i="10"/>
  <c r="B93" i="10"/>
  <c r="H93" i="10"/>
  <c r="G93" i="10"/>
  <c r="I93" i="10"/>
  <c r="J93" i="10"/>
  <c r="K93" i="10"/>
  <c r="L93" i="10"/>
  <c r="F93" i="10"/>
  <c r="E93" i="10"/>
  <c r="D93" i="10"/>
  <c r="C93" i="10"/>
  <c r="B92" i="10"/>
  <c r="H92" i="10"/>
  <c r="G92" i="10"/>
  <c r="I92" i="10"/>
  <c r="K92" i="10"/>
  <c r="L92" i="10"/>
  <c r="F92" i="10"/>
  <c r="E92" i="10"/>
  <c r="D92" i="10"/>
  <c r="C92" i="10"/>
  <c r="P13" i="2"/>
  <c r="D42" i="2"/>
  <c r="D14" i="2"/>
  <c r="D92" i="2"/>
  <c r="D17" i="2"/>
  <c r="E42" i="2"/>
  <c r="E14" i="2"/>
  <c r="E92" i="2"/>
  <c r="E17" i="2"/>
  <c r="F42" i="2"/>
  <c r="F14" i="2"/>
  <c r="F92" i="2"/>
  <c r="F17" i="2"/>
  <c r="G14" i="2"/>
  <c r="G17" i="2"/>
  <c r="H14" i="2"/>
  <c r="H17" i="2"/>
  <c r="I14" i="2"/>
  <c r="I17" i="2"/>
  <c r="J14" i="2"/>
  <c r="J17" i="2"/>
  <c r="L42" i="2"/>
  <c r="L14" i="2"/>
  <c r="L92" i="2"/>
  <c r="L17" i="2"/>
  <c r="C42" i="2"/>
  <c r="C14" i="2"/>
  <c r="C92" i="2"/>
  <c r="C17" i="2"/>
  <c r="D91" i="2"/>
  <c r="D16" i="2"/>
  <c r="E91" i="2"/>
  <c r="E16" i="2"/>
  <c r="F91" i="2"/>
  <c r="F16" i="2"/>
  <c r="G16" i="2"/>
  <c r="H16" i="2"/>
  <c r="I16" i="2"/>
  <c r="J16" i="2"/>
  <c r="L91" i="2"/>
  <c r="L16" i="2"/>
  <c r="M16" i="2"/>
  <c r="C91" i="2"/>
  <c r="C16" i="2"/>
  <c r="D40" i="2"/>
  <c r="D13" i="2"/>
  <c r="D90" i="2"/>
  <c r="D15" i="2"/>
  <c r="D26" i="2"/>
  <c r="E40" i="2"/>
  <c r="E13" i="2"/>
  <c r="E90" i="2"/>
  <c r="E15" i="2"/>
  <c r="E26" i="2"/>
  <c r="F40" i="2"/>
  <c r="F13" i="2"/>
  <c r="F90" i="2"/>
  <c r="F15" i="2"/>
  <c r="F26" i="2"/>
  <c r="G13" i="2"/>
  <c r="G15" i="2"/>
  <c r="G26" i="2"/>
  <c r="H13" i="2"/>
  <c r="H15" i="2"/>
  <c r="H26" i="2"/>
  <c r="I13" i="2"/>
  <c r="I15" i="2"/>
  <c r="I26" i="2"/>
  <c r="J13" i="2"/>
  <c r="J15" i="2"/>
  <c r="J26" i="2"/>
  <c r="L40" i="2"/>
  <c r="L13" i="2"/>
  <c r="L90" i="2"/>
  <c r="L15" i="2"/>
  <c r="L26" i="2"/>
  <c r="M13" i="2"/>
  <c r="M15" i="2"/>
  <c r="M26" i="2"/>
  <c r="C40" i="2"/>
  <c r="C13" i="2"/>
  <c r="C90" i="2"/>
  <c r="C15" i="2"/>
  <c r="C26" i="2"/>
  <c r="A15" i="2"/>
  <c r="C89" i="2"/>
  <c r="E7" i="8"/>
  <c r="F7" i="8"/>
  <c r="G7" i="8"/>
  <c r="D7" i="8"/>
  <c r="C7" i="8"/>
  <c r="B7" i="8"/>
  <c r="D24" i="8"/>
  <c r="D20" i="8"/>
  <c r="D21" i="8"/>
  <c r="D22" i="8"/>
  <c r="D23" i="8"/>
  <c r="D25" i="8"/>
  <c r="D26" i="8"/>
  <c r="G26" i="8"/>
  <c r="H26" i="8"/>
  <c r="I26" i="8"/>
  <c r="K26" i="8"/>
  <c r="J26" i="8"/>
  <c r="C26" i="8"/>
  <c r="B26" i="8"/>
  <c r="J55" i="10"/>
  <c r="B89" i="2"/>
  <c r="H89" i="2"/>
  <c r="G89" i="2"/>
  <c r="I89" i="2"/>
  <c r="K89" i="2"/>
  <c r="L89" i="2"/>
  <c r="F89" i="2"/>
  <c r="E89" i="2"/>
  <c r="D89" i="2"/>
  <c r="D14" i="8"/>
  <c r="M24" i="1"/>
  <c r="L24" i="1"/>
  <c r="K24" i="1"/>
  <c r="J37" i="1"/>
  <c r="I24" i="1"/>
  <c r="H24" i="1"/>
  <c r="G24" i="1"/>
  <c r="F24" i="1"/>
  <c r="D24" i="1"/>
  <c r="B24" i="1"/>
  <c r="I18" i="1"/>
  <c r="G18" i="1"/>
  <c r="A18" i="1"/>
  <c r="H51" i="1"/>
  <c r="J51" i="1"/>
  <c r="K51" i="1"/>
  <c r="M51" i="1"/>
  <c r="L51" i="1"/>
  <c r="D30" i="1"/>
  <c r="E30" i="1"/>
  <c r="F30" i="1"/>
  <c r="D31" i="1"/>
  <c r="E31" i="1"/>
  <c r="F31" i="1"/>
  <c r="D32" i="1"/>
  <c r="E32" i="1"/>
  <c r="F32" i="1"/>
  <c r="D33" i="1"/>
  <c r="E33" i="1"/>
  <c r="F33" i="1"/>
  <c r="D34" i="1"/>
  <c r="E34" i="1"/>
  <c r="F34" i="1"/>
  <c r="D35" i="1"/>
  <c r="E35" i="1"/>
  <c r="F35" i="1"/>
  <c r="D36" i="1"/>
  <c r="E36" i="1"/>
  <c r="F36" i="1"/>
  <c r="F37" i="1"/>
  <c r="H37" i="1"/>
  <c r="J16" i="1"/>
  <c r="D41" i="1"/>
  <c r="E41" i="1"/>
  <c r="F41" i="1"/>
  <c r="D42" i="1"/>
  <c r="E42" i="1"/>
  <c r="F42" i="1"/>
  <c r="D43" i="1"/>
  <c r="E43" i="1"/>
  <c r="F43" i="1"/>
  <c r="D44" i="1"/>
  <c r="E44" i="1"/>
  <c r="F44" i="1"/>
  <c r="D45" i="1"/>
  <c r="E45" i="1"/>
  <c r="F45" i="1"/>
  <c r="D46" i="1"/>
  <c r="E46" i="1"/>
  <c r="F46" i="1"/>
  <c r="F47" i="1"/>
  <c r="H47" i="1"/>
  <c r="J47" i="1"/>
  <c r="J17" i="1"/>
  <c r="B37" i="1"/>
  <c r="B16" i="1"/>
  <c r="C37" i="1"/>
  <c r="C16" i="1"/>
  <c r="B47" i="1"/>
  <c r="B17" i="1"/>
  <c r="C47" i="1"/>
  <c r="C17" i="1"/>
  <c r="D47" i="1"/>
  <c r="D17" i="1"/>
  <c r="E47" i="1"/>
  <c r="E17" i="1"/>
  <c r="F17" i="1"/>
  <c r="G17" i="1"/>
  <c r="H17" i="1"/>
  <c r="I17" i="1"/>
  <c r="K47" i="1"/>
  <c r="K17" i="1"/>
  <c r="L47" i="1"/>
  <c r="L17" i="1"/>
  <c r="M47" i="1"/>
  <c r="M17" i="1"/>
  <c r="A17" i="1"/>
  <c r="A16" i="1"/>
  <c r="B26" i="11"/>
  <c r="A26" i="11"/>
  <c r="P18" i="11"/>
  <c r="B21" i="11"/>
  <c r="K9" i="11"/>
  <c r="I9" i="11"/>
  <c r="H9" i="11"/>
  <c r="F9" i="11"/>
  <c r="K10" i="11"/>
  <c r="I10" i="11"/>
  <c r="H10" i="11"/>
  <c r="F10" i="11"/>
  <c r="K11" i="11"/>
  <c r="I11" i="11"/>
  <c r="H11" i="11"/>
  <c r="F11" i="11"/>
  <c r="K12" i="11"/>
  <c r="I12" i="11"/>
  <c r="H12" i="11"/>
  <c r="F12" i="11"/>
  <c r="K13" i="11"/>
  <c r="I13" i="11"/>
  <c r="H13" i="11"/>
  <c r="F13" i="11"/>
  <c r="K14" i="11"/>
  <c r="I14" i="11"/>
  <c r="H14" i="11"/>
  <c r="F14" i="11"/>
  <c r="K15" i="11"/>
  <c r="I15" i="11"/>
  <c r="H15" i="11"/>
  <c r="F15" i="11"/>
  <c r="K16" i="11"/>
  <c r="I16" i="11"/>
  <c r="H16" i="11"/>
  <c r="F16" i="11"/>
  <c r="K17" i="11"/>
  <c r="I17" i="11"/>
  <c r="H17" i="11"/>
  <c r="F17" i="11"/>
  <c r="F8" i="11"/>
  <c r="G9" i="11"/>
  <c r="G10" i="11"/>
  <c r="G11" i="11"/>
  <c r="G12" i="11"/>
  <c r="G13" i="11"/>
  <c r="G14" i="11"/>
  <c r="G15" i="11"/>
  <c r="G16" i="11"/>
  <c r="G17" i="11"/>
  <c r="G8" i="11"/>
  <c r="H8" i="11"/>
  <c r="I8" i="11"/>
  <c r="P24" i="7"/>
  <c r="B56" i="10"/>
  <c r="H56" i="10"/>
  <c r="E43" i="10"/>
  <c r="F43" i="10"/>
  <c r="G43" i="10"/>
  <c r="G56" i="10"/>
  <c r="I56" i="10"/>
  <c r="J56" i="10"/>
  <c r="K56" i="10"/>
  <c r="K13" i="10"/>
  <c r="G18" i="11"/>
  <c r="P21" i="7"/>
  <c r="P20" i="7"/>
  <c r="P19" i="7"/>
  <c r="P17" i="7"/>
  <c r="P15" i="7"/>
  <c r="P13" i="7"/>
  <c r="P12" i="7"/>
  <c r="D11" i="8"/>
  <c r="D12" i="8"/>
  <c r="D13" i="8"/>
  <c r="D15" i="8"/>
  <c r="D16" i="8"/>
  <c r="G16" i="8"/>
  <c r="H16" i="8"/>
  <c r="P10" i="7"/>
  <c r="P11" i="7"/>
  <c r="P9" i="7"/>
  <c r="O24" i="7"/>
  <c r="O21" i="7"/>
  <c r="O20" i="7"/>
  <c r="O19" i="7"/>
  <c r="O17" i="7"/>
  <c r="O15" i="7"/>
  <c r="O13" i="7"/>
  <c r="O12" i="7"/>
  <c r="O10" i="7"/>
  <c r="O11" i="7"/>
  <c r="O9" i="7"/>
  <c r="N24" i="7"/>
  <c r="C56" i="10"/>
  <c r="C13" i="10"/>
  <c r="D56" i="10"/>
  <c r="D13" i="10"/>
  <c r="N21" i="7"/>
  <c r="N20" i="7"/>
  <c r="D13" i="4"/>
  <c r="N19" i="7"/>
  <c r="N17" i="7"/>
  <c r="F17" i="5"/>
  <c r="N15" i="7"/>
  <c r="N13" i="7"/>
  <c r="B12" i="3"/>
  <c r="B16" i="3"/>
  <c r="C12" i="3"/>
  <c r="C16" i="3"/>
  <c r="N12" i="7"/>
  <c r="C16" i="8"/>
  <c r="N10" i="7"/>
  <c r="N11" i="7"/>
  <c r="N9" i="7"/>
  <c r="N7" i="7"/>
  <c r="C25" i="9"/>
  <c r="B25" i="9"/>
  <c r="S21" i="10"/>
  <c r="D12" i="3"/>
  <c r="A12" i="3"/>
  <c r="S21" i="2"/>
  <c r="B16" i="8"/>
  <c r="Q21" i="2"/>
  <c r="R21" i="2"/>
  <c r="C17" i="5"/>
  <c r="B58" i="10"/>
  <c r="H58" i="10"/>
  <c r="E41" i="10"/>
  <c r="F41" i="10"/>
  <c r="G41" i="10"/>
  <c r="E42" i="10"/>
  <c r="F42" i="10"/>
  <c r="G42" i="10"/>
  <c r="E44" i="10"/>
  <c r="F44" i="10"/>
  <c r="G44" i="10"/>
  <c r="E38" i="10"/>
  <c r="F38" i="10"/>
  <c r="G38" i="10"/>
  <c r="E39" i="10"/>
  <c r="F39" i="10"/>
  <c r="G39" i="10"/>
  <c r="E40" i="10"/>
  <c r="F40" i="10"/>
  <c r="G40" i="10"/>
  <c r="E45" i="10"/>
  <c r="F45" i="10"/>
  <c r="G45" i="10"/>
  <c r="E46" i="10"/>
  <c r="F46" i="10"/>
  <c r="G46" i="10"/>
  <c r="E47" i="10"/>
  <c r="F47" i="10"/>
  <c r="G47" i="10"/>
  <c r="E48" i="10"/>
  <c r="F48" i="10"/>
  <c r="G48" i="10"/>
  <c r="E49" i="10"/>
  <c r="F49" i="10"/>
  <c r="G49" i="10"/>
  <c r="E50" i="10"/>
  <c r="F50" i="10"/>
  <c r="G50" i="10"/>
  <c r="E51" i="10"/>
  <c r="F51" i="10"/>
  <c r="G51" i="10"/>
  <c r="E52" i="10"/>
  <c r="F52" i="10"/>
  <c r="G52" i="10"/>
  <c r="E53" i="10"/>
  <c r="F53" i="10"/>
  <c r="G53" i="10"/>
  <c r="E54" i="10"/>
  <c r="F54" i="10"/>
  <c r="G54" i="10"/>
  <c r="G58" i="10"/>
  <c r="I58" i="10"/>
  <c r="J58" i="10"/>
  <c r="K58" i="10"/>
  <c r="C58" i="10"/>
  <c r="D58" i="10"/>
  <c r="B57" i="10"/>
  <c r="H57" i="10"/>
  <c r="G57" i="10"/>
  <c r="I57" i="10"/>
  <c r="J57" i="10"/>
  <c r="K57" i="10"/>
  <c r="C57" i="10"/>
  <c r="D57" i="10"/>
  <c r="R21" i="10"/>
  <c r="I41" i="2"/>
  <c r="J41" i="2"/>
  <c r="K41" i="2"/>
  <c r="C41" i="2"/>
  <c r="A10" i="9"/>
  <c r="E56" i="10"/>
  <c r="E13" i="10"/>
  <c r="F56" i="10"/>
  <c r="F13" i="10"/>
  <c r="G13" i="10"/>
  <c r="H13" i="10"/>
  <c r="I13" i="10"/>
  <c r="J13" i="10"/>
  <c r="L56" i="10"/>
  <c r="L13" i="10"/>
  <c r="M13" i="10"/>
  <c r="E57" i="10"/>
  <c r="F57" i="10"/>
  <c r="L57" i="10"/>
  <c r="E58" i="10"/>
  <c r="F58" i="10"/>
  <c r="L58" i="10"/>
  <c r="J18" i="11"/>
  <c r="O10" i="11"/>
  <c r="O11" i="11"/>
  <c r="O12" i="11"/>
  <c r="O13" i="11"/>
  <c r="O14" i="11"/>
  <c r="O15" i="11"/>
  <c r="O16" i="11"/>
  <c r="O17" i="11"/>
  <c r="K8" i="11"/>
  <c r="A13" i="10"/>
  <c r="P13" i="10"/>
  <c r="P10" i="4"/>
  <c r="K10" i="4"/>
  <c r="L10" i="4"/>
  <c r="N10" i="4"/>
  <c r="O10" i="4"/>
  <c r="A10" i="4"/>
  <c r="O64" i="5"/>
  <c r="O17" i="5"/>
  <c r="D17" i="5"/>
  <c r="G17" i="5"/>
  <c r="H17" i="5"/>
  <c r="B17" i="5"/>
  <c r="D41" i="2"/>
  <c r="E41" i="2"/>
  <c r="F41" i="2"/>
  <c r="G41" i="2"/>
  <c r="B41" i="2"/>
  <c r="H41" i="2"/>
  <c r="L41" i="2"/>
  <c r="A13" i="2"/>
  <c r="J16" i="8"/>
  <c r="L37" i="1"/>
  <c r="B55" i="10"/>
  <c r="H55" i="10"/>
  <c r="G55" i="10"/>
  <c r="I55" i="10"/>
  <c r="K55" i="10"/>
  <c r="L55" i="10"/>
  <c r="F55" i="10"/>
  <c r="E55" i="10"/>
  <c r="D55" i="10"/>
  <c r="C55" i="10"/>
  <c r="G39" i="2"/>
  <c r="F39" i="2"/>
  <c r="E39" i="2"/>
  <c r="D39" i="2"/>
  <c r="C39" i="2"/>
  <c r="I16" i="8"/>
  <c r="K16" i="8"/>
  <c r="D37" i="1"/>
  <c r="D16" i="1"/>
  <c r="E37" i="1"/>
  <c r="E16" i="1"/>
  <c r="F16" i="1"/>
  <c r="G16" i="1"/>
  <c r="H16" i="1"/>
  <c r="I16" i="1"/>
  <c r="K37" i="1"/>
  <c r="K16" i="1"/>
  <c r="L16" i="1"/>
  <c r="M37" i="1"/>
  <c r="M16" i="1"/>
  <c r="B39" i="2"/>
  <c r="H39" i="2"/>
  <c r="I39" i="2"/>
  <c r="K39" i="2"/>
  <c r="L39" i="2"/>
  <c r="D16" i="3"/>
  <c r="D19" i="5"/>
  <c r="O8" i="11"/>
  <c r="O9" i="11"/>
  <c r="O18" i="11"/>
  <c r="I18" i="11"/>
  <c r="Q18" i="11"/>
  <c r="K18" i="11"/>
  <c r="L18" i="11"/>
  <c r="P13" i="4"/>
  <c r="O13" i="4"/>
  <c r="N13" i="4"/>
  <c r="L13" i="4"/>
  <c r="K13" i="4"/>
  <c r="H13" i="4"/>
  <c r="I13" i="4"/>
  <c r="F13" i="4"/>
  <c r="C13" i="4"/>
  <c r="E13" i="4"/>
  <c r="B13" i="4"/>
</calcChain>
</file>

<file path=xl/comments1.xml><?xml version="1.0" encoding="utf-8"?>
<comments xmlns="http://schemas.openxmlformats.org/spreadsheetml/2006/main">
  <authors>
    <author>Danielle Ludeman</author>
    <author>Gitai Yahel</author>
  </authors>
  <commentList>
    <comment ref="D15" authorId="0">
      <text>
        <r>
          <rPr>
            <b/>
            <sz val="9"/>
            <color indexed="81"/>
            <rFont val="Calibri"/>
            <family val="2"/>
          </rPr>
          <t>Danielle Ludeman:</t>
        </r>
        <r>
          <rPr>
            <sz val="9"/>
            <color indexed="81"/>
            <rFont val="Calibri"/>
            <family val="2"/>
          </rPr>
          <t xml:space="preserve">
Determine the wall thickness of the cube to be used in the measurements. For example, in Callyspongia the wall thickness is 3mm, therefore the cube dimensions are 3mm x 5.77mm x 5.77mm, and the surface area of the cube is 100mm^3/3mm= 33.33mm^2</t>
        </r>
      </text>
    </comment>
    <comment ref="E15" authorId="1">
      <text>
        <r>
          <rPr>
            <b/>
            <sz val="9"/>
            <color indexed="81"/>
            <rFont val="Tahoma"/>
            <family val="2"/>
          </rPr>
          <t>Danielle:</t>
        </r>
        <r>
          <rPr>
            <sz val="9"/>
            <color indexed="81"/>
            <rFont val="Tahoma"/>
            <family val="2"/>
          </rPr>
          <t xml:space="preserve">
Seawater at 30 psu, 12 degC</t>
        </r>
      </text>
    </comment>
    <comment ref="F15" authorId="1">
      <text>
        <r>
          <rPr>
            <b/>
            <sz val="9"/>
            <color indexed="81"/>
            <rFont val="Tahoma"/>
            <family val="2"/>
          </rPr>
          <t>Danielle:</t>
        </r>
        <r>
          <rPr>
            <sz val="9"/>
            <color indexed="81"/>
            <rFont val="Tahoma"/>
            <family val="2"/>
          </rPr>
          <t xml:space="preserve">
Seawater at 30 psu, 12 degC</t>
        </r>
      </text>
    </comment>
    <comment ref="H15" authorId="0">
      <text>
        <r>
          <rPr>
            <b/>
            <sz val="9"/>
            <color indexed="81"/>
            <rFont val="Calibri"/>
            <family val="2"/>
          </rPr>
          <t>Danielle Ludeman:</t>
        </r>
        <r>
          <rPr>
            <sz val="9"/>
            <color indexed="81"/>
            <rFont val="Calibri"/>
            <family val="2"/>
          </rPr>
          <t xml:space="preserve">
For seawater at 12 degrees
</t>
        </r>
      </text>
    </comment>
    <comment ref="I16" authorId="1">
      <text>
        <r>
          <rPr>
            <b/>
            <sz val="9"/>
            <color indexed="81"/>
            <rFont val="Tahoma"/>
            <family val="2"/>
          </rPr>
          <t>Gitai Yahel:</t>
        </r>
        <r>
          <rPr>
            <sz val="9"/>
            <color indexed="81"/>
            <rFont val="Tahoma"/>
            <family val="2"/>
          </rPr>
          <t xml:space="preserve">
From inactive sponge in figures 5D. We amy change this number later</t>
        </r>
      </text>
    </comment>
    <comment ref="K22" authorId="0">
      <text>
        <r>
          <rPr>
            <b/>
            <sz val="9"/>
            <color indexed="81"/>
            <rFont val="Calibri"/>
            <family val="2"/>
          </rPr>
          <t>Danielle Ludeman:</t>
        </r>
        <r>
          <rPr>
            <sz val="9"/>
            <color indexed="81"/>
            <rFont val="Calibri"/>
            <family val="2"/>
          </rPr>
          <t xml:space="preserve">
Using equation by Reiswig 1975
</t>
        </r>
      </text>
    </comment>
    <comment ref="D32" authorId="0">
      <text>
        <r>
          <rPr>
            <b/>
            <sz val="9"/>
            <color indexed="81"/>
            <rFont val="Calibri"/>
            <family val="2"/>
          </rPr>
          <t>Danielle Ludeman:</t>
        </r>
        <r>
          <rPr>
            <sz val="9"/>
            <color indexed="81"/>
            <rFont val="Calibri"/>
            <family val="2"/>
          </rPr>
          <t xml:space="preserve">
Path length is diameter in chambers
</t>
        </r>
      </text>
    </comment>
    <comment ref="K37" authorId="0">
      <text>
        <r>
          <rPr>
            <b/>
            <sz val="9"/>
            <color indexed="81"/>
            <rFont val="Calibri"/>
            <family val="2"/>
          </rPr>
          <t>Danielle Ludeman:</t>
        </r>
        <r>
          <rPr>
            <sz val="9"/>
            <color indexed="81"/>
            <rFont val="Calibri"/>
            <family val="2"/>
          </rPr>
          <t xml:space="preserve">
Effective oscular plane is 58% of velocity as per Reiswig 1975</t>
        </r>
      </text>
    </comment>
  </commentList>
</comments>
</file>

<file path=xl/comments2.xml><?xml version="1.0" encoding="utf-8"?>
<comments xmlns="http://schemas.openxmlformats.org/spreadsheetml/2006/main">
  <authors>
    <author>Danielle Ludeman</author>
  </authors>
  <commentList>
    <comment ref="L15" authorId="0">
      <text>
        <r>
          <rPr>
            <b/>
            <sz val="9"/>
            <color indexed="81"/>
            <rFont val="Calibri"/>
            <family val="2"/>
          </rPr>
          <t>Danielle Ludeman:</t>
        </r>
        <r>
          <rPr>
            <sz val="9"/>
            <color indexed="81"/>
            <rFont val="Calibri"/>
            <family val="2"/>
          </rPr>
          <t xml:space="preserve">
For now will use the dimensions in Leys et al: 4.5 x 4.5 x 5.0 mm.  Therefore for area of ostia, multiple by 20.25 (4.5x4.5)
  </t>
        </r>
      </text>
    </comment>
    <comment ref="L29" authorId="0">
      <text>
        <r>
          <rPr>
            <b/>
            <sz val="9"/>
            <color indexed="81"/>
            <rFont val="Calibri"/>
            <family val="2"/>
          </rPr>
          <t>Danielle Ludeman:</t>
        </r>
        <r>
          <rPr>
            <sz val="9"/>
            <color indexed="81"/>
            <rFont val="Calibri"/>
            <family val="2"/>
          </rPr>
          <t xml:space="preserve">
For now will use the dimensions in Leys et al: 4.5 x 4.5 x 5.0 mm.  Therefore for area of ostia, multiple by 20.25 (4.5x4.5)
  </t>
        </r>
      </text>
    </comment>
    <comment ref="L40" authorId="0">
      <text>
        <r>
          <rPr>
            <b/>
            <sz val="9"/>
            <color indexed="81"/>
            <rFont val="Calibri"/>
            <family val="2"/>
          </rPr>
          <t>Danielle Ludeman:</t>
        </r>
        <r>
          <rPr>
            <sz val="9"/>
            <color indexed="81"/>
            <rFont val="Calibri"/>
            <family val="2"/>
          </rPr>
          <t xml:space="preserve">
For now will use the dimensions in Leys et al: 4.5 x 4.5 x 5.0 mm.  Therefore for area of ostia, multiple by 20.25 (4.5x4.5)
  </t>
        </r>
      </text>
    </comment>
    <comment ref="L50" authorId="0">
      <text>
        <r>
          <rPr>
            <b/>
            <sz val="9"/>
            <color indexed="81"/>
            <rFont val="Calibri"/>
            <family val="2"/>
          </rPr>
          <t>Danielle Ludeman:</t>
        </r>
        <r>
          <rPr>
            <sz val="9"/>
            <color indexed="81"/>
            <rFont val="Calibri"/>
            <family val="2"/>
          </rPr>
          <t xml:space="preserve">
For now will use the dimensions in Leys et al: 4.5 x 4.5 x 5.0 mm.  Therefore for area of ostia, multiple by 20.25 (4.5x4.5)
  </t>
        </r>
      </text>
    </comment>
  </commentList>
</comments>
</file>

<file path=xl/comments3.xml><?xml version="1.0" encoding="utf-8"?>
<comments xmlns="http://schemas.openxmlformats.org/spreadsheetml/2006/main">
  <authors>
    <author>Sally</author>
  </authors>
  <commentList>
    <comment ref="B10" authorId="0">
      <text>
        <r>
          <rPr>
            <b/>
            <sz val="9"/>
            <color indexed="81"/>
            <rFont val="Tahoma"/>
            <family val="2"/>
          </rPr>
          <t>Sally:</t>
        </r>
        <r>
          <rPr>
            <sz val="9"/>
            <color indexed="81"/>
            <rFont val="Tahoma"/>
            <family val="2"/>
          </rPr>
          <t xml:space="preserve">
(dist from dermal membrane to incurrent canal)</t>
        </r>
      </text>
    </comment>
    <comment ref="H10" authorId="0">
      <text>
        <r>
          <rPr>
            <b/>
            <sz val="9"/>
            <color indexed="81"/>
            <rFont val="Tahoma"/>
            <family val="2"/>
          </rPr>
          <t>Sally:</t>
        </r>
        <r>
          <rPr>
            <sz val="9"/>
            <color indexed="81"/>
            <rFont val="Tahoma"/>
            <family val="2"/>
          </rPr>
          <t xml:space="preserve">
this is in 1mm^2</t>
        </r>
      </text>
    </comment>
    <comment ref="J10" authorId="0">
      <text>
        <r>
          <rPr>
            <b/>
            <sz val="9"/>
            <color indexed="81"/>
            <rFont val="Tahoma"/>
            <family val="2"/>
          </rPr>
          <t>Sally:</t>
        </r>
        <r>
          <rPr>
            <sz val="9"/>
            <color indexed="81"/>
            <rFont val="Tahoma"/>
            <family val="2"/>
          </rPr>
          <t xml:space="preserve">
this is in 20.25mm^2</t>
        </r>
      </text>
    </comment>
    <comment ref="K10" authorId="0">
      <text>
        <r>
          <rPr>
            <b/>
            <sz val="9"/>
            <color indexed="81"/>
            <rFont val="Tahoma"/>
            <family val="2"/>
          </rPr>
          <t>Sally:</t>
        </r>
        <r>
          <rPr>
            <sz val="9"/>
            <color indexed="81"/>
            <rFont val="Tahoma"/>
            <family val="2"/>
          </rPr>
          <t xml:space="preserve">
this is in effect in 1mm^2</t>
        </r>
      </text>
    </comment>
    <comment ref="B19" authorId="0">
      <text>
        <r>
          <rPr>
            <b/>
            <sz val="9"/>
            <color indexed="81"/>
            <rFont val="Tahoma"/>
            <family val="2"/>
          </rPr>
          <t>Sally:</t>
        </r>
        <r>
          <rPr>
            <sz val="9"/>
            <color indexed="81"/>
            <rFont val="Tahoma"/>
            <family val="2"/>
          </rPr>
          <t xml:space="preserve">
(dist from dermal membrane to incurrent canal)</t>
        </r>
      </text>
    </comment>
    <comment ref="H19" authorId="0">
      <text>
        <r>
          <rPr>
            <b/>
            <sz val="9"/>
            <color indexed="81"/>
            <rFont val="Tahoma"/>
            <family val="2"/>
          </rPr>
          <t>Sally:</t>
        </r>
        <r>
          <rPr>
            <sz val="9"/>
            <color indexed="81"/>
            <rFont val="Tahoma"/>
            <family val="2"/>
          </rPr>
          <t xml:space="preserve">
this is in 1mm^2</t>
        </r>
      </text>
    </comment>
    <comment ref="J19" authorId="0">
      <text>
        <r>
          <rPr>
            <b/>
            <sz val="9"/>
            <color indexed="81"/>
            <rFont val="Tahoma"/>
            <family val="2"/>
          </rPr>
          <t>Sally:</t>
        </r>
        <r>
          <rPr>
            <sz val="9"/>
            <color indexed="81"/>
            <rFont val="Tahoma"/>
            <family val="2"/>
          </rPr>
          <t xml:space="preserve">
this is in 20.25mm^2</t>
        </r>
      </text>
    </comment>
    <comment ref="K19" authorId="0">
      <text>
        <r>
          <rPr>
            <b/>
            <sz val="9"/>
            <color indexed="81"/>
            <rFont val="Tahoma"/>
            <family val="2"/>
          </rPr>
          <t>Sally:</t>
        </r>
        <r>
          <rPr>
            <sz val="9"/>
            <color indexed="81"/>
            <rFont val="Tahoma"/>
            <family val="2"/>
          </rPr>
          <t xml:space="preserve">
this is in effect in 1mm^2</t>
        </r>
      </text>
    </comment>
  </commentList>
</comments>
</file>

<file path=xl/comments4.xml><?xml version="1.0" encoding="utf-8"?>
<comments xmlns="http://schemas.openxmlformats.org/spreadsheetml/2006/main">
  <authors>
    <author>Danielle Ludeman</author>
  </authors>
  <commentList>
    <comment ref="S21" authorId="0">
      <text>
        <r>
          <rPr>
            <b/>
            <sz val="9"/>
            <color indexed="81"/>
            <rFont val="Calibri"/>
            <family val="2"/>
          </rPr>
          <t>Danielle Ludeman:</t>
        </r>
        <r>
          <rPr>
            <sz val="9"/>
            <color indexed="81"/>
            <rFont val="Calibri"/>
            <family val="2"/>
          </rPr>
          <t xml:space="preserve">
Small excurrent canals are more like apertures that open right up into the lacunar spaces
</t>
        </r>
      </text>
    </comment>
    <comment ref="M28" authorId="0">
      <text>
        <r>
          <rPr>
            <b/>
            <sz val="9"/>
            <color indexed="81"/>
            <rFont val="Calibri"/>
            <family val="2"/>
          </rPr>
          <t>Danielle Ludeman:</t>
        </r>
        <r>
          <rPr>
            <sz val="9"/>
            <color indexed="81"/>
            <rFont val="Calibri"/>
            <family val="2"/>
          </rPr>
          <t xml:space="preserve">
Cv-bw-22 overestimates the percent of canals but including in the analysis anyways because the other images greatly underestimate (most I cannot see the smallest incurent enough to measure</t>
        </r>
      </text>
    </comment>
    <comment ref="J39" authorId="0">
      <text>
        <r>
          <rPr>
            <b/>
            <sz val="9"/>
            <color indexed="81"/>
            <rFont val="Calibri"/>
            <family val="2"/>
          </rPr>
          <t>Danielle Ludeman:</t>
        </r>
        <r>
          <rPr>
            <sz val="9"/>
            <color indexed="81"/>
            <rFont val="Calibri"/>
            <family val="2"/>
          </rPr>
          <t xml:space="preserve">
Only a portion calculated since most of the canals cannot tell if they are incurrent or excurrent so not using them in analysis</t>
        </r>
      </text>
    </comment>
    <comment ref="I41" authorId="0">
      <text>
        <r>
          <rPr>
            <b/>
            <sz val="9"/>
            <color indexed="81"/>
            <rFont val="Calibri"/>
            <family val="2"/>
          </rPr>
          <t>Danielle Ludeman:</t>
        </r>
        <r>
          <rPr>
            <sz val="9"/>
            <color indexed="81"/>
            <rFont val="Calibri"/>
            <family val="2"/>
          </rPr>
          <t xml:space="preserve">
To account for canals running along the image</t>
        </r>
      </text>
    </comment>
  </commentList>
</comments>
</file>

<file path=xl/comments5.xml><?xml version="1.0" encoding="utf-8"?>
<comments xmlns="http://schemas.openxmlformats.org/spreadsheetml/2006/main">
  <authors>
    <author>Danielle Ludeman</author>
  </authors>
  <commentList>
    <comment ref="I17" authorId="0">
      <text>
        <r>
          <rPr>
            <b/>
            <sz val="9"/>
            <color indexed="81"/>
            <rFont val="Calibri"/>
            <family val="2"/>
          </rPr>
          <t>Danielle Ludeman:</t>
        </r>
        <r>
          <rPr>
            <sz val="9"/>
            <color indexed="81"/>
            <rFont val="Calibri"/>
            <family val="2"/>
          </rPr>
          <t xml:space="preserve">
Approximation based on counts of partial chambers</t>
        </r>
      </text>
    </comment>
    <comment ref="B23" authorId="0">
      <text>
        <r>
          <rPr>
            <b/>
            <sz val="9"/>
            <color indexed="81"/>
            <rFont val="Calibri"/>
            <family val="2"/>
          </rPr>
          <t>Danielle Ludeman:</t>
        </r>
        <r>
          <rPr>
            <sz val="9"/>
            <color indexed="81"/>
            <rFont val="Calibri"/>
            <family val="2"/>
          </rPr>
          <t xml:space="preserve">
Calculated from Hal-cho-RR-06</t>
        </r>
      </text>
    </comment>
    <comment ref="C23" authorId="0">
      <text>
        <r>
          <rPr>
            <b/>
            <sz val="9"/>
            <color indexed="81"/>
            <rFont val="Calibri"/>
            <family val="2"/>
          </rPr>
          <t>Danielle Ludeman:</t>
        </r>
        <r>
          <rPr>
            <sz val="9"/>
            <color indexed="81"/>
            <rFont val="Calibri"/>
            <family val="2"/>
          </rPr>
          <t xml:space="preserve">
Calculated from Hal-cho-RR-06</t>
        </r>
      </text>
    </comment>
  </commentList>
</comments>
</file>

<file path=xl/comments6.xml><?xml version="1.0" encoding="utf-8"?>
<comments xmlns="http://schemas.openxmlformats.org/spreadsheetml/2006/main">
  <authors>
    <author>Sally</author>
    <author>Danielle Ludeman</author>
  </authors>
  <commentList>
    <comment ref="F9" authorId="0">
      <text>
        <r>
          <rPr>
            <b/>
            <sz val="9"/>
            <color indexed="81"/>
            <rFont val="Tahoma"/>
            <family val="2"/>
          </rPr>
          <t xml:space="preserve">Danielle:
</t>
        </r>
        <r>
          <rPr>
            <sz val="9"/>
            <color indexed="81"/>
            <rFont val="Tahoma"/>
            <family val="2"/>
          </rPr>
          <t xml:space="preserve">the average chamber diameter is 23um and the proportion of the sponge that is choanosome is 75%
</t>
        </r>
      </text>
    </comment>
    <comment ref="O9" authorId="1">
      <text>
        <r>
          <rPr>
            <b/>
            <sz val="9"/>
            <color indexed="81"/>
            <rFont val="Calibri"/>
            <family val="2"/>
          </rPr>
          <t>Danielle Ludeman:</t>
        </r>
        <r>
          <rPr>
            <sz val="9"/>
            <color indexed="81"/>
            <rFont val="Calibri"/>
            <family val="2"/>
          </rPr>
          <t xml:space="preserve">
1mm^3 = 1,000,000,000 um^3</t>
        </r>
      </text>
    </comment>
  </commentList>
</comments>
</file>

<file path=xl/comments7.xml><?xml version="1.0" encoding="utf-8"?>
<comments xmlns="http://schemas.openxmlformats.org/spreadsheetml/2006/main">
  <authors>
    <author>Danielle Ludeman</author>
  </authors>
  <commentList>
    <comment ref="J55" authorId="0">
      <text>
        <r>
          <rPr>
            <b/>
            <sz val="9"/>
            <color indexed="81"/>
            <rFont val="Calibri"/>
            <family val="2"/>
          </rPr>
          <t>Danielle Ludeman:</t>
        </r>
        <r>
          <rPr>
            <sz val="9"/>
            <color indexed="81"/>
            <rFont val="Calibri"/>
            <family val="2"/>
          </rPr>
          <t xml:space="preserve">
Only using a portion to calculate area since only analyzed a portion of the canals (the ones I could tell were incurrent or excurrent)
</t>
        </r>
      </text>
    </comment>
  </commentList>
</comments>
</file>

<file path=xl/comments8.xml><?xml version="1.0" encoding="utf-8"?>
<comments xmlns="http://schemas.openxmlformats.org/spreadsheetml/2006/main">
  <authors>
    <author>Danielle Ludeman</author>
  </authors>
  <commentList>
    <comment ref="B21" authorId="0">
      <text>
        <r>
          <rPr>
            <b/>
            <sz val="9"/>
            <color indexed="81"/>
            <rFont val="Calibri"/>
            <family val="2"/>
          </rPr>
          <t>Danielle Ludeman:</t>
        </r>
        <r>
          <rPr>
            <sz val="9"/>
            <color indexed="81"/>
            <rFont val="Calibri"/>
            <family val="2"/>
          </rPr>
          <t xml:space="preserve">
calculated from image
Hm-osc5-P1060615
</t>
        </r>
      </text>
    </comment>
  </commentList>
</comments>
</file>

<file path=xl/comments9.xml><?xml version="1.0" encoding="utf-8"?>
<comments xmlns="http://schemas.openxmlformats.org/spreadsheetml/2006/main">
  <authors>
    <author>Danielle Ludeman</author>
  </authors>
  <commentList>
    <comment ref="B7" authorId="0">
      <text>
        <r>
          <rPr>
            <b/>
            <sz val="9"/>
            <color indexed="81"/>
            <rFont val="Calibri"/>
            <family val="2"/>
          </rPr>
          <t>Danielle Ludeman:</t>
        </r>
        <r>
          <rPr>
            <sz val="9"/>
            <color indexed="81"/>
            <rFont val="Calibri"/>
            <family val="2"/>
          </rPr>
          <t xml:space="preserve">
From Reiswig (1975)
</t>
        </r>
      </text>
    </comment>
    <comment ref="E7" authorId="0">
      <text>
        <r>
          <rPr>
            <b/>
            <sz val="9"/>
            <color indexed="81"/>
            <rFont val="Calibri"/>
            <family val="2"/>
          </rPr>
          <t>Danielle Ludeman:</t>
        </r>
        <r>
          <rPr>
            <sz val="9"/>
            <color indexed="81"/>
            <rFont val="Calibri"/>
            <family val="2"/>
          </rPr>
          <t xml:space="preserve">
From Leys (2011)
</t>
        </r>
      </text>
    </comment>
    <comment ref="H7" authorId="0">
      <text>
        <r>
          <rPr>
            <b/>
            <sz val="9"/>
            <color indexed="81"/>
            <rFont val="Calibri"/>
            <family val="2"/>
          </rPr>
          <t>Danielle Ludeman:</t>
        </r>
        <r>
          <rPr>
            <sz val="9"/>
            <color indexed="81"/>
            <rFont val="Calibri"/>
            <family val="2"/>
          </rPr>
          <t xml:space="preserve">
Not yet complete - just tentative numbers
</t>
        </r>
      </text>
    </comment>
    <comment ref="K7" authorId="0">
      <text>
        <r>
          <rPr>
            <b/>
            <sz val="9"/>
            <color indexed="81"/>
            <rFont val="Calibri"/>
            <family val="2"/>
          </rPr>
          <t>Danielle Ludeman:</t>
        </r>
        <r>
          <rPr>
            <sz val="9"/>
            <color indexed="81"/>
            <rFont val="Calibri"/>
            <family val="2"/>
          </rPr>
          <t xml:space="preserve">
Not yet complete - just tentative numbers</t>
        </r>
      </text>
    </comment>
  </commentList>
</comments>
</file>

<file path=xl/sharedStrings.xml><?xml version="1.0" encoding="utf-8"?>
<sst xmlns="http://schemas.openxmlformats.org/spreadsheetml/2006/main" count="640" uniqueCount="342">
  <si>
    <t>OSTIA</t>
  </si>
  <si>
    <t xml:space="preserve">method: </t>
  </si>
  <si>
    <t>total area of the image was also calculated, to get area of oscula in 1mm^2, and % ostia in 1mm^2</t>
  </si>
  <si>
    <t>Summary:</t>
  </si>
  <si>
    <t>Image</t>
  </si>
  <si>
    <t>diameter</t>
  </si>
  <si>
    <t>area (pi r^2)</t>
  </si>
  <si>
    <t>#ostia (count)</t>
  </si>
  <si>
    <t>area of image</t>
  </si>
  <si>
    <t>% of ostia in 1mm^2</t>
  </si>
  <si>
    <t>radius (d/2)</t>
  </si>
  <si>
    <t>area of ostia in 1mm^2</t>
  </si>
  <si>
    <t>Ostia</t>
  </si>
  <si>
    <t>area of ostia(um^2)</t>
  </si>
  <si>
    <t>area of image (um^2)</t>
  </si>
  <si>
    <t>INCURRENT CANALS</t>
  </si>
  <si>
    <t>method:</t>
  </si>
  <si>
    <t>Summary</t>
  </si>
  <si>
    <t>Image #</t>
  </si>
  <si>
    <t>diameter (um)</t>
  </si>
  <si>
    <t>radius</t>
  </si>
  <si>
    <t>#canals</t>
  </si>
  <si>
    <t xml:space="preserve">area of canals </t>
  </si>
  <si>
    <t>area of canals in 1mm^3</t>
  </si>
  <si>
    <t>percent of canals</t>
  </si>
  <si>
    <t>Medium</t>
  </si>
  <si>
    <t>Small</t>
  </si>
  <si>
    <t>PROSOPYLES</t>
  </si>
  <si>
    <t>COLLARS</t>
  </si>
  <si>
    <t>#microvilli per collar</t>
  </si>
  <si>
    <t>collar microvilli diameter (um)</t>
  </si>
  <si>
    <t>collar slit width (um)</t>
  </si>
  <si>
    <t>height of collar (to gasket)</t>
  </si>
  <si>
    <t xml:space="preserve">area between the collar mv </t>
  </si>
  <si>
    <t>XS area of collar slits for one collar (um^2)</t>
  </si>
  <si>
    <t>xs area of collar slits per chamber (um^2)</t>
  </si>
  <si>
    <t># chambers per 1mm3</t>
  </si>
  <si>
    <t>xs area per 1mm^3</t>
  </si>
  <si>
    <t>xs area of collar slits per 1mm^3</t>
  </si>
  <si>
    <t># collars per chamber</t>
  </si>
  <si>
    <t>diameter of collar (um)</t>
  </si>
  <si>
    <t>distance between collars (um)</t>
  </si>
  <si>
    <t>Diameter (um)</t>
  </si>
  <si>
    <t>Prosopyles</t>
  </si>
  <si>
    <t>Osculum</t>
  </si>
  <si>
    <t>Sponge region name from summary sheet</t>
  </si>
  <si>
    <t>4.5 (20.6) 44</t>
  </si>
  <si>
    <t>50-340</t>
  </si>
  <si>
    <t>1 to 5</t>
  </si>
  <si>
    <t>xs area in 1ul piece (mm^2)</t>
  </si>
  <si>
    <t>Haliclona permollis</t>
  </si>
  <si>
    <t>Aphrocallistes vastus</t>
  </si>
  <si>
    <t># of cham per image area</t>
  </si>
  <si>
    <t>average chamber diameter</t>
  </si>
  <si>
    <t>chamber radius (um)</t>
  </si>
  <si>
    <t>xs area of a chamber (pi(r^2))</t>
  </si>
  <si>
    <t>XS area of all chambers in 1mm^3 (mm^2)</t>
  </si>
  <si>
    <t>xs area of chambers (um^2) in each image</t>
  </si>
  <si>
    <t>percent xs cover of chambers in the choanosome/image</t>
  </si>
  <si>
    <t>surface area of a chamber (um^2)</t>
  </si>
  <si>
    <t>chamber volume (um^3)</t>
  </si>
  <si>
    <t>chamber volume (mm^3)</t>
  </si>
  <si>
    <t>chamber #</t>
  </si>
  <si>
    <t>chamber diameter</t>
  </si>
  <si>
    <t>Subdermal space</t>
  </si>
  <si>
    <t>Large incurrent canal</t>
  </si>
  <si>
    <t xml:space="preserve">Prosopyles </t>
  </si>
  <si>
    <t>Pre-collar space</t>
  </si>
  <si>
    <t>Glycocalyx mesh pores</t>
  </si>
  <si>
    <t>Collar slit</t>
  </si>
  <si>
    <t>Post-collar space</t>
  </si>
  <si>
    <t xml:space="preserve">Collar apertures </t>
  </si>
  <si>
    <t xml:space="preserve">Chamber </t>
  </si>
  <si>
    <t>Apopyle</t>
  </si>
  <si>
    <t>Large excurrent canals</t>
  </si>
  <si>
    <t>Subatrial space</t>
  </si>
  <si>
    <t>Atrial cavity</t>
  </si>
  <si>
    <t>diameter2</t>
  </si>
  <si>
    <t>radius2 (d/2)</t>
  </si>
  <si>
    <t>Total</t>
  </si>
  <si>
    <t>Length (taken from Leys et al)</t>
  </si>
  <si>
    <t>0.5 um</t>
  </si>
  <si>
    <t>Path Lengths</t>
  </si>
  <si>
    <t>Large</t>
  </si>
  <si>
    <t>diameter2 (um)</t>
  </si>
  <si>
    <t>radius2</t>
  </si>
  <si>
    <t>area of ostia in 1mm^3</t>
  </si>
  <si>
    <t>% of ostia in 1mm^3</t>
  </si>
  <si>
    <t>SUBDERMAL SPACE (SDS)</t>
  </si>
  <si>
    <t>Summary SDS</t>
  </si>
  <si>
    <t>height (path length; um)</t>
  </si>
  <si>
    <t>SDS</t>
  </si>
  <si>
    <t>inner subdermal space</t>
  </si>
  <si>
    <t>height  (um)</t>
  </si>
  <si>
    <t>length (um)</t>
  </si>
  <si>
    <t>area of one space (um2)</t>
  </si>
  <si>
    <t>area of all spaces (um2)</t>
  </si>
  <si>
    <t xml:space="preserve">area of spaces in 1 mm^3 </t>
  </si>
  <si>
    <t>% cover 1mm^2</t>
  </si>
  <si>
    <t>area in 100mm^3</t>
  </si>
  <si>
    <t>% cover in 1mm^3</t>
  </si>
  <si>
    <t>The region below the Dermal membrane is a space, called the Subdermal Space</t>
  </si>
  <si>
    <t>*** The height is the path length</t>
  </si>
  <si>
    <t>area of spaces in 1mm^3</t>
  </si>
  <si>
    <t>% cover in 1mm^2</t>
  </si>
  <si>
    <t>% cover in 100mm^3</t>
  </si>
  <si>
    <t>Average</t>
  </si>
  <si>
    <t>area of canals in 100mm^3</t>
  </si>
  <si>
    <t xml:space="preserve">Neopetrosia </t>
  </si>
  <si>
    <t>diameter 1 (um)</t>
  </si>
  <si>
    <t>diameter 2 (um)</t>
  </si>
  <si>
    <t>Area of one prosopyle (um)</t>
  </si>
  <si>
    <t>Incurrent canals</t>
  </si>
  <si>
    <t>Number of canals</t>
  </si>
  <si>
    <t>Large canals</t>
  </si>
  <si>
    <t>% prosopyle per area chamber</t>
  </si>
  <si>
    <t>#chambers/mm3</t>
  </si>
  <si>
    <t>SA of prosopyles/chamber</t>
  </si>
  <si>
    <t>SA of prosopyles in 1mm^3 (um^2)</t>
  </si>
  <si>
    <t>SA of prosopyles in mm^3 (mm^2)</t>
  </si>
  <si>
    <t>number of equivalent areas that fit in 1,000,000um^2</t>
  </si>
  <si>
    <t>Surface area of  chambers in 1mm^3 (mm^2)</t>
  </si>
  <si>
    <t>APOPYLES</t>
  </si>
  <si>
    <t>IMAGE NAME</t>
  </si>
  <si>
    <t>apopyle radius (um)</t>
  </si>
  <si>
    <t>apopyle area (um^2)</t>
  </si>
  <si>
    <t>xs area of apopyles in 1mm^3 (mm^2)</t>
  </si>
  <si>
    <t>Average diameter</t>
  </si>
  <si>
    <t>Apopyle - diameter1 (um)</t>
  </si>
  <si>
    <t>Apopyle - diameter2 (um)</t>
  </si>
  <si>
    <t>Method</t>
  </si>
  <si>
    <t>EXCURRENT CANALS</t>
  </si>
  <si>
    <t>diameter of all excurrent canals measured (classified as excurrent if you can see the apopyle in the canal</t>
  </si>
  <si>
    <t xml:space="preserve">Only going to capture the smallest excurrent with this method since I need to see the apopyles to know that it is excurrent </t>
  </si>
  <si>
    <t>None of the casts are clearly excurrent</t>
  </si>
  <si>
    <t>Excurrent canals</t>
  </si>
  <si>
    <t>small</t>
  </si>
  <si>
    <t>medium</t>
  </si>
  <si>
    <t>large</t>
  </si>
  <si>
    <t>height (mm)</t>
  </si>
  <si>
    <t>length (mm)</t>
  </si>
  <si>
    <t>area (um2)</t>
  </si>
  <si>
    <t>Velocity (cm/s)</t>
  </si>
  <si>
    <t>Velocity (mm/s)</t>
  </si>
  <si>
    <t>Volume Flow Rate (L/hr)</t>
  </si>
  <si>
    <t>area (cm2)</t>
  </si>
  <si>
    <t>radius (mm)</t>
  </si>
  <si>
    <t>Diameter (mm)</t>
  </si>
  <si>
    <t>radius (um)</t>
  </si>
  <si>
    <t>Sponge volume (mL)</t>
  </si>
  <si>
    <t>osculum area</t>
  </si>
  <si>
    <t>path length</t>
  </si>
  <si>
    <t>Velocity (m/s)</t>
  </si>
  <si>
    <t>Volume Flow rate (mL/s)</t>
  </si>
  <si>
    <t>Distance between centres of neighbouring cylinders</t>
  </si>
  <si>
    <t>Majority of ostia are medium-small and are probably just slightly contracted.  Will use the measurement from the large ostia for the diameter, and use the counts of all to estimate fraction of inhalent surface</t>
  </si>
  <si>
    <t>Area of apopyle in a chamber</t>
  </si>
  <si>
    <t>SA of a chamber</t>
  </si>
  <si>
    <t xml:space="preserve">** Assuming that half of the space that is not choanocyte or apopyle is prosopyle </t>
  </si>
  <si>
    <t>SA of chamber - apopyle</t>
  </si>
  <si>
    <t>estimated # spaces</t>
  </si>
  <si>
    <t>area along which spaces were counted (um2)</t>
  </si>
  <si>
    <t>Orange</t>
  </si>
  <si>
    <t>Red</t>
  </si>
  <si>
    <t>Purple</t>
  </si>
  <si>
    <t>In Callyspongia, there are no distinct prosopyles.  Rather, the water flows from the smallest incurrent canals into the lacunar spaces, and from there</t>
  </si>
  <si>
    <t>enter the choanocyte chambers through the spaces between the choanocytes</t>
  </si>
  <si>
    <t>area of chamber measured</t>
  </si>
  <si>
    <t>Therefore, the space for water to pass through is: (collar slit) x (height of glycocalyx mesh)</t>
  </si>
  <si>
    <t>And the number of glycocalyx slits is (height to gasket)/(height of glycocalyx mesh)</t>
  </si>
  <si>
    <t>height of glycocalyx</t>
  </si>
  <si>
    <t>Choanocyte chambers</t>
  </si>
  <si>
    <t>number of chambers in 1mm^3 (considering there are  33.33 slices 30um wide in the 1mm^3 piece of sponge</t>
  </si>
  <si>
    <t xml:space="preserve">number of chambers in one 30 um slice of the sponge 1mm^3 </t>
  </si>
  <si>
    <t>Measure diameter of all chambers - even if it fractured partially through the chamber.  These partial fractures are taken into account when calculating the number of chambers in 1mm^3</t>
  </si>
  <si>
    <t xml:space="preserve">The number of chambers in the image is then multiplied by the number of equilavent areas in a 1000000um^2 section </t>
  </si>
  <si>
    <t>To get the number of chambers in 1mm^3, the 30um wide slice needs to be multipled by 33.33 (30*33.33 = 1000um to give a cube with dimensions 1mm^2 by 1mm = 1mm^3)</t>
  </si>
  <si>
    <t>We can assume that one image that has many chambers fractured at different points is representative of each 'slice' through the sponge - (slice approximately 30um thick)</t>
  </si>
  <si>
    <r>
      <t>PRE AND POST COLLAR SPACE:</t>
    </r>
    <r>
      <rPr>
        <sz val="12"/>
        <color theme="1"/>
        <rFont val="Calibri"/>
        <family val="2"/>
        <scheme val="minor"/>
      </rPr>
      <t xml:space="preserve"> this is the 'cone' of space between the prosopyle and the collar slit, and the cone of space between the collar slit and the collar aperture.</t>
    </r>
  </si>
  <si>
    <t>average length (um)</t>
  </si>
  <si>
    <t>area per chamber (i.e. x260)</t>
  </si>
  <si>
    <t>area per 1mm^3 piece (in um^2)</t>
  </si>
  <si>
    <t>area per 1mm3 piece (in mm2)</t>
  </si>
  <si>
    <t>pre collar space</t>
  </si>
  <si>
    <t>post collar space</t>
  </si>
  <si>
    <t>cells that require data to be added</t>
  </si>
  <si>
    <t>equations (no data to be added)</t>
  </si>
  <si>
    <t>manual counts of the number of small, medium and large ostia in each SEM image using the multiple pointer selector in ImageJ (keeps track of each mouse click)</t>
  </si>
  <si>
    <t>diameter of large ostia only were measured using Image J (colored using illustrator)</t>
  </si>
  <si>
    <t>The area of large ostia was calculated, then multiplied by the total number of ostia in the image (sm med and large)</t>
  </si>
  <si>
    <t>For oval ostia - took two diameters to calculate the area</t>
  </si>
  <si>
    <t>diameter of all incurrent canals measured (classified as incurrent if it coming from the SDS or leading to prosopyles)</t>
  </si>
  <si>
    <t>cutoffs used for size classifications:</t>
  </si>
  <si>
    <t>Image Name</t>
  </si>
  <si>
    <t xml:space="preserve">Apopyles can be distinguised from prosopyles by either the flagella of the choanocytes protuding towards the apopyle or out, or by the apopylar cilia (usually two) </t>
  </si>
  <si>
    <t>Callyspongia</t>
  </si>
  <si>
    <t>Haliclona mollis</t>
  </si>
  <si>
    <t>Estimate of surface area from the sponge volume:</t>
  </si>
  <si>
    <t>r</t>
  </si>
  <si>
    <t>surface area</t>
  </si>
  <si>
    <r>
      <t xml:space="preserve">Measurements of </t>
    </r>
    <r>
      <rPr>
        <u/>
        <sz val="12"/>
        <color theme="1"/>
        <rFont val="Calibri"/>
        <scheme val="minor"/>
      </rPr>
      <t xml:space="preserve">        Haliclona                       </t>
    </r>
    <r>
      <rPr>
        <sz val="12"/>
        <color theme="1"/>
        <rFont val="Calibri"/>
        <family val="2"/>
        <scheme val="minor"/>
      </rPr>
      <t xml:space="preserve"> ultrastructure for flow calculations</t>
    </r>
  </si>
  <si>
    <t>Hal-ost-RR-32</t>
  </si>
  <si>
    <t>Hal-ost-RR-02</t>
  </si>
  <si>
    <t>Hal-ost-RR-14</t>
  </si>
  <si>
    <t>Hal-ost-RR-34</t>
  </si>
  <si>
    <t># of spaces</t>
  </si>
  <si>
    <t>SUM</t>
  </si>
  <si>
    <t>Hal-ost-RR-17</t>
  </si>
  <si>
    <t>Hal-cho-RR-10</t>
  </si>
  <si>
    <t>chamber diameter 2</t>
  </si>
  <si>
    <t>chamber radius 2</t>
  </si>
  <si>
    <t>Hal-cho-RR-03</t>
  </si>
  <si>
    <t>Hal-cho-RR-07</t>
  </si>
  <si>
    <t>Hal-RR-cho-C-11</t>
  </si>
  <si>
    <t>apopyle radius 1</t>
  </si>
  <si>
    <t>apopyle radius2 (um)</t>
  </si>
  <si>
    <t xml:space="preserve">In Haliclona there is a very distinct gasket connecting each collar. </t>
  </si>
  <si>
    <t>The glycocalyx mesh did not preserve well, but some evidence of it connecting each of the microvilli up to the gasket, forcing the water through very small openings in the collar</t>
  </si>
  <si>
    <t>Hal-cho-RR-05</t>
  </si>
  <si>
    <t>Hal-cho-RR-06</t>
  </si>
  <si>
    <t>Hal-ost-RR-23</t>
  </si>
  <si>
    <t>Hal-ost-RR-25</t>
  </si>
  <si>
    <t>Hal-ost-RR-20</t>
  </si>
  <si>
    <t>Hal-RR-cho-C-03</t>
  </si>
  <si>
    <t>Hal-ost-RR-22</t>
  </si>
  <si>
    <t>Hal-RR-cho-C-02</t>
  </si>
  <si>
    <t>Surface area of the sponge (cm^2)</t>
  </si>
  <si>
    <t xml:space="preserve">Excurrent velocity (m/s) </t>
  </si>
  <si>
    <t xml:space="preserve"> Osculum flow rate (mL/s) </t>
  </si>
  <si>
    <t>Surface area of the 100^3 crosswall section (mm^2)</t>
  </si>
  <si>
    <r>
      <rPr>
        <b/>
        <sz val="10"/>
        <color indexed="17"/>
        <rFont val="Arial"/>
        <family val="2"/>
      </rPr>
      <t>Density,</t>
    </r>
    <r>
      <rPr>
        <b/>
        <sz val="10"/>
        <color indexed="17"/>
        <rFont val="Symbol"/>
        <family val="1"/>
        <charset val="2"/>
      </rPr>
      <t xml:space="preserve"> r</t>
    </r>
    <r>
      <rPr>
        <b/>
        <sz val="10"/>
        <color indexed="17"/>
        <rFont val="Arial"/>
        <family val="2"/>
      </rPr>
      <t xml:space="preserve"> (kg/m^3)</t>
    </r>
  </si>
  <si>
    <r>
      <rPr>
        <b/>
        <sz val="10"/>
        <color indexed="17"/>
        <rFont val="Arial"/>
        <family val="2"/>
      </rPr>
      <t>Acceleration of gravity, g (m/s^2)</t>
    </r>
  </si>
  <si>
    <r>
      <t xml:space="preserve">Specific weight </t>
    </r>
    <r>
      <rPr>
        <b/>
        <sz val="11"/>
        <color indexed="17"/>
        <rFont val="Symbol"/>
        <family val="1"/>
        <charset val="2"/>
      </rPr>
      <t>g</t>
    </r>
  </si>
  <si>
    <t xml:space="preserve">Viscosity (Pa s) </t>
  </si>
  <si>
    <t>Alfa (Vex/U)</t>
  </si>
  <si>
    <t>Sponge Volume (cm^3)</t>
  </si>
  <si>
    <t>Specific pumping rate (mL/mLSponge/min)</t>
  </si>
  <si>
    <t>mL/mLSponge/s</t>
  </si>
  <si>
    <t>nL/collar/hr</t>
  </si>
  <si>
    <t># chambers in 1mm3</t>
  </si>
  <si>
    <t># chambers/sponge</t>
  </si>
  <si>
    <t>Est # collars per chamber</t>
  </si>
  <si>
    <t>Number of mv per collar</t>
  </si>
  <si>
    <t>names at the comparison table</t>
  </si>
  <si>
    <t>Sponge Region</t>
  </si>
  <si>
    <t>Path length of each section (um)</t>
  </si>
  <si>
    <t>Distance from inhalent surface (um)</t>
  </si>
  <si>
    <t>proportional distance from inhalent surface</t>
  </si>
  <si>
    <t>% distance from inhalent surface</t>
  </si>
  <si>
    <t>XS area (mm2) of aquiferous system in 1mm3  pieces</t>
  </si>
  <si>
    <t>XS area in 100 mm^3 pieces (mm^2)</t>
  </si>
  <si>
    <t>Fraction of inhalent surface</t>
  </si>
  <si>
    <t xml:space="preserve">Velocity (per opening, m/s) </t>
  </si>
  <si>
    <t>ostia</t>
  </si>
  <si>
    <t>Apertures of Inhalent canals</t>
  </si>
  <si>
    <t>lg incurrent canal</t>
  </si>
  <si>
    <t>med incurrent canal</t>
  </si>
  <si>
    <t>sm incurrent canal</t>
  </si>
  <si>
    <t>prosopyles</t>
  </si>
  <si>
    <t>Collars</t>
  </si>
  <si>
    <t>collar slit</t>
  </si>
  <si>
    <t>Chamber</t>
  </si>
  <si>
    <t>chamber</t>
  </si>
  <si>
    <t>Apopyles</t>
  </si>
  <si>
    <t>apopyle</t>
  </si>
  <si>
    <t>Apertures of exhalent canals</t>
  </si>
  <si>
    <t>sm excurrent canal</t>
  </si>
  <si>
    <t>med excurrent canal</t>
  </si>
  <si>
    <t>lg excurrent canal</t>
  </si>
  <si>
    <t>osculum</t>
  </si>
  <si>
    <t>Oxygen</t>
  </si>
  <si>
    <t>1 ml/l = 10^3/22.391 = 44.661 μmol/l</t>
  </si>
  <si>
    <t>umol/L</t>
  </si>
  <si>
    <t>1 ml/l * pumping rate (L/hr) = 1ml/hr</t>
  </si>
  <si>
    <t>ul/L</t>
  </si>
  <si>
    <t>1ul/hr *5.222 ~= uW (Riisgard 1993)</t>
  </si>
  <si>
    <t>ul/hr</t>
  </si>
  <si>
    <t>uW</t>
  </si>
  <si>
    <t>Pumping Power</t>
  </si>
  <si>
    <t>Cost of pumping (%)</t>
  </si>
  <si>
    <t>Volume of an ellipsoid</t>
  </si>
  <si>
    <t>V=4/3*PI()*r1*r2*h</t>
  </si>
  <si>
    <t>where</t>
  </si>
  <si>
    <t xml:space="preserve">r1 = </t>
  </si>
  <si>
    <t>radius of long axis</t>
  </si>
  <si>
    <t>r2 =</t>
  </si>
  <si>
    <t xml:space="preserve"> radius of short axis</t>
  </si>
  <si>
    <t>h =</t>
  </si>
  <si>
    <t>Photo</t>
  </si>
  <si>
    <t>Diameter 1</t>
  </si>
  <si>
    <t>Diameter 2</t>
  </si>
  <si>
    <t>Radius 1 (cm)</t>
  </si>
  <si>
    <t>Radius 2 (cm)</t>
  </si>
  <si>
    <t>Height (cm)</t>
  </si>
  <si>
    <t>Height radius (cm)</t>
  </si>
  <si>
    <t>Volume of sponge +coral (cm^3)</t>
  </si>
  <si>
    <t>Surface area</t>
  </si>
  <si>
    <t>Volume (cm^3)</t>
  </si>
  <si>
    <t>Surface Area (cm^3)</t>
  </si>
  <si>
    <t>P1060616</t>
  </si>
  <si>
    <t>Whole sponge</t>
  </si>
  <si>
    <t>Per Osculum</t>
  </si>
  <si>
    <t>height of sponge (radius)</t>
  </si>
  <si>
    <t>P1060204</t>
  </si>
  <si>
    <t>Head loss (mm H20) as per Riisgard and Larsen 1995</t>
  </si>
  <si>
    <t>Head loss (um H20) as per Riisgard and Larsen 1995</t>
  </si>
  <si>
    <t>Type of opening</t>
  </si>
  <si>
    <t>aperture</t>
  </si>
  <si>
    <t>channels/ducts</t>
  </si>
  <si>
    <t>lattice - rectangular</t>
  </si>
  <si>
    <t>exit loss</t>
  </si>
  <si>
    <t>Equation # in Riisgard and Larsen 1995</t>
  </si>
  <si>
    <t>K</t>
  </si>
  <si>
    <t>τ</t>
  </si>
  <si>
    <t>h0</t>
  </si>
  <si>
    <t>h</t>
  </si>
  <si>
    <t>h1</t>
  </si>
  <si>
    <t>h2</t>
  </si>
  <si>
    <t>d</t>
  </si>
  <si>
    <t>Using Riisgard and Larsen 1995</t>
  </si>
  <si>
    <t>For the lattice equation (17)</t>
  </si>
  <si>
    <t>Respiration</t>
  </si>
  <si>
    <t>Summary sheet for Haliclona mollis</t>
  </si>
  <si>
    <t>Morphometric model using the methods by Reiswig (1975), Riisgard et al. (1993), and Leys et al. (2011)</t>
  </si>
  <si>
    <t>Dimensions of each region of the aquiferous canal system were measured in Image J (see tabs for each region for a breakdown of the measurement process)</t>
  </si>
  <si>
    <t xml:space="preserve">Cross-sectional area of each region was estimated as per Reiswig (1975) and Leys et al. (2011). </t>
  </si>
  <si>
    <t>A 100 uL piece was used to estimate cross-sectional area, that has the dimensions of 4.5 mm x 4.5 mm x 5 mm</t>
  </si>
  <si>
    <t>Sponge volume was estimated based on image analysis</t>
  </si>
  <si>
    <t>Velocity was estimated as per Reiswig (1975), using the relationship between cross-sectional area and velocity ((Cross-sectional area of osculum*velocity from osculum)/cross-sectional area of region)</t>
  </si>
  <si>
    <t>Head loss was calculated as per Riisgard et al. (1993), using different equations based on the region of the canal system.  This accounts for creeping flow and fluid dynamic differences when considering apertures, lattices, vs. pipes</t>
  </si>
  <si>
    <t>Pumping power and cost of filtration also estimated based on Riisgard et al. (1993)</t>
  </si>
  <si>
    <t>diameter of the collar microvilli</t>
  </si>
  <si>
    <t>height of the glycocalyx mesh</t>
  </si>
  <si>
    <t>width of the collar slit</t>
  </si>
  <si>
    <t>Sponge volume measurements from image analysis</t>
  </si>
  <si>
    <t>For Part 1 of whole sponge</t>
  </si>
  <si>
    <t>The volume and surface area of Haliclona mollis was estimated based on a ellipsoid</t>
  </si>
  <si>
    <t>r1 and r2 were measured from P1060204</t>
  </si>
  <si>
    <t>height was measured from P1060616</t>
  </si>
  <si>
    <t>Then, volume and surface area were divided by the number of oscula</t>
  </si>
  <si>
    <t>Head loss (mmH20) as per Leys et al 2011</t>
  </si>
  <si>
    <t>Head loss (umH20) as per Leys et al 2011</t>
  </si>
</sst>
</file>

<file path=xl/styles.xml><?xml version="1.0" encoding="utf-8"?>
<styleSheet xmlns="http://schemas.openxmlformats.org/spreadsheetml/2006/main" xmlns:mc="http://schemas.openxmlformats.org/markup-compatibility/2006" xmlns:x14ac="http://schemas.microsoft.com/office/spreadsheetml/2009/9/ac" mc:Ignorable="x14ac">
  <numFmts count="6">
    <numFmt numFmtId="43" formatCode="_(* #,##0.00_);_(* \(#,##0.00\);_(* &quot;-&quot;??_);_(@_)"/>
    <numFmt numFmtId="164" formatCode="0.0"/>
    <numFmt numFmtId="165" formatCode="0.0000"/>
    <numFmt numFmtId="166" formatCode="0.000"/>
    <numFmt numFmtId="167" formatCode="_(* #,##0_);_(* \(#,##0\);_(* &quot;-&quot;??_);_(@_)"/>
    <numFmt numFmtId="168" formatCode="0.000000"/>
  </numFmts>
  <fonts count="25" x14ac:knownFonts="1">
    <font>
      <sz val="12"/>
      <color theme="1"/>
      <name val="Calibri"/>
      <family val="2"/>
      <scheme val="minor"/>
    </font>
    <font>
      <u/>
      <sz val="12"/>
      <color theme="10"/>
      <name val="Calibri"/>
      <family val="2"/>
      <scheme val="minor"/>
    </font>
    <font>
      <u/>
      <sz val="12"/>
      <color theme="11"/>
      <name val="Calibri"/>
      <family val="2"/>
      <scheme val="minor"/>
    </font>
    <font>
      <sz val="12"/>
      <color rgb="FF000000"/>
      <name val="Calibri"/>
      <family val="2"/>
      <scheme val="minor"/>
    </font>
    <font>
      <sz val="10"/>
      <name val="Arial"/>
      <family val="2"/>
    </font>
    <font>
      <sz val="12"/>
      <color rgb="FFFF0000"/>
      <name val="Calibri"/>
      <family val="2"/>
      <scheme val="minor"/>
    </font>
    <font>
      <b/>
      <sz val="12"/>
      <color theme="1"/>
      <name val="Calibri"/>
      <family val="2"/>
      <scheme val="minor"/>
    </font>
    <font>
      <b/>
      <sz val="9"/>
      <color indexed="81"/>
      <name val="Tahoma"/>
      <family val="2"/>
    </font>
    <font>
      <sz val="9"/>
      <color indexed="81"/>
      <name val="Tahoma"/>
      <family val="2"/>
    </font>
    <font>
      <sz val="9"/>
      <color indexed="81"/>
      <name val="Calibri"/>
      <family val="2"/>
    </font>
    <font>
      <b/>
      <sz val="9"/>
      <color indexed="81"/>
      <name val="Calibri"/>
      <family val="2"/>
    </font>
    <font>
      <b/>
      <sz val="10"/>
      <name val="Arial"/>
      <family val="2"/>
    </font>
    <font>
      <sz val="12"/>
      <color rgb="FF000000"/>
      <name val="Calibri"/>
      <family val="2"/>
    </font>
    <font>
      <sz val="11"/>
      <color rgb="FF006100"/>
      <name val="Calibri"/>
      <family val="2"/>
      <charset val="177"/>
      <scheme val="minor"/>
    </font>
    <font>
      <u/>
      <sz val="12"/>
      <color theme="1"/>
      <name val="Calibri"/>
      <scheme val="minor"/>
    </font>
    <font>
      <sz val="12"/>
      <color rgb="FF006100"/>
      <name val="Calibri"/>
      <family val="2"/>
      <scheme val="minor"/>
    </font>
    <font>
      <b/>
      <sz val="12"/>
      <color rgb="FFFA7D00"/>
      <name val="Calibri"/>
      <family val="2"/>
      <scheme val="minor"/>
    </font>
    <font>
      <b/>
      <sz val="11"/>
      <color rgb="FF006100"/>
      <name val="Calibri"/>
      <family val="2"/>
    </font>
    <font>
      <b/>
      <sz val="10"/>
      <color indexed="17"/>
      <name val="Calibri"/>
      <family val="2"/>
    </font>
    <font>
      <b/>
      <sz val="10"/>
      <color indexed="17"/>
      <name val="Arial"/>
      <family val="2"/>
    </font>
    <font>
      <b/>
      <sz val="10"/>
      <color indexed="17"/>
      <name val="Symbol"/>
      <family val="1"/>
      <charset val="2"/>
    </font>
    <font>
      <b/>
      <sz val="11"/>
      <color indexed="17"/>
      <name val="Symbol"/>
      <family val="1"/>
      <charset val="2"/>
    </font>
    <font>
      <sz val="11"/>
      <name val="Cambria"/>
      <family val="1"/>
      <scheme val="major"/>
    </font>
    <font>
      <b/>
      <sz val="16"/>
      <color theme="1"/>
      <name val="Calibri"/>
      <scheme val="minor"/>
    </font>
    <font>
      <sz val="12"/>
      <name val="Calibri"/>
      <family val="2"/>
      <scheme val="minor"/>
    </font>
  </fonts>
  <fills count="20">
    <fill>
      <patternFill patternType="none"/>
    </fill>
    <fill>
      <patternFill patternType="gray125"/>
    </fill>
    <fill>
      <patternFill patternType="solid">
        <fgColor theme="6" tint="0.79998168889431442"/>
        <bgColor indexed="64"/>
      </patternFill>
    </fill>
    <fill>
      <patternFill patternType="solid">
        <fgColor theme="6" tint="0.39997558519241921"/>
        <bgColor indexed="64"/>
      </patternFill>
    </fill>
    <fill>
      <patternFill patternType="solid">
        <fgColor theme="4" tint="0.79998168889431442"/>
        <bgColor indexed="64"/>
      </patternFill>
    </fill>
    <fill>
      <patternFill patternType="solid">
        <fgColor theme="6" tint="-0.249977111117893"/>
        <bgColor indexed="64"/>
      </patternFill>
    </fill>
    <fill>
      <patternFill patternType="solid">
        <fgColor theme="2"/>
        <bgColor indexed="64"/>
      </patternFill>
    </fill>
    <fill>
      <patternFill patternType="solid">
        <fgColor rgb="FFEEECE1"/>
        <bgColor rgb="FF000000"/>
      </patternFill>
    </fill>
    <fill>
      <patternFill patternType="solid">
        <fgColor theme="9" tint="0.79998168889431442"/>
        <bgColor indexed="64"/>
      </patternFill>
    </fill>
    <fill>
      <patternFill patternType="solid">
        <fgColor rgb="FFC6EFCE"/>
      </patternFill>
    </fill>
    <fill>
      <patternFill patternType="solid">
        <fgColor indexed="50"/>
        <bgColor indexed="64"/>
      </patternFill>
    </fill>
    <fill>
      <patternFill patternType="solid">
        <fgColor theme="6" tint="0.59999389629810485"/>
        <bgColor indexed="64"/>
      </patternFill>
    </fill>
    <fill>
      <patternFill patternType="solid">
        <fgColor theme="9" tint="0.59999389629810485"/>
        <bgColor indexed="64"/>
      </patternFill>
    </fill>
    <fill>
      <patternFill patternType="solid">
        <fgColor theme="7" tint="0.59999389629810485"/>
        <bgColor indexed="64"/>
      </patternFill>
    </fill>
    <fill>
      <patternFill patternType="solid">
        <fgColor rgb="FFCCC0DA"/>
        <bgColor rgb="FF000000"/>
      </patternFill>
    </fill>
    <fill>
      <patternFill patternType="solid">
        <fgColor rgb="FFFCD5B4"/>
        <bgColor rgb="FF000000"/>
      </patternFill>
    </fill>
    <fill>
      <patternFill patternType="solid">
        <fgColor rgb="FFF2F2F2"/>
      </patternFill>
    </fill>
    <fill>
      <patternFill patternType="solid">
        <fgColor theme="0" tint="-4.9989318521683403E-2"/>
        <bgColor indexed="64"/>
      </patternFill>
    </fill>
    <fill>
      <patternFill patternType="solid">
        <fgColor theme="8" tint="0.79998168889431442"/>
        <bgColor indexed="64"/>
      </patternFill>
    </fill>
    <fill>
      <patternFill patternType="solid">
        <fgColor theme="5" tint="0.79998168889431442"/>
        <bgColor indexed="64"/>
      </patternFill>
    </fill>
  </fills>
  <borders count="29">
    <border>
      <left/>
      <right/>
      <top/>
      <bottom/>
      <diagonal/>
    </border>
    <border>
      <left/>
      <right/>
      <top style="thin">
        <color auto="1"/>
      </top>
      <bottom style="thin">
        <color auto="1"/>
      </bottom>
      <diagonal/>
    </border>
    <border>
      <left/>
      <right/>
      <top style="thin">
        <color auto="1"/>
      </top>
      <bottom style="medium">
        <color auto="1"/>
      </bottom>
      <diagonal/>
    </border>
    <border>
      <left/>
      <right/>
      <top style="thin">
        <color auto="1"/>
      </top>
      <bottom style="double">
        <color auto="1"/>
      </bottom>
      <diagonal/>
    </border>
    <border>
      <left/>
      <right/>
      <top/>
      <bottom style="thin">
        <color auto="1"/>
      </bottom>
      <diagonal/>
    </border>
    <border>
      <left/>
      <right/>
      <top style="thin">
        <color auto="1"/>
      </top>
      <bottom/>
      <diagonal/>
    </border>
    <border>
      <left/>
      <right/>
      <top/>
      <bottom style="medium">
        <color auto="1"/>
      </bottom>
      <diagonal/>
    </border>
    <border>
      <left/>
      <right/>
      <top/>
      <bottom style="double">
        <color auto="1"/>
      </bottom>
      <diagonal/>
    </border>
    <border>
      <left style="thin">
        <color auto="1"/>
      </left>
      <right/>
      <top style="thin">
        <color auto="1"/>
      </top>
      <bottom style="thin">
        <color auto="1"/>
      </bottom>
      <diagonal/>
    </border>
    <border>
      <left/>
      <right style="thin">
        <color auto="1"/>
      </right>
      <top style="thin">
        <color auto="1"/>
      </top>
      <bottom style="thin">
        <color auto="1"/>
      </bottom>
      <diagonal/>
    </border>
    <border>
      <left style="thin">
        <color auto="1"/>
      </left>
      <right/>
      <top/>
      <bottom style="double">
        <color auto="1"/>
      </bottom>
      <diagonal/>
    </border>
    <border>
      <left/>
      <right style="thin">
        <color auto="1"/>
      </right>
      <top/>
      <bottom style="double">
        <color auto="1"/>
      </bottom>
      <diagonal/>
    </border>
    <border>
      <left style="thin">
        <color auto="1"/>
      </left>
      <right/>
      <top/>
      <bottom/>
      <diagonal/>
    </border>
    <border>
      <left/>
      <right style="thin">
        <color auto="1"/>
      </right>
      <top/>
      <bottom/>
      <diagonal/>
    </border>
    <border>
      <left style="thin">
        <color auto="1"/>
      </left>
      <right/>
      <top/>
      <bottom style="thin">
        <color auto="1"/>
      </bottom>
      <diagonal/>
    </border>
    <border>
      <left/>
      <right style="thin">
        <color auto="1"/>
      </right>
      <top/>
      <bottom style="thin">
        <color auto="1"/>
      </bottom>
      <diagonal/>
    </border>
    <border>
      <left style="hair">
        <color auto="1"/>
      </left>
      <right style="hair">
        <color auto="1"/>
      </right>
      <top style="hair">
        <color auto="1"/>
      </top>
      <bottom style="hair">
        <color auto="1"/>
      </bottom>
      <diagonal/>
    </border>
    <border>
      <left style="hair">
        <color auto="1"/>
      </left>
      <right style="hair">
        <color auto="1"/>
      </right>
      <top style="thin">
        <color auto="1"/>
      </top>
      <bottom style="double">
        <color auto="1"/>
      </bottom>
      <diagonal/>
    </border>
    <border>
      <left/>
      <right style="hair">
        <color auto="1"/>
      </right>
      <top style="thin">
        <color auto="1"/>
      </top>
      <bottom style="double">
        <color auto="1"/>
      </bottom>
      <diagonal/>
    </border>
    <border>
      <left style="thin">
        <color auto="1"/>
      </left>
      <right style="thin">
        <color auto="1"/>
      </right>
      <top style="thin">
        <color auto="1"/>
      </top>
      <bottom style="thin">
        <color auto="1"/>
      </bottom>
      <diagonal/>
    </border>
    <border>
      <left style="hair">
        <color auto="1"/>
      </left>
      <right style="hair">
        <color auto="1"/>
      </right>
      <top style="hair">
        <color auto="1"/>
      </top>
      <bottom/>
      <diagonal/>
    </border>
    <border>
      <left style="hair">
        <color auto="1"/>
      </left>
      <right/>
      <top style="hair">
        <color auto="1"/>
      </top>
      <bottom style="hair">
        <color auto="1"/>
      </bottom>
      <diagonal/>
    </border>
    <border>
      <left style="hair">
        <color auto="1"/>
      </left>
      <right style="hair">
        <color auto="1"/>
      </right>
      <top/>
      <bottom/>
      <diagonal/>
    </border>
    <border>
      <left/>
      <right style="thin">
        <color auto="1"/>
      </right>
      <top style="thin">
        <color auto="1"/>
      </top>
      <bottom style="double">
        <color auto="1"/>
      </bottom>
      <diagonal/>
    </border>
    <border>
      <left style="thin">
        <color auto="1"/>
      </left>
      <right/>
      <top style="thin">
        <color auto="1"/>
      </top>
      <bottom style="double">
        <color auto="1"/>
      </bottom>
      <diagonal/>
    </border>
    <border>
      <left style="thin">
        <color rgb="FF7F7F7F"/>
      </left>
      <right style="thin">
        <color rgb="FF7F7F7F"/>
      </right>
      <top style="thin">
        <color rgb="FF7F7F7F"/>
      </top>
      <bottom style="thin">
        <color rgb="FF7F7F7F"/>
      </bottom>
      <diagonal/>
    </border>
    <border>
      <left style="thin">
        <color auto="1"/>
      </left>
      <right style="thin">
        <color rgb="FF7F7F7F"/>
      </right>
      <top style="thin">
        <color auto="1"/>
      </top>
      <bottom style="thin">
        <color auto="1"/>
      </bottom>
      <diagonal/>
    </border>
    <border>
      <left style="thin">
        <color auto="1"/>
      </left>
      <right/>
      <top style="thin">
        <color auto="1"/>
      </top>
      <bottom/>
      <diagonal/>
    </border>
    <border>
      <left/>
      <right style="thin">
        <color auto="1"/>
      </right>
      <top style="thin">
        <color auto="1"/>
      </top>
      <bottom/>
      <diagonal/>
    </border>
  </borders>
  <cellStyleXfs count="2647">
    <xf numFmtId="0" fontId="0" fillId="0" borderId="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3" fillId="9" borderId="0" applyNumberFormat="0" applyBorder="0" applyAlignment="0" applyProtection="0"/>
    <xf numFmtId="43" fontId="4" fillId="0" borderId="0" applyFon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5" fillId="9" borderId="0" applyNumberFormat="0" applyBorder="0" applyAlignment="0" applyProtection="0"/>
    <xf numFmtId="0" fontId="16" fillId="16" borderId="25" applyNumberFormat="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cellStyleXfs>
  <cellXfs count="236">
    <xf numFmtId="0" fontId="0" fillId="0" borderId="0" xfId="0"/>
    <xf numFmtId="0" fontId="0" fillId="0" borderId="1" xfId="0" applyBorder="1"/>
    <xf numFmtId="0" fontId="0" fillId="0" borderId="0" xfId="0" applyAlignment="1">
      <alignment wrapText="1"/>
    </xf>
    <xf numFmtId="0" fontId="3" fillId="0" borderId="0" xfId="0" applyFont="1"/>
    <xf numFmtId="0" fontId="0" fillId="3" borderId="0" xfId="0" applyFill="1"/>
    <xf numFmtId="0" fontId="0" fillId="0" borderId="5" xfId="0" applyBorder="1"/>
    <xf numFmtId="0" fontId="0" fillId="0" borderId="0" xfId="0" applyBorder="1"/>
    <xf numFmtId="0" fontId="0" fillId="3" borderId="3" xfId="0" applyFill="1" applyBorder="1" applyAlignment="1">
      <alignment wrapText="1"/>
    </xf>
    <xf numFmtId="0" fontId="0" fillId="3" borderId="1" xfId="0" applyFill="1" applyBorder="1"/>
    <xf numFmtId="0" fontId="0" fillId="0" borderId="0" xfId="0" applyFill="1" applyBorder="1"/>
    <xf numFmtId="0" fontId="5" fillId="0" borderId="0" xfId="0" applyFont="1"/>
    <xf numFmtId="0" fontId="5" fillId="0" borderId="0" xfId="0" applyFont="1" applyFill="1" applyBorder="1"/>
    <xf numFmtId="0" fontId="5" fillId="0" borderId="0" xfId="0" applyFont="1" applyBorder="1"/>
    <xf numFmtId="0" fontId="0" fillId="3" borderId="0" xfId="0" applyFill="1" applyAlignment="1">
      <alignment wrapText="1"/>
    </xf>
    <xf numFmtId="0" fontId="0" fillId="0" borderId="3" xfId="0" applyBorder="1"/>
    <xf numFmtId="0" fontId="0" fillId="0" borderId="0" xfId="0" applyFill="1"/>
    <xf numFmtId="0" fontId="0" fillId="0" borderId="7" xfId="0" applyBorder="1" applyAlignment="1">
      <alignment wrapText="1"/>
    </xf>
    <xf numFmtId="0" fontId="0" fillId="4" borderId="10" xfId="0" applyFill="1" applyBorder="1" applyAlignment="1">
      <alignment wrapText="1"/>
    </xf>
    <xf numFmtId="0" fontId="0" fillId="4" borderId="11" xfId="0" applyFill="1" applyBorder="1" applyAlignment="1">
      <alignment wrapText="1"/>
    </xf>
    <xf numFmtId="0" fontId="0" fillId="4" borderId="12" xfId="0" applyFill="1" applyBorder="1" applyAlignment="1">
      <alignment horizontal="right"/>
    </xf>
    <xf numFmtId="0" fontId="0" fillId="4" borderId="13" xfId="0" applyFill="1" applyBorder="1"/>
    <xf numFmtId="2" fontId="0" fillId="4" borderId="12" xfId="0" applyNumberFormat="1" applyFill="1" applyBorder="1" applyAlignment="1">
      <alignment horizontal="right"/>
    </xf>
    <xf numFmtId="0" fontId="0" fillId="4" borderId="12" xfId="0" applyFill="1" applyBorder="1"/>
    <xf numFmtId="0" fontId="0" fillId="4" borderId="14" xfId="0" applyFill="1" applyBorder="1"/>
    <xf numFmtId="0" fontId="0" fillId="4" borderId="15" xfId="0" applyFill="1" applyBorder="1"/>
    <xf numFmtId="0" fontId="0" fillId="2" borderId="10" xfId="0" applyFill="1" applyBorder="1" applyAlignment="1">
      <alignment wrapText="1"/>
    </xf>
    <xf numFmtId="0" fontId="0" fillId="2" borderId="11" xfId="0" applyFill="1" applyBorder="1" applyAlignment="1">
      <alignment wrapText="1"/>
    </xf>
    <xf numFmtId="0" fontId="0" fillId="0" borderId="0" xfId="0" applyFill="1" applyBorder="1" applyAlignment="1">
      <alignment wrapText="1"/>
    </xf>
    <xf numFmtId="0" fontId="6" fillId="0" borderId="0" xfId="0" applyFont="1"/>
    <xf numFmtId="0" fontId="6" fillId="0" borderId="1" xfId="0" applyFont="1" applyBorder="1"/>
    <xf numFmtId="0" fontId="6" fillId="0" borderId="0" xfId="0" applyFont="1" applyBorder="1"/>
    <xf numFmtId="0" fontId="6" fillId="0" borderId="0" xfId="0" applyFont="1" applyFill="1" applyBorder="1"/>
    <xf numFmtId="0" fontId="11" fillId="0" borderId="0" xfId="0" applyFont="1"/>
    <xf numFmtId="2" fontId="11" fillId="0" borderId="0" xfId="0" applyNumberFormat="1" applyFont="1" applyFill="1" applyBorder="1"/>
    <xf numFmtId="2" fontId="0" fillId="0" borderId="0" xfId="0" applyNumberFormat="1" applyFill="1" applyBorder="1"/>
    <xf numFmtId="164" fontId="0" fillId="0" borderId="0" xfId="0" applyNumberFormat="1" applyFill="1" applyBorder="1"/>
    <xf numFmtId="165" fontId="11" fillId="0" borderId="0" xfId="0" applyNumberFormat="1" applyFont="1" applyFill="1" applyBorder="1"/>
    <xf numFmtId="0" fontId="0" fillId="5" borderId="0" xfId="0" applyFill="1" applyBorder="1"/>
    <xf numFmtId="0" fontId="0" fillId="5" borderId="6" xfId="0" applyFill="1" applyBorder="1"/>
    <xf numFmtId="2" fontId="0" fillId="2" borderId="12" xfId="0" applyNumberFormat="1" applyFill="1" applyBorder="1"/>
    <xf numFmtId="2" fontId="0" fillId="2" borderId="14" xfId="0" applyNumberFormat="1" applyFill="1" applyBorder="1"/>
    <xf numFmtId="0" fontId="0" fillId="6" borderId="3" xfId="0" applyFill="1" applyBorder="1"/>
    <xf numFmtId="0" fontId="0" fillId="6" borderId="3" xfId="0" applyFill="1" applyBorder="1" applyAlignment="1">
      <alignment wrapText="1"/>
    </xf>
    <xf numFmtId="0" fontId="0" fillId="6" borderId="17" xfId="0" applyFill="1" applyBorder="1" applyAlignment="1">
      <alignment wrapText="1"/>
    </xf>
    <xf numFmtId="0" fontId="0" fillId="0" borderId="0" xfId="0" applyAlignment="1">
      <alignment horizontal="left"/>
    </xf>
    <xf numFmtId="0" fontId="0" fillId="0" borderId="4" xfId="0" applyBorder="1"/>
    <xf numFmtId="0" fontId="3" fillId="7" borderId="18" xfId="0" applyFont="1" applyFill="1" applyBorder="1" applyAlignment="1">
      <alignment wrapText="1"/>
    </xf>
    <xf numFmtId="0" fontId="0" fillId="0" borderId="0" xfId="0" applyFont="1" applyFill="1" applyBorder="1"/>
    <xf numFmtId="0" fontId="0" fillId="2" borderId="2" xfId="0" applyFill="1" applyBorder="1"/>
    <xf numFmtId="0" fontId="0" fillId="2" borderId="2" xfId="0" applyFill="1" applyBorder="1" applyAlignment="1">
      <alignment wrapText="1"/>
    </xf>
    <xf numFmtId="0" fontId="0" fillId="2" borderId="0" xfId="0" applyFill="1" applyBorder="1"/>
    <xf numFmtId="0" fontId="0" fillId="2" borderId="5" xfId="0" applyFill="1" applyBorder="1"/>
    <xf numFmtId="0" fontId="0" fillId="2" borderId="19" xfId="0" applyFill="1" applyBorder="1"/>
    <xf numFmtId="0" fontId="0" fillId="2" borderId="19" xfId="0" applyFill="1" applyBorder="1" applyAlignment="1">
      <alignment wrapText="1"/>
    </xf>
    <xf numFmtId="0" fontId="0" fillId="2" borderId="3" xfId="0" applyFill="1" applyBorder="1"/>
    <xf numFmtId="0" fontId="0" fillId="2" borderId="17" xfId="0" applyFill="1" applyBorder="1" applyAlignment="1">
      <alignment wrapText="1"/>
    </xf>
    <xf numFmtId="0" fontId="11" fillId="8" borderId="16" xfId="0" applyFont="1" applyFill="1" applyBorder="1" applyAlignment="1">
      <alignment wrapText="1"/>
    </xf>
    <xf numFmtId="0" fontId="11" fillId="8" borderId="20" xfId="0" applyFont="1" applyFill="1" applyBorder="1" applyAlignment="1">
      <alignment wrapText="1"/>
    </xf>
    <xf numFmtId="0" fontId="0" fillId="0" borderId="16" xfId="0" applyFill="1" applyBorder="1"/>
    <xf numFmtId="11" fontId="0" fillId="0" borderId="0" xfId="0" applyNumberFormat="1"/>
    <xf numFmtId="11" fontId="0" fillId="0" borderId="4" xfId="0" applyNumberFormat="1" applyBorder="1"/>
    <xf numFmtId="0" fontId="0" fillId="6" borderId="0" xfId="0" applyFill="1" applyAlignment="1">
      <alignment wrapText="1"/>
    </xf>
    <xf numFmtId="0" fontId="0" fillId="2" borderId="0" xfId="0" applyFill="1" applyAlignment="1">
      <alignment wrapText="1"/>
    </xf>
    <xf numFmtId="0" fontId="4" fillId="2" borderId="0" xfId="0" applyFont="1" applyFill="1" applyAlignment="1">
      <alignment wrapText="1"/>
    </xf>
    <xf numFmtId="0" fontId="4" fillId="0" borderId="4" xfId="0" applyFont="1" applyBorder="1"/>
    <xf numFmtId="0" fontId="11" fillId="10" borderId="1" xfId="0" applyFont="1" applyFill="1" applyBorder="1"/>
    <xf numFmtId="2" fontId="11" fillId="10" borderId="1" xfId="0" applyNumberFormat="1" applyFont="1" applyFill="1" applyBorder="1"/>
    <xf numFmtId="0" fontId="0" fillId="10" borderId="1" xfId="0" applyFill="1" applyBorder="1"/>
    <xf numFmtId="2" fontId="0" fillId="10" borderId="1" xfId="0" applyNumberFormat="1" applyFill="1" applyBorder="1"/>
    <xf numFmtId="0" fontId="4" fillId="0" borderId="1" xfId="0" applyFont="1" applyBorder="1" applyAlignment="1">
      <alignment wrapText="1"/>
    </xf>
    <xf numFmtId="0" fontId="0" fillId="0" borderId="1" xfId="0" applyBorder="1" applyAlignment="1">
      <alignment wrapText="1"/>
    </xf>
    <xf numFmtId="0" fontId="0" fillId="2" borderId="5" xfId="0" applyFill="1" applyBorder="1" applyAlignment="1">
      <alignment wrapText="1"/>
    </xf>
    <xf numFmtId="0" fontId="0" fillId="0" borderId="0" xfId="0" applyFill="1" applyAlignment="1">
      <alignment wrapText="1"/>
    </xf>
    <xf numFmtId="0" fontId="3" fillId="0" borderId="0" xfId="0" applyFont="1" applyFill="1" applyBorder="1"/>
    <xf numFmtId="166" fontId="0" fillId="0" borderId="0" xfId="0" applyNumberFormat="1" applyFill="1" applyBorder="1"/>
    <xf numFmtId="0" fontId="0" fillId="6" borderId="16" xfId="0" applyFill="1" applyBorder="1"/>
    <xf numFmtId="0" fontId="0" fillId="6" borderId="16" xfId="0" applyFill="1" applyBorder="1" applyAlignment="1">
      <alignment wrapText="1"/>
    </xf>
    <xf numFmtId="0" fontId="0" fillId="6" borderId="22" xfId="0" applyFill="1" applyBorder="1" applyAlignment="1">
      <alignment wrapText="1"/>
    </xf>
    <xf numFmtId="0" fontId="11" fillId="6" borderId="4" xfId="0" applyFont="1" applyFill="1" applyBorder="1"/>
    <xf numFmtId="0" fontId="0" fillId="6" borderId="4" xfId="0" applyFill="1" applyBorder="1"/>
    <xf numFmtId="0" fontId="11" fillId="0" borderId="0" xfId="0" applyFont="1" applyAlignment="1"/>
    <xf numFmtId="0" fontId="0" fillId="11" borderId="0" xfId="0" applyFill="1"/>
    <xf numFmtId="0" fontId="0" fillId="12" borderId="0" xfId="0" applyFill="1"/>
    <xf numFmtId="2" fontId="0" fillId="12" borderId="0" xfId="0" applyNumberFormat="1" applyFill="1"/>
    <xf numFmtId="0" fontId="0" fillId="13" borderId="0" xfId="0" applyFill="1"/>
    <xf numFmtId="0" fontId="0" fillId="12" borderId="5" xfId="0" applyFill="1" applyBorder="1"/>
    <xf numFmtId="0" fontId="0" fillId="12" borderId="0" xfId="0" applyFill="1" applyBorder="1"/>
    <xf numFmtId="0" fontId="0" fillId="12" borderId="4" xfId="0" applyFill="1" applyBorder="1"/>
    <xf numFmtId="0" fontId="0" fillId="12" borderId="2" xfId="0" applyFill="1" applyBorder="1"/>
    <xf numFmtId="0" fontId="0" fillId="13" borderId="0" xfId="0" applyFill="1" applyBorder="1"/>
    <xf numFmtId="0" fontId="0" fillId="13" borderId="4" xfId="0" applyFill="1" applyBorder="1"/>
    <xf numFmtId="0" fontId="0" fillId="12" borderId="1" xfId="0" applyFill="1" applyBorder="1"/>
    <xf numFmtId="164" fontId="0" fillId="12" borderId="1" xfId="0" applyNumberFormat="1" applyFill="1" applyBorder="1"/>
    <xf numFmtId="165" fontId="0" fillId="12" borderId="0" xfId="0" applyNumberFormat="1" applyFill="1" applyBorder="1"/>
    <xf numFmtId="164" fontId="0" fillId="12" borderId="0" xfId="0" applyNumberFormat="1" applyFill="1" applyBorder="1"/>
    <xf numFmtId="0" fontId="0" fillId="12" borderId="6" xfId="0" applyFill="1" applyBorder="1"/>
    <xf numFmtId="0" fontId="6" fillId="12" borderId="1" xfId="0" applyFont="1" applyFill="1" applyBorder="1"/>
    <xf numFmtId="0" fontId="6" fillId="12" borderId="5" xfId="0" applyFont="1" applyFill="1" applyBorder="1"/>
    <xf numFmtId="0" fontId="6" fillId="12" borderId="0" xfId="0" applyFont="1" applyFill="1"/>
    <xf numFmtId="0" fontId="6" fillId="12" borderId="0" xfId="0" applyFont="1" applyFill="1" applyBorder="1"/>
    <xf numFmtId="0" fontId="0" fillId="13" borderId="19" xfId="0" applyFill="1" applyBorder="1"/>
    <xf numFmtId="2" fontId="0" fillId="12" borderId="19" xfId="0" applyNumberFormat="1" applyFill="1" applyBorder="1"/>
    <xf numFmtId="2" fontId="0" fillId="13" borderId="16" xfId="0" applyNumberFormat="1" applyFill="1" applyBorder="1"/>
    <xf numFmtId="0" fontId="0" fillId="13" borderId="21" xfId="0" applyFill="1" applyBorder="1"/>
    <xf numFmtId="0" fontId="3" fillId="13" borderId="0" xfId="0" applyFont="1" applyFill="1"/>
    <xf numFmtId="0" fontId="3" fillId="13" borderId="0" xfId="0" applyFont="1" applyFill="1" applyBorder="1"/>
    <xf numFmtId="0" fontId="0" fillId="12" borderId="0" xfId="0" applyFill="1" applyAlignment="1">
      <alignment wrapText="1"/>
    </xf>
    <xf numFmtId="0" fontId="0" fillId="13" borderId="5" xfId="0" applyFill="1" applyBorder="1"/>
    <xf numFmtId="0" fontId="6" fillId="13" borderId="1" xfId="0" applyFont="1" applyFill="1" applyBorder="1"/>
    <xf numFmtId="2" fontId="0" fillId="12" borderId="0" xfId="0" applyNumberFormat="1" applyFill="1" applyBorder="1"/>
    <xf numFmtId="2" fontId="0" fillId="13" borderId="0" xfId="0" applyNumberFormat="1" applyFill="1"/>
    <xf numFmtId="0" fontId="0" fillId="2" borderId="7" xfId="0" applyFill="1" applyBorder="1" applyAlignment="1">
      <alignment wrapText="1"/>
    </xf>
    <xf numFmtId="2" fontId="0" fillId="2" borderId="0" xfId="0" applyNumberFormat="1" applyFill="1" applyBorder="1"/>
    <xf numFmtId="0" fontId="0" fillId="4" borderId="7" xfId="0" applyFill="1" applyBorder="1" applyAlignment="1">
      <alignment wrapText="1"/>
    </xf>
    <xf numFmtId="0" fontId="0" fillId="4" borderId="0" xfId="0" applyFill="1" applyBorder="1"/>
    <xf numFmtId="0" fontId="0" fillId="4" borderId="4" xfId="0" applyFill="1" applyBorder="1"/>
    <xf numFmtId="2" fontId="0" fillId="4" borderId="0" xfId="0" applyNumberFormat="1" applyFill="1" applyBorder="1"/>
    <xf numFmtId="2" fontId="0" fillId="4" borderId="4" xfId="0" applyNumberFormat="1" applyFill="1" applyBorder="1"/>
    <xf numFmtId="2" fontId="0" fillId="2" borderId="4" xfId="0" applyNumberFormat="1" applyFill="1" applyBorder="1"/>
    <xf numFmtId="0" fontId="0" fillId="0" borderId="12" xfId="0" applyBorder="1"/>
    <xf numFmtId="0" fontId="0" fillId="0" borderId="14" xfId="0" applyBorder="1"/>
    <xf numFmtId="0" fontId="0" fillId="0" borderId="10" xfId="0" applyBorder="1" applyAlignment="1">
      <alignment wrapText="1"/>
    </xf>
    <xf numFmtId="0" fontId="0" fillId="0" borderId="8" xfId="0" applyBorder="1"/>
    <xf numFmtId="0" fontId="0" fillId="2" borderId="23" xfId="0" applyFill="1" applyBorder="1" applyAlignment="1">
      <alignment wrapText="1"/>
    </xf>
    <xf numFmtId="0" fontId="0" fillId="4" borderId="0" xfId="0" applyNumberFormat="1" applyFill="1" applyBorder="1"/>
    <xf numFmtId="0" fontId="0" fillId="4" borderId="4" xfId="0" applyNumberFormat="1" applyFill="1" applyBorder="1"/>
    <xf numFmtId="0" fontId="0" fillId="2" borderId="13" xfId="0" applyNumberFormat="1" applyFill="1" applyBorder="1"/>
    <xf numFmtId="0" fontId="0" fillId="2" borderId="15" xfId="0" applyNumberFormat="1" applyFill="1" applyBorder="1"/>
    <xf numFmtId="0" fontId="0" fillId="12" borderId="7" xfId="0" applyFill="1" applyBorder="1" applyAlignment="1">
      <alignment wrapText="1"/>
    </xf>
    <xf numFmtId="2" fontId="0" fillId="12" borderId="12" xfId="0" applyNumberFormat="1" applyFill="1" applyBorder="1"/>
    <xf numFmtId="0" fontId="0" fillId="12" borderId="13" xfId="0" applyFill="1" applyBorder="1"/>
    <xf numFmtId="2" fontId="0" fillId="12" borderId="14" xfId="0" applyNumberFormat="1" applyFill="1" applyBorder="1"/>
    <xf numFmtId="0" fontId="0" fillId="12" borderId="15" xfId="0" applyFill="1" applyBorder="1"/>
    <xf numFmtId="0" fontId="12" fillId="12" borderId="7" xfId="0" applyFont="1" applyFill="1" applyBorder="1" applyAlignment="1">
      <alignment wrapText="1"/>
    </xf>
    <xf numFmtId="0" fontId="0" fillId="12" borderId="23" xfId="0" applyFill="1" applyBorder="1" applyAlignment="1">
      <alignment wrapText="1"/>
    </xf>
    <xf numFmtId="0" fontId="12" fillId="2" borderId="24" xfId="0" applyFont="1" applyFill="1" applyBorder="1" applyAlignment="1">
      <alignment wrapText="1"/>
    </xf>
    <xf numFmtId="0" fontId="0" fillId="2" borderId="3" xfId="0" applyFill="1" applyBorder="1" applyAlignment="1">
      <alignment wrapText="1"/>
    </xf>
    <xf numFmtId="0" fontId="0" fillId="2" borderId="12" xfId="0" applyFill="1" applyBorder="1"/>
    <xf numFmtId="0" fontId="3" fillId="14" borderId="0" xfId="0" applyFont="1" applyFill="1"/>
    <xf numFmtId="0" fontId="3" fillId="15" borderId="0" xfId="0" applyFont="1" applyFill="1"/>
    <xf numFmtId="2" fontId="0" fillId="13" borderId="5" xfId="0" applyNumberFormat="1" applyFill="1" applyBorder="1"/>
    <xf numFmtId="2" fontId="0" fillId="13" borderId="4" xfId="0" applyNumberFormat="1" applyFill="1" applyBorder="1"/>
    <xf numFmtId="0" fontId="0" fillId="13" borderId="1" xfId="0" applyFill="1" applyBorder="1"/>
    <xf numFmtId="11" fontId="0" fillId="0" borderId="0" xfId="0" applyNumberFormat="1" applyBorder="1"/>
    <xf numFmtId="11" fontId="0" fillId="13" borderId="0" xfId="0" applyNumberFormat="1" applyFill="1" applyBorder="1"/>
    <xf numFmtId="11" fontId="0" fillId="13" borderId="4" xfId="0" applyNumberFormat="1" applyFill="1" applyBorder="1"/>
    <xf numFmtId="166" fontId="17" fillId="17" borderId="19" xfId="2581" applyNumberFormat="1" applyFont="1" applyFill="1" applyBorder="1" applyAlignment="1">
      <alignment horizontal="right" wrapText="1"/>
    </xf>
    <xf numFmtId="0" fontId="17" fillId="17" borderId="19" xfId="2581" applyFont="1" applyFill="1" applyBorder="1" applyAlignment="1">
      <alignment horizontal="right" wrapText="1"/>
    </xf>
    <xf numFmtId="0" fontId="17" fillId="17" borderId="19" xfId="2581" applyFont="1" applyFill="1" applyBorder="1" applyAlignment="1">
      <alignment wrapText="1"/>
    </xf>
    <xf numFmtId="0" fontId="18" fillId="17" borderId="19" xfId="2581" applyFont="1" applyFill="1" applyBorder="1" applyAlignment="1">
      <alignment wrapText="1"/>
    </xf>
    <xf numFmtId="0" fontId="17" fillId="17" borderId="19" xfId="1861" applyFont="1" applyFill="1" applyBorder="1" applyAlignment="1">
      <alignment horizontal="right" wrapText="1"/>
    </xf>
    <xf numFmtId="0" fontId="11" fillId="17" borderId="19" xfId="0" applyFont="1" applyFill="1" applyBorder="1" applyAlignment="1">
      <alignment wrapText="1"/>
    </xf>
    <xf numFmtId="0" fontId="16" fillId="16" borderId="19" xfId="2582" applyBorder="1" applyAlignment="1">
      <alignment horizontal="left" wrapText="1"/>
    </xf>
    <xf numFmtId="0" fontId="16" fillId="16" borderId="19" xfId="2582" applyBorder="1" applyAlignment="1">
      <alignment horizontal="center" wrapText="1"/>
    </xf>
    <xf numFmtId="0" fontId="16" fillId="16" borderId="26" xfId="2582" applyBorder="1" applyAlignment="1">
      <alignment horizontal="center" wrapText="1"/>
    </xf>
    <xf numFmtId="0" fontId="4" fillId="0" borderId="0" xfId="0" applyFont="1" applyFill="1" applyAlignment="1">
      <alignment wrapText="1"/>
    </xf>
    <xf numFmtId="166" fontId="17" fillId="12" borderId="19" xfId="2581" applyNumberFormat="1" applyFont="1" applyFill="1" applyBorder="1" applyAlignment="1">
      <alignment horizontal="right"/>
    </xf>
    <xf numFmtId="0" fontId="17" fillId="12" borderId="19" xfId="2581" applyFont="1" applyFill="1" applyBorder="1" applyAlignment="1">
      <alignment horizontal="right" wrapText="1"/>
    </xf>
    <xf numFmtId="2" fontId="17" fillId="12" borderId="19" xfId="2581" applyNumberFormat="1" applyFont="1" applyFill="1" applyBorder="1" applyAlignment="1">
      <alignment horizontal="right" wrapText="1"/>
    </xf>
    <xf numFmtId="2" fontId="17" fillId="13" borderId="19" xfId="2581" applyNumberFormat="1" applyFont="1" applyFill="1" applyBorder="1" applyAlignment="1">
      <alignment wrapText="1"/>
    </xf>
    <xf numFmtId="1" fontId="17" fillId="13" borderId="19" xfId="2581" applyNumberFormat="1" applyFont="1" applyFill="1" applyBorder="1" applyAlignment="1">
      <alignment wrapText="1"/>
    </xf>
    <xf numFmtId="165" fontId="17" fillId="13" borderId="19" xfId="2581" applyNumberFormat="1" applyFont="1" applyFill="1" applyBorder="1" applyAlignment="1">
      <alignment wrapText="1"/>
    </xf>
    <xf numFmtId="167" fontId="17" fillId="13" borderId="19" xfId="1862" applyNumberFormat="1" applyFont="1" applyFill="1" applyBorder="1"/>
    <xf numFmtId="11" fontId="17" fillId="13" borderId="19" xfId="2581" applyNumberFormat="1" applyFont="1" applyFill="1" applyBorder="1" applyAlignment="1">
      <alignment wrapText="1"/>
    </xf>
    <xf numFmtId="11" fontId="17" fillId="17" borderId="19" xfId="2581" applyNumberFormat="1" applyFont="1" applyFill="1" applyBorder="1" applyAlignment="1">
      <alignment wrapText="1"/>
    </xf>
    <xf numFmtId="0" fontId="11" fillId="12" borderId="19" xfId="0" applyFont="1" applyFill="1" applyBorder="1"/>
    <xf numFmtId="165" fontId="16" fillId="12" borderId="19" xfId="2582" applyNumberFormat="1" applyFill="1" applyBorder="1"/>
    <xf numFmtId="168" fontId="16" fillId="12" borderId="26" xfId="2582" applyNumberFormat="1" applyFill="1" applyBorder="1"/>
    <xf numFmtId="2" fontId="0" fillId="0" borderId="0" xfId="0" applyNumberFormat="1" applyFill="1"/>
    <xf numFmtId="0" fontId="4" fillId="0" borderId="0" xfId="0" applyFont="1"/>
    <xf numFmtId="0" fontId="4" fillId="12" borderId="0" xfId="0" applyFont="1" applyFill="1"/>
    <xf numFmtId="2" fontId="4" fillId="12" borderId="0" xfId="0" applyNumberFormat="1" applyFont="1" applyFill="1"/>
    <xf numFmtId="0" fontId="4" fillId="0" borderId="0" xfId="0" applyFont="1" applyAlignment="1">
      <alignment horizontal="center"/>
    </xf>
    <xf numFmtId="0" fontId="4" fillId="17" borderId="27" xfId="0" applyFont="1" applyFill="1" applyBorder="1"/>
    <xf numFmtId="2" fontId="4" fillId="12" borderId="28" xfId="0" applyNumberFormat="1" applyFont="1" applyFill="1" applyBorder="1"/>
    <xf numFmtId="2" fontId="4" fillId="0" borderId="0" xfId="0" applyNumberFormat="1" applyFont="1"/>
    <xf numFmtId="0" fontId="4" fillId="17" borderId="12" xfId="0" applyFont="1" applyFill="1" applyBorder="1"/>
    <xf numFmtId="2" fontId="4" fillId="12" borderId="13" xfId="0" applyNumberFormat="1" applyFont="1" applyFill="1" applyBorder="1"/>
    <xf numFmtId="0" fontId="4" fillId="12" borderId="13" xfId="0" applyFont="1" applyFill="1" applyBorder="1"/>
    <xf numFmtId="0" fontId="4" fillId="0" borderId="0" xfId="0" applyFont="1" applyFill="1"/>
    <xf numFmtId="0" fontId="4" fillId="17" borderId="14" xfId="0" applyFont="1" applyFill="1" applyBorder="1"/>
    <xf numFmtId="164" fontId="4" fillId="12" borderId="15" xfId="0" applyNumberFormat="1" applyFont="1" applyFill="1" applyBorder="1"/>
    <xf numFmtId="0" fontId="11" fillId="3" borderId="4" xfId="0" applyFont="1" applyFill="1" applyBorder="1" applyAlignment="1">
      <alignment horizontal="center" wrapText="1"/>
    </xf>
    <xf numFmtId="0" fontId="4" fillId="3" borderId="4" xfId="0" applyFont="1" applyFill="1" applyBorder="1" applyAlignment="1">
      <alignment wrapText="1"/>
    </xf>
    <xf numFmtId="0" fontId="4" fillId="0" borderId="0" xfId="0" applyFont="1" applyFill="1" applyBorder="1" applyAlignment="1">
      <alignment wrapText="1"/>
    </xf>
    <xf numFmtId="0" fontId="11" fillId="2" borderId="0" xfId="0" applyFont="1" applyFill="1" applyAlignment="1">
      <alignment horizontal="left"/>
    </xf>
    <xf numFmtId="0" fontId="0" fillId="2" borderId="0" xfId="0" applyFill="1"/>
    <xf numFmtId="0" fontId="4" fillId="2" borderId="0" xfId="0" applyFont="1" applyFill="1" applyAlignment="1">
      <alignment horizontal="left"/>
    </xf>
    <xf numFmtId="0" fontId="11" fillId="11" borderId="27" xfId="0" applyFont="1" applyFill="1" applyBorder="1" applyAlignment="1">
      <alignment horizontal="left"/>
    </xf>
    <xf numFmtId="0" fontId="0" fillId="11" borderId="28" xfId="0" applyFill="1" applyBorder="1"/>
    <xf numFmtId="0" fontId="0" fillId="12" borderId="27" xfId="0" applyFill="1" applyBorder="1"/>
    <xf numFmtId="2" fontId="0" fillId="12" borderId="5" xfId="0" applyNumberFormat="1" applyFill="1" applyBorder="1"/>
    <xf numFmtId="0" fontId="0" fillId="11" borderId="12" xfId="0" applyFill="1" applyBorder="1"/>
    <xf numFmtId="0" fontId="0" fillId="11" borderId="13" xfId="0" applyFill="1" applyBorder="1"/>
    <xf numFmtId="0" fontId="0" fillId="12" borderId="12" xfId="0" applyFill="1" applyBorder="1"/>
    <xf numFmtId="0" fontId="11" fillId="11" borderId="14" xfId="0" applyFont="1" applyFill="1" applyBorder="1" applyAlignment="1">
      <alignment horizontal="left"/>
    </xf>
    <xf numFmtId="0" fontId="0" fillId="11" borderId="15" xfId="0" applyFill="1" applyBorder="1"/>
    <xf numFmtId="0" fontId="0" fillId="12" borderId="14" xfId="0" applyFill="1" applyBorder="1"/>
    <xf numFmtId="2" fontId="0" fillId="12" borderId="4" xfId="0" applyNumberFormat="1" applyFill="1" applyBorder="1"/>
    <xf numFmtId="0" fontId="6" fillId="2" borderId="0" xfId="0" applyFont="1" applyFill="1"/>
    <xf numFmtId="2" fontId="0" fillId="0" borderId="0" xfId="0" applyNumberFormat="1"/>
    <xf numFmtId="2" fontId="0" fillId="0" borderId="0" xfId="0" applyNumberFormat="1" applyBorder="1"/>
    <xf numFmtId="1" fontId="0" fillId="12" borderId="0" xfId="0" applyNumberFormat="1" applyFill="1"/>
    <xf numFmtId="0" fontId="0" fillId="6" borderId="0" xfId="0" applyFill="1"/>
    <xf numFmtId="0" fontId="23" fillId="0" borderId="0" xfId="0" applyFont="1"/>
    <xf numFmtId="0" fontId="0" fillId="0" borderId="0" xfId="0" applyFont="1"/>
    <xf numFmtId="0" fontId="3" fillId="0" borderId="0" xfId="0" applyFont="1" applyFill="1"/>
    <xf numFmtId="0" fontId="0" fillId="0" borderId="0" xfId="0" applyAlignment="1">
      <alignment horizontal="left" wrapText="1"/>
    </xf>
    <xf numFmtId="0" fontId="0" fillId="4" borderId="8" xfId="0" applyFill="1" applyBorder="1" applyAlignment="1">
      <alignment horizontal="center"/>
    </xf>
    <xf numFmtId="0" fontId="0" fillId="4" borderId="1" xfId="0" applyFill="1" applyBorder="1" applyAlignment="1">
      <alignment horizontal="center"/>
    </xf>
    <xf numFmtId="0" fontId="0" fillId="4" borderId="9" xfId="0" applyFill="1" applyBorder="1" applyAlignment="1">
      <alignment horizontal="center"/>
    </xf>
    <xf numFmtId="0" fontId="0" fillId="2" borderId="8" xfId="0" applyFill="1" applyBorder="1" applyAlignment="1">
      <alignment horizontal="center"/>
    </xf>
    <xf numFmtId="0" fontId="0" fillId="2" borderId="1" xfId="0" applyFill="1" applyBorder="1" applyAlignment="1">
      <alignment horizontal="center"/>
    </xf>
    <xf numFmtId="0" fontId="0" fillId="2" borderId="9" xfId="0" applyFill="1" applyBorder="1" applyAlignment="1">
      <alignment horizontal="center"/>
    </xf>
    <xf numFmtId="0" fontId="0" fillId="12" borderId="8" xfId="0" applyFill="1" applyBorder="1" applyAlignment="1">
      <alignment horizontal="center"/>
    </xf>
    <xf numFmtId="0" fontId="0" fillId="12" borderId="1" xfId="0" applyFill="1" applyBorder="1" applyAlignment="1">
      <alignment horizontal="center"/>
    </xf>
    <xf numFmtId="0" fontId="0" fillId="12" borderId="9" xfId="0" applyFill="1" applyBorder="1" applyAlignment="1">
      <alignment horizontal="center"/>
    </xf>
    <xf numFmtId="0" fontId="0" fillId="18" borderId="0" xfId="0" applyFill="1" applyBorder="1"/>
    <xf numFmtId="168" fontId="22" fillId="18" borderId="0" xfId="1862" applyNumberFormat="1" applyFont="1" applyFill="1" applyBorder="1"/>
    <xf numFmtId="0" fontId="4" fillId="18" borderId="27" xfId="0" applyFont="1" applyFill="1" applyBorder="1" applyAlignment="1">
      <alignment wrapText="1"/>
    </xf>
    <xf numFmtId="0" fontId="4" fillId="18" borderId="5" xfId="0" applyFont="1" applyFill="1" applyBorder="1" applyAlignment="1">
      <alignment wrapText="1"/>
    </xf>
    <xf numFmtId="0" fontId="4" fillId="18" borderId="28" xfId="0" applyFont="1" applyFill="1" applyBorder="1" applyAlignment="1">
      <alignment wrapText="1"/>
    </xf>
    <xf numFmtId="0" fontId="0" fillId="18" borderId="12" xfId="0" applyFill="1" applyBorder="1"/>
    <xf numFmtId="11" fontId="0" fillId="18" borderId="13" xfId="0" applyNumberFormat="1" applyFill="1" applyBorder="1"/>
    <xf numFmtId="0" fontId="0" fillId="18" borderId="13" xfId="0" applyFill="1" applyBorder="1"/>
    <xf numFmtId="0" fontId="0" fillId="18" borderId="14" xfId="0" applyFill="1" applyBorder="1"/>
    <xf numFmtId="0" fontId="0" fillId="18" borderId="4" xfId="0" applyFill="1" applyBorder="1"/>
    <xf numFmtId="168" fontId="0" fillId="18" borderId="4" xfId="0" applyNumberFormat="1" applyFill="1" applyBorder="1"/>
    <xf numFmtId="0" fontId="0" fillId="18" borderId="15" xfId="0" applyFill="1" applyBorder="1"/>
    <xf numFmtId="0" fontId="4" fillId="19" borderId="27" xfId="0" applyFont="1" applyFill="1" applyBorder="1" applyAlignment="1">
      <alignment wrapText="1"/>
    </xf>
    <xf numFmtId="0" fontId="4" fillId="19" borderId="5" xfId="0" applyFont="1" applyFill="1" applyBorder="1" applyAlignment="1">
      <alignment wrapText="1"/>
    </xf>
    <xf numFmtId="0" fontId="4" fillId="19" borderId="28" xfId="0" applyFont="1" applyFill="1" applyBorder="1" applyAlignment="1">
      <alignment wrapText="1"/>
    </xf>
    <xf numFmtId="0" fontId="0" fillId="19" borderId="12" xfId="0" applyFill="1" applyBorder="1"/>
    <xf numFmtId="0" fontId="24" fillId="19" borderId="0" xfId="0" applyFont="1" applyFill="1" applyBorder="1"/>
    <xf numFmtId="0" fontId="0" fillId="19" borderId="13" xfId="0" applyFill="1" applyBorder="1"/>
    <xf numFmtId="0" fontId="0" fillId="19" borderId="15" xfId="0" applyFill="1" applyBorder="1"/>
  </cellXfs>
  <cellStyles count="2647">
    <cellStyle name="Calculation" xfId="2582" builtinId="22"/>
    <cellStyle name="Comma 2" xfId="1862"/>
    <cellStyle name="Followed Hyperlink" xfId="2" builtinId="9" hidden="1"/>
    <cellStyle name="Followed Hyperlink" xfId="4" builtinId="9" hidden="1"/>
    <cellStyle name="Followed Hyperlink" xfId="6" builtinId="9" hidden="1"/>
    <cellStyle name="Followed Hyperlink" xfId="8" builtinId="9" hidden="1"/>
    <cellStyle name="Followed Hyperlink" xfId="10" builtinId="9" hidden="1"/>
    <cellStyle name="Followed Hyperlink" xfId="12" builtinId="9" hidden="1"/>
    <cellStyle name="Followed Hyperlink" xfId="14" builtinId="9" hidden="1"/>
    <cellStyle name="Followed Hyperlink" xfId="16" builtinId="9" hidden="1"/>
    <cellStyle name="Followed Hyperlink" xfId="18" builtinId="9" hidden="1"/>
    <cellStyle name="Followed Hyperlink" xfId="20" builtinId="9" hidden="1"/>
    <cellStyle name="Followed Hyperlink" xfId="22" builtinId="9" hidden="1"/>
    <cellStyle name="Followed Hyperlink" xfId="24" builtinId="9" hidden="1"/>
    <cellStyle name="Followed Hyperlink" xfId="26" builtinId="9" hidden="1"/>
    <cellStyle name="Followed Hyperlink" xfId="28" builtinId="9" hidden="1"/>
    <cellStyle name="Followed Hyperlink" xfId="30" builtinId="9" hidden="1"/>
    <cellStyle name="Followed Hyperlink" xfId="32" builtinId="9" hidden="1"/>
    <cellStyle name="Followed Hyperlink" xfId="34" builtinId="9" hidden="1"/>
    <cellStyle name="Followed Hyperlink" xfId="36" builtinId="9" hidden="1"/>
    <cellStyle name="Followed Hyperlink" xfId="38" builtinId="9" hidden="1"/>
    <cellStyle name="Followed Hyperlink" xfId="40" builtinId="9" hidden="1"/>
    <cellStyle name="Followed Hyperlink" xfId="42" builtinId="9" hidden="1"/>
    <cellStyle name="Followed Hyperlink" xfId="44" builtinId="9" hidden="1"/>
    <cellStyle name="Followed Hyperlink" xfId="46" builtinId="9" hidden="1"/>
    <cellStyle name="Followed Hyperlink" xfId="48" builtinId="9" hidden="1"/>
    <cellStyle name="Followed Hyperlink" xfId="50" builtinId="9" hidden="1"/>
    <cellStyle name="Followed Hyperlink" xfId="52" builtinId="9" hidden="1"/>
    <cellStyle name="Followed Hyperlink" xfId="54" builtinId="9" hidden="1"/>
    <cellStyle name="Followed Hyperlink" xfId="56" builtinId="9" hidden="1"/>
    <cellStyle name="Followed Hyperlink" xfId="58" builtinId="9" hidden="1"/>
    <cellStyle name="Followed Hyperlink" xfId="60" builtinId="9" hidden="1"/>
    <cellStyle name="Followed Hyperlink" xfId="62" builtinId="9" hidden="1"/>
    <cellStyle name="Followed Hyperlink" xfId="64" builtinId="9" hidden="1"/>
    <cellStyle name="Followed Hyperlink" xfId="66" builtinId="9" hidden="1"/>
    <cellStyle name="Followed Hyperlink" xfId="68" builtinId="9" hidden="1"/>
    <cellStyle name="Followed Hyperlink" xfId="70" builtinId="9" hidden="1"/>
    <cellStyle name="Followed Hyperlink" xfId="72" builtinId="9" hidden="1"/>
    <cellStyle name="Followed Hyperlink" xfId="74" builtinId="9" hidden="1"/>
    <cellStyle name="Followed Hyperlink" xfId="76" builtinId="9" hidden="1"/>
    <cellStyle name="Followed Hyperlink" xfId="78" builtinId="9" hidden="1"/>
    <cellStyle name="Followed Hyperlink" xfId="80" builtinId="9" hidden="1"/>
    <cellStyle name="Followed Hyperlink" xfId="82" builtinId="9" hidden="1"/>
    <cellStyle name="Followed Hyperlink" xfId="84" builtinId="9" hidden="1"/>
    <cellStyle name="Followed Hyperlink" xfId="86" builtinId="9" hidden="1"/>
    <cellStyle name="Followed Hyperlink" xfId="88" builtinId="9" hidden="1"/>
    <cellStyle name="Followed Hyperlink" xfId="90" builtinId="9" hidden="1"/>
    <cellStyle name="Followed Hyperlink" xfId="92" builtinId="9" hidden="1"/>
    <cellStyle name="Followed Hyperlink" xfId="94" builtinId="9" hidden="1"/>
    <cellStyle name="Followed Hyperlink" xfId="96" builtinId="9" hidden="1"/>
    <cellStyle name="Followed Hyperlink" xfId="98" builtinId="9" hidden="1"/>
    <cellStyle name="Followed Hyperlink" xfId="100" builtinId="9" hidden="1"/>
    <cellStyle name="Followed Hyperlink" xfId="102" builtinId="9" hidden="1"/>
    <cellStyle name="Followed Hyperlink" xfId="104" builtinId="9" hidden="1"/>
    <cellStyle name="Followed Hyperlink" xfId="106" builtinId="9" hidden="1"/>
    <cellStyle name="Followed Hyperlink" xfId="108" builtinId="9" hidden="1"/>
    <cellStyle name="Followed Hyperlink" xfId="110" builtinId="9" hidden="1"/>
    <cellStyle name="Followed Hyperlink" xfId="112" builtinId="9" hidden="1"/>
    <cellStyle name="Followed Hyperlink" xfId="114" builtinId="9" hidden="1"/>
    <cellStyle name="Followed Hyperlink" xfId="116" builtinId="9" hidden="1"/>
    <cellStyle name="Followed Hyperlink" xfId="118" builtinId="9" hidden="1"/>
    <cellStyle name="Followed Hyperlink" xfId="120" builtinId="9" hidden="1"/>
    <cellStyle name="Followed Hyperlink" xfId="122" builtinId="9" hidden="1"/>
    <cellStyle name="Followed Hyperlink" xfId="124" builtinId="9" hidden="1"/>
    <cellStyle name="Followed Hyperlink" xfId="126" builtinId="9" hidden="1"/>
    <cellStyle name="Followed Hyperlink" xfId="128" builtinId="9" hidden="1"/>
    <cellStyle name="Followed Hyperlink" xfId="130" builtinId="9" hidden="1"/>
    <cellStyle name="Followed Hyperlink" xfId="132" builtinId="9" hidden="1"/>
    <cellStyle name="Followed Hyperlink" xfId="134" builtinId="9" hidden="1"/>
    <cellStyle name="Followed Hyperlink" xfId="136" builtinId="9" hidden="1"/>
    <cellStyle name="Followed Hyperlink" xfId="138" builtinId="9" hidden="1"/>
    <cellStyle name="Followed Hyperlink" xfId="140" builtinId="9" hidden="1"/>
    <cellStyle name="Followed Hyperlink" xfId="142" builtinId="9" hidden="1"/>
    <cellStyle name="Followed Hyperlink" xfId="144" builtinId="9" hidden="1"/>
    <cellStyle name="Followed Hyperlink" xfId="146" builtinId="9" hidden="1"/>
    <cellStyle name="Followed Hyperlink" xfId="148" builtinId="9" hidden="1"/>
    <cellStyle name="Followed Hyperlink" xfId="150" builtinId="9" hidden="1"/>
    <cellStyle name="Followed Hyperlink" xfId="152" builtinId="9" hidden="1"/>
    <cellStyle name="Followed Hyperlink" xfId="154" builtinId="9" hidden="1"/>
    <cellStyle name="Followed Hyperlink" xfId="156" builtinId="9" hidden="1"/>
    <cellStyle name="Followed Hyperlink" xfId="158" builtinId="9" hidden="1"/>
    <cellStyle name="Followed Hyperlink" xfId="160" builtinId="9" hidden="1"/>
    <cellStyle name="Followed Hyperlink" xfId="162" builtinId="9" hidden="1"/>
    <cellStyle name="Followed Hyperlink" xfId="164" builtinId="9" hidden="1"/>
    <cellStyle name="Followed Hyperlink" xfId="166" builtinId="9" hidden="1"/>
    <cellStyle name="Followed Hyperlink" xfId="168" builtinId="9" hidden="1"/>
    <cellStyle name="Followed Hyperlink" xfId="170" builtinId="9" hidden="1"/>
    <cellStyle name="Followed Hyperlink" xfId="172" builtinId="9" hidden="1"/>
    <cellStyle name="Followed Hyperlink" xfId="174" builtinId="9" hidden="1"/>
    <cellStyle name="Followed Hyperlink" xfId="176" builtinId="9" hidden="1"/>
    <cellStyle name="Followed Hyperlink" xfId="178" builtinId="9" hidden="1"/>
    <cellStyle name="Followed Hyperlink" xfId="180" builtinId="9" hidden="1"/>
    <cellStyle name="Followed Hyperlink" xfId="182" builtinId="9" hidden="1"/>
    <cellStyle name="Followed Hyperlink" xfId="184" builtinId="9" hidden="1"/>
    <cellStyle name="Followed Hyperlink" xfId="186" builtinId="9" hidden="1"/>
    <cellStyle name="Followed Hyperlink" xfId="188" builtinId="9" hidden="1"/>
    <cellStyle name="Followed Hyperlink" xfId="190" builtinId="9" hidden="1"/>
    <cellStyle name="Followed Hyperlink" xfId="192" builtinId="9" hidden="1"/>
    <cellStyle name="Followed Hyperlink" xfId="194" builtinId="9" hidden="1"/>
    <cellStyle name="Followed Hyperlink" xfId="196" builtinId="9" hidden="1"/>
    <cellStyle name="Followed Hyperlink" xfId="198" builtinId="9" hidden="1"/>
    <cellStyle name="Followed Hyperlink" xfId="200" builtinId="9" hidden="1"/>
    <cellStyle name="Followed Hyperlink" xfId="202" builtinId="9" hidden="1"/>
    <cellStyle name="Followed Hyperlink" xfId="204" builtinId="9" hidden="1"/>
    <cellStyle name="Followed Hyperlink" xfId="206" builtinId="9" hidden="1"/>
    <cellStyle name="Followed Hyperlink" xfId="208" builtinId="9" hidden="1"/>
    <cellStyle name="Followed Hyperlink" xfId="210" builtinId="9" hidden="1"/>
    <cellStyle name="Followed Hyperlink" xfId="212" builtinId="9" hidden="1"/>
    <cellStyle name="Followed Hyperlink" xfId="214" builtinId="9" hidden="1"/>
    <cellStyle name="Followed Hyperlink" xfId="216" builtinId="9" hidden="1"/>
    <cellStyle name="Followed Hyperlink" xfId="218" builtinId="9" hidden="1"/>
    <cellStyle name="Followed Hyperlink" xfId="220" builtinId="9" hidden="1"/>
    <cellStyle name="Followed Hyperlink" xfId="222" builtinId="9" hidden="1"/>
    <cellStyle name="Followed Hyperlink" xfId="224" builtinId="9" hidden="1"/>
    <cellStyle name="Followed Hyperlink" xfId="226" builtinId="9" hidden="1"/>
    <cellStyle name="Followed Hyperlink" xfId="228" builtinId="9" hidden="1"/>
    <cellStyle name="Followed Hyperlink" xfId="230" builtinId="9" hidden="1"/>
    <cellStyle name="Followed Hyperlink" xfId="232" builtinId="9" hidden="1"/>
    <cellStyle name="Followed Hyperlink" xfId="234" builtinId="9" hidden="1"/>
    <cellStyle name="Followed Hyperlink" xfId="236" builtinId="9" hidden="1"/>
    <cellStyle name="Followed Hyperlink" xfId="238" builtinId="9" hidden="1"/>
    <cellStyle name="Followed Hyperlink" xfId="240" builtinId="9" hidden="1"/>
    <cellStyle name="Followed Hyperlink" xfId="242" builtinId="9" hidden="1"/>
    <cellStyle name="Followed Hyperlink" xfId="244" builtinId="9" hidden="1"/>
    <cellStyle name="Followed Hyperlink" xfId="246" builtinId="9" hidden="1"/>
    <cellStyle name="Followed Hyperlink" xfId="248" builtinId="9" hidden="1"/>
    <cellStyle name="Followed Hyperlink" xfId="250" builtinId="9" hidden="1"/>
    <cellStyle name="Followed Hyperlink" xfId="252" builtinId="9" hidden="1"/>
    <cellStyle name="Followed Hyperlink" xfId="254" builtinId="9" hidden="1"/>
    <cellStyle name="Followed Hyperlink" xfId="256" builtinId="9" hidden="1"/>
    <cellStyle name="Followed Hyperlink" xfId="258" builtinId="9" hidden="1"/>
    <cellStyle name="Followed Hyperlink" xfId="260" builtinId="9" hidden="1"/>
    <cellStyle name="Followed Hyperlink" xfId="262" builtinId="9" hidden="1"/>
    <cellStyle name="Followed Hyperlink" xfId="264" builtinId="9" hidden="1"/>
    <cellStyle name="Followed Hyperlink" xfId="266" builtinId="9" hidden="1"/>
    <cellStyle name="Followed Hyperlink" xfId="268" builtinId="9" hidden="1"/>
    <cellStyle name="Followed Hyperlink" xfId="270" builtinId="9" hidden="1"/>
    <cellStyle name="Followed Hyperlink" xfId="272" builtinId="9" hidden="1"/>
    <cellStyle name="Followed Hyperlink" xfId="274" builtinId="9" hidden="1"/>
    <cellStyle name="Followed Hyperlink" xfId="276" builtinId="9" hidden="1"/>
    <cellStyle name="Followed Hyperlink" xfId="278" builtinId="9" hidden="1"/>
    <cellStyle name="Followed Hyperlink" xfId="280" builtinId="9" hidden="1"/>
    <cellStyle name="Followed Hyperlink" xfId="282" builtinId="9" hidden="1"/>
    <cellStyle name="Followed Hyperlink" xfId="284" builtinId="9" hidden="1"/>
    <cellStyle name="Followed Hyperlink" xfId="286" builtinId="9" hidden="1"/>
    <cellStyle name="Followed Hyperlink" xfId="288" builtinId="9" hidden="1"/>
    <cellStyle name="Followed Hyperlink" xfId="290" builtinId="9" hidden="1"/>
    <cellStyle name="Followed Hyperlink" xfId="292" builtinId="9" hidden="1"/>
    <cellStyle name="Followed Hyperlink" xfId="294" builtinId="9" hidden="1"/>
    <cellStyle name="Followed Hyperlink" xfId="296" builtinId="9" hidden="1"/>
    <cellStyle name="Followed Hyperlink" xfId="298" builtinId="9" hidden="1"/>
    <cellStyle name="Followed Hyperlink" xfId="300" builtinId="9" hidden="1"/>
    <cellStyle name="Followed Hyperlink" xfId="302" builtinId="9" hidden="1"/>
    <cellStyle name="Followed Hyperlink" xfId="304" builtinId="9" hidden="1"/>
    <cellStyle name="Followed Hyperlink" xfId="306" builtinId="9" hidden="1"/>
    <cellStyle name="Followed Hyperlink" xfId="308" builtinId="9" hidden="1"/>
    <cellStyle name="Followed Hyperlink" xfId="310" builtinId="9" hidden="1"/>
    <cellStyle name="Followed Hyperlink" xfId="312" builtinId="9" hidden="1"/>
    <cellStyle name="Followed Hyperlink" xfId="314" builtinId="9" hidden="1"/>
    <cellStyle name="Followed Hyperlink" xfId="316" builtinId="9" hidden="1"/>
    <cellStyle name="Followed Hyperlink" xfId="318" builtinId="9" hidden="1"/>
    <cellStyle name="Followed Hyperlink" xfId="320" builtinId="9" hidden="1"/>
    <cellStyle name="Followed Hyperlink" xfId="322" builtinId="9" hidden="1"/>
    <cellStyle name="Followed Hyperlink" xfId="324" builtinId="9" hidden="1"/>
    <cellStyle name="Followed Hyperlink" xfId="326" builtinId="9" hidden="1"/>
    <cellStyle name="Followed Hyperlink" xfId="328" builtinId="9" hidden="1"/>
    <cellStyle name="Followed Hyperlink" xfId="330" builtinId="9" hidden="1"/>
    <cellStyle name="Followed Hyperlink" xfId="332" builtinId="9" hidden="1"/>
    <cellStyle name="Followed Hyperlink" xfId="334" builtinId="9" hidden="1"/>
    <cellStyle name="Followed Hyperlink" xfId="336" builtinId="9" hidden="1"/>
    <cellStyle name="Followed Hyperlink" xfId="338" builtinId="9" hidden="1"/>
    <cellStyle name="Followed Hyperlink" xfId="340" builtinId="9" hidden="1"/>
    <cellStyle name="Followed Hyperlink" xfId="342" builtinId="9" hidden="1"/>
    <cellStyle name="Followed Hyperlink" xfId="344" builtinId="9" hidden="1"/>
    <cellStyle name="Followed Hyperlink" xfId="346" builtinId="9" hidden="1"/>
    <cellStyle name="Followed Hyperlink" xfId="348" builtinId="9" hidden="1"/>
    <cellStyle name="Followed Hyperlink" xfId="350" builtinId="9" hidden="1"/>
    <cellStyle name="Followed Hyperlink" xfId="352" builtinId="9" hidden="1"/>
    <cellStyle name="Followed Hyperlink" xfId="354" builtinId="9" hidden="1"/>
    <cellStyle name="Followed Hyperlink" xfId="356" builtinId="9" hidden="1"/>
    <cellStyle name="Followed Hyperlink" xfId="358" builtinId="9" hidden="1"/>
    <cellStyle name="Followed Hyperlink" xfId="360" builtinId="9" hidden="1"/>
    <cellStyle name="Followed Hyperlink" xfId="362" builtinId="9" hidden="1"/>
    <cellStyle name="Followed Hyperlink" xfId="364" builtinId="9" hidden="1"/>
    <cellStyle name="Followed Hyperlink" xfId="366" builtinId="9" hidden="1"/>
    <cellStyle name="Followed Hyperlink" xfId="368" builtinId="9" hidden="1"/>
    <cellStyle name="Followed Hyperlink" xfId="370" builtinId="9" hidden="1"/>
    <cellStyle name="Followed Hyperlink" xfId="372" builtinId="9" hidden="1"/>
    <cellStyle name="Followed Hyperlink" xfId="374" builtinId="9" hidden="1"/>
    <cellStyle name="Followed Hyperlink" xfId="376" builtinId="9" hidden="1"/>
    <cellStyle name="Followed Hyperlink" xfId="378" builtinId="9" hidden="1"/>
    <cellStyle name="Followed Hyperlink" xfId="380" builtinId="9" hidden="1"/>
    <cellStyle name="Followed Hyperlink" xfId="382" builtinId="9" hidden="1"/>
    <cellStyle name="Followed Hyperlink" xfId="384" builtinId="9" hidden="1"/>
    <cellStyle name="Followed Hyperlink" xfId="386" builtinId="9" hidden="1"/>
    <cellStyle name="Followed Hyperlink" xfId="388" builtinId="9" hidden="1"/>
    <cellStyle name="Followed Hyperlink" xfId="390" builtinId="9" hidden="1"/>
    <cellStyle name="Followed Hyperlink" xfId="392" builtinId="9" hidden="1"/>
    <cellStyle name="Followed Hyperlink" xfId="394" builtinId="9" hidden="1"/>
    <cellStyle name="Followed Hyperlink" xfId="396" builtinId="9" hidden="1"/>
    <cellStyle name="Followed Hyperlink" xfId="398" builtinId="9" hidden="1"/>
    <cellStyle name="Followed Hyperlink" xfId="400" builtinId="9" hidden="1"/>
    <cellStyle name="Followed Hyperlink" xfId="402" builtinId="9" hidden="1"/>
    <cellStyle name="Followed Hyperlink" xfId="404" builtinId="9" hidden="1"/>
    <cellStyle name="Followed Hyperlink" xfId="406" builtinId="9" hidden="1"/>
    <cellStyle name="Followed Hyperlink" xfId="408" builtinId="9" hidden="1"/>
    <cellStyle name="Followed Hyperlink" xfId="410" builtinId="9" hidden="1"/>
    <cellStyle name="Followed Hyperlink" xfId="412" builtinId="9" hidden="1"/>
    <cellStyle name="Followed Hyperlink" xfId="414" builtinId="9" hidden="1"/>
    <cellStyle name="Followed Hyperlink" xfId="416" builtinId="9" hidden="1"/>
    <cellStyle name="Followed Hyperlink" xfId="418" builtinId="9" hidden="1"/>
    <cellStyle name="Followed Hyperlink" xfId="420" builtinId="9" hidden="1"/>
    <cellStyle name="Followed Hyperlink" xfId="422" builtinId="9" hidden="1"/>
    <cellStyle name="Followed Hyperlink" xfId="424" builtinId="9" hidden="1"/>
    <cellStyle name="Followed Hyperlink" xfId="426" builtinId="9" hidden="1"/>
    <cellStyle name="Followed Hyperlink" xfId="428" builtinId="9" hidden="1"/>
    <cellStyle name="Followed Hyperlink" xfId="430" builtinId="9" hidden="1"/>
    <cellStyle name="Followed Hyperlink" xfId="432" builtinId="9" hidden="1"/>
    <cellStyle name="Followed Hyperlink" xfId="434" builtinId="9" hidden="1"/>
    <cellStyle name="Followed Hyperlink" xfId="436" builtinId="9" hidden="1"/>
    <cellStyle name="Followed Hyperlink" xfId="438" builtinId="9" hidden="1"/>
    <cellStyle name="Followed Hyperlink" xfId="440" builtinId="9" hidden="1"/>
    <cellStyle name="Followed Hyperlink" xfId="442" builtinId="9" hidden="1"/>
    <cellStyle name="Followed Hyperlink" xfId="444" builtinId="9" hidden="1"/>
    <cellStyle name="Followed Hyperlink" xfId="446" builtinId="9" hidden="1"/>
    <cellStyle name="Followed Hyperlink" xfId="448" builtinId="9" hidden="1"/>
    <cellStyle name="Followed Hyperlink" xfId="450" builtinId="9" hidden="1"/>
    <cellStyle name="Followed Hyperlink" xfId="452" builtinId="9" hidden="1"/>
    <cellStyle name="Followed Hyperlink" xfId="454" builtinId="9" hidden="1"/>
    <cellStyle name="Followed Hyperlink" xfId="456" builtinId="9" hidden="1"/>
    <cellStyle name="Followed Hyperlink" xfId="458" builtinId="9" hidden="1"/>
    <cellStyle name="Followed Hyperlink" xfId="460" builtinId="9" hidden="1"/>
    <cellStyle name="Followed Hyperlink" xfId="462" builtinId="9" hidden="1"/>
    <cellStyle name="Followed Hyperlink" xfId="464" builtinId="9" hidden="1"/>
    <cellStyle name="Followed Hyperlink" xfId="466" builtinId="9" hidden="1"/>
    <cellStyle name="Followed Hyperlink" xfId="468" builtinId="9" hidden="1"/>
    <cellStyle name="Followed Hyperlink" xfId="470" builtinId="9" hidden="1"/>
    <cellStyle name="Followed Hyperlink" xfId="472" builtinId="9" hidden="1"/>
    <cellStyle name="Followed Hyperlink" xfId="474" builtinId="9" hidden="1"/>
    <cellStyle name="Followed Hyperlink" xfId="476" builtinId="9" hidden="1"/>
    <cellStyle name="Followed Hyperlink" xfId="478" builtinId="9" hidden="1"/>
    <cellStyle name="Followed Hyperlink" xfId="480" builtinId="9" hidden="1"/>
    <cellStyle name="Followed Hyperlink" xfId="482" builtinId="9" hidden="1"/>
    <cellStyle name="Followed Hyperlink" xfId="484" builtinId="9" hidden="1"/>
    <cellStyle name="Followed Hyperlink" xfId="486" builtinId="9" hidden="1"/>
    <cellStyle name="Followed Hyperlink" xfId="488" builtinId="9" hidden="1"/>
    <cellStyle name="Followed Hyperlink" xfId="490" builtinId="9" hidden="1"/>
    <cellStyle name="Followed Hyperlink" xfId="492" builtinId="9" hidden="1"/>
    <cellStyle name="Followed Hyperlink" xfId="494" builtinId="9" hidden="1"/>
    <cellStyle name="Followed Hyperlink" xfId="496" builtinId="9" hidden="1"/>
    <cellStyle name="Followed Hyperlink" xfId="498" builtinId="9" hidden="1"/>
    <cellStyle name="Followed Hyperlink" xfId="500" builtinId="9" hidden="1"/>
    <cellStyle name="Followed Hyperlink" xfId="502" builtinId="9" hidden="1"/>
    <cellStyle name="Followed Hyperlink" xfId="504" builtinId="9" hidden="1"/>
    <cellStyle name="Followed Hyperlink" xfId="506" builtinId="9" hidden="1"/>
    <cellStyle name="Followed Hyperlink" xfId="508" builtinId="9" hidden="1"/>
    <cellStyle name="Followed Hyperlink" xfId="510" builtinId="9" hidden="1"/>
    <cellStyle name="Followed Hyperlink" xfId="512" builtinId="9" hidden="1"/>
    <cellStyle name="Followed Hyperlink" xfId="514" builtinId="9" hidden="1"/>
    <cellStyle name="Followed Hyperlink" xfId="516" builtinId="9" hidden="1"/>
    <cellStyle name="Followed Hyperlink" xfId="518" builtinId="9" hidden="1"/>
    <cellStyle name="Followed Hyperlink" xfId="520" builtinId="9" hidden="1"/>
    <cellStyle name="Followed Hyperlink" xfId="522" builtinId="9" hidden="1"/>
    <cellStyle name="Followed Hyperlink" xfId="524" builtinId="9" hidden="1"/>
    <cellStyle name="Followed Hyperlink" xfId="526" builtinId="9" hidden="1"/>
    <cellStyle name="Followed Hyperlink" xfId="528" builtinId="9" hidden="1"/>
    <cellStyle name="Followed Hyperlink" xfId="530" builtinId="9" hidden="1"/>
    <cellStyle name="Followed Hyperlink" xfId="532" builtinId="9" hidden="1"/>
    <cellStyle name="Followed Hyperlink" xfId="534" builtinId="9" hidden="1"/>
    <cellStyle name="Followed Hyperlink" xfId="536" builtinId="9" hidden="1"/>
    <cellStyle name="Followed Hyperlink" xfId="538" builtinId="9" hidden="1"/>
    <cellStyle name="Followed Hyperlink" xfId="540" builtinId="9" hidden="1"/>
    <cellStyle name="Followed Hyperlink" xfId="542" builtinId="9" hidden="1"/>
    <cellStyle name="Followed Hyperlink" xfId="544" builtinId="9" hidden="1"/>
    <cellStyle name="Followed Hyperlink" xfId="546" builtinId="9" hidden="1"/>
    <cellStyle name="Followed Hyperlink" xfId="548" builtinId="9" hidden="1"/>
    <cellStyle name="Followed Hyperlink" xfId="550" builtinId="9" hidden="1"/>
    <cellStyle name="Followed Hyperlink" xfId="552" builtinId="9" hidden="1"/>
    <cellStyle name="Followed Hyperlink" xfId="554" builtinId="9" hidden="1"/>
    <cellStyle name="Followed Hyperlink" xfId="556" builtinId="9" hidden="1"/>
    <cellStyle name="Followed Hyperlink" xfId="558" builtinId="9" hidden="1"/>
    <cellStyle name="Followed Hyperlink" xfId="560" builtinId="9" hidden="1"/>
    <cellStyle name="Followed Hyperlink" xfId="562" builtinId="9" hidden="1"/>
    <cellStyle name="Followed Hyperlink" xfId="564" builtinId="9" hidden="1"/>
    <cellStyle name="Followed Hyperlink" xfId="566" builtinId="9" hidden="1"/>
    <cellStyle name="Followed Hyperlink" xfId="568" builtinId="9" hidden="1"/>
    <cellStyle name="Followed Hyperlink" xfId="570" builtinId="9" hidden="1"/>
    <cellStyle name="Followed Hyperlink" xfId="572" builtinId="9" hidden="1"/>
    <cellStyle name="Followed Hyperlink" xfId="574" builtinId="9" hidden="1"/>
    <cellStyle name="Followed Hyperlink" xfId="576" builtinId="9" hidden="1"/>
    <cellStyle name="Followed Hyperlink" xfId="578" builtinId="9" hidden="1"/>
    <cellStyle name="Followed Hyperlink" xfId="580" builtinId="9" hidden="1"/>
    <cellStyle name="Followed Hyperlink" xfId="582" builtinId="9" hidden="1"/>
    <cellStyle name="Followed Hyperlink" xfId="584" builtinId="9" hidden="1"/>
    <cellStyle name="Followed Hyperlink" xfId="586" builtinId="9" hidden="1"/>
    <cellStyle name="Followed Hyperlink" xfId="588" builtinId="9" hidden="1"/>
    <cellStyle name="Followed Hyperlink" xfId="590" builtinId="9" hidden="1"/>
    <cellStyle name="Followed Hyperlink" xfId="592" builtinId="9" hidden="1"/>
    <cellStyle name="Followed Hyperlink" xfId="594" builtinId="9" hidden="1"/>
    <cellStyle name="Followed Hyperlink" xfId="596" builtinId="9" hidden="1"/>
    <cellStyle name="Followed Hyperlink" xfId="598" builtinId="9" hidden="1"/>
    <cellStyle name="Followed Hyperlink" xfId="600" builtinId="9" hidden="1"/>
    <cellStyle name="Followed Hyperlink" xfId="602" builtinId="9" hidden="1"/>
    <cellStyle name="Followed Hyperlink" xfId="604" builtinId="9" hidden="1"/>
    <cellStyle name="Followed Hyperlink" xfId="606" builtinId="9" hidden="1"/>
    <cellStyle name="Followed Hyperlink" xfId="608" builtinId="9" hidden="1"/>
    <cellStyle name="Followed Hyperlink" xfId="610" builtinId="9" hidden="1"/>
    <cellStyle name="Followed Hyperlink" xfId="612" builtinId="9" hidden="1"/>
    <cellStyle name="Followed Hyperlink" xfId="614" builtinId="9" hidden="1"/>
    <cellStyle name="Followed Hyperlink" xfId="616" builtinId="9" hidden="1"/>
    <cellStyle name="Followed Hyperlink" xfId="618" builtinId="9" hidden="1"/>
    <cellStyle name="Followed Hyperlink" xfId="620" builtinId="9" hidden="1"/>
    <cellStyle name="Followed Hyperlink" xfId="622" builtinId="9" hidden="1"/>
    <cellStyle name="Followed Hyperlink" xfId="624" builtinId="9" hidden="1"/>
    <cellStyle name="Followed Hyperlink" xfId="626" builtinId="9" hidden="1"/>
    <cellStyle name="Followed Hyperlink" xfId="628" builtinId="9" hidden="1"/>
    <cellStyle name="Followed Hyperlink" xfId="630" builtinId="9" hidden="1"/>
    <cellStyle name="Followed Hyperlink" xfId="632" builtinId="9" hidden="1"/>
    <cellStyle name="Followed Hyperlink" xfId="634" builtinId="9" hidden="1"/>
    <cellStyle name="Followed Hyperlink" xfId="636" builtinId="9" hidden="1"/>
    <cellStyle name="Followed Hyperlink" xfId="638" builtinId="9" hidden="1"/>
    <cellStyle name="Followed Hyperlink" xfId="640" builtinId="9" hidden="1"/>
    <cellStyle name="Followed Hyperlink" xfId="642" builtinId="9" hidden="1"/>
    <cellStyle name="Followed Hyperlink" xfId="644" builtinId="9" hidden="1"/>
    <cellStyle name="Followed Hyperlink" xfId="646" builtinId="9" hidden="1"/>
    <cellStyle name="Followed Hyperlink" xfId="648" builtinId="9" hidden="1"/>
    <cellStyle name="Followed Hyperlink" xfId="650" builtinId="9" hidden="1"/>
    <cellStyle name="Followed Hyperlink" xfId="652" builtinId="9" hidden="1"/>
    <cellStyle name="Followed Hyperlink" xfId="654" builtinId="9" hidden="1"/>
    <cellStyle name="Followed Hyperlink" xfId="656" builtinId="9" hidden="1"/>
    <cellStyle name="Followed Hyperlink" xfId="658" builtinId="9" hidden="1"/>
    <cellStyle name="Followed Hyperlink" xfId="660" builtinId="9" hidden="1"/>
    <cellStyle name="Followed Hyperlink" xfId="662" builtinId="9" hidden="1"/>
    <cellStyle name="Followed Hyperlink" xfId="664" builtinId="9" hidden="1"/>
    <cellStyle name="Followed Hyperlink" xfId="666" builtinId="9" hidden="1"/>
    <cellStyle name="Followed Hyperlink" xfId="668" builtinId="9" hidden="1"/>
    <cellStyle name="Followed Hyperlink" xfId="670" builtinId="9" hidden="1"/>
    <cellStyle name="Followed Hyperlink" xfId="672" builtinId="9" hidden="1"/>
    <cellStyle name="Followed Hyperlink" xfId="674" builtinId="9" hidden="1"/>
    <cellStyle name="Followed Hyperlink" xfId="676" builtinId="9" hidden="1"/>
    <cellStyle name="Followed Hyperlink" xfId="678" builtinId="9" hidden="1"/>
    <cellStyle name="Followed Hyperlink" xfId="680" builtinId="9" hidden="1"/>
    <cellStyle name="Followed Hyperlink" xfId="682" builtinId="9" hidden="1"/>
    <cellStyle name="Followed Hyperlink" xfId="684" builtinId="9" hidden="1"/>
    <cellStyle name="Followed Hyperlink" xfId="686" builtinId="9" hidden="1"/>
    <cellStyle name="Followed Hyperlink" xfId="688" builtinId="9" hidden="1"/>
    <cellStyle name="Followed Hyperlink" xfId="690" builtinId="9" hidden="1"/>
    <cellStyle name="Followed Hyperlink" xfId="692" builtinId="9" hidden="1"/>
    <cellStyle name="Followed Hyperlink" xfId="694" builtinId="9" hidden="1"/>
    <cellStyle name="Followed Hyperlink" xfId="696" builtinId="9" hidden="1"/>
    <cellStyle name="Followed Hyperlink" xfId="698" builtinId="9" hidden="1"/>
    <cellStyle name="Followed Hyperlink" xfId="700" builtinId="9" hidden="1"/>
    <cellStyle name="Followed Hyperlink" xfId="702" builtinId="9" hidden="1"/>
    <cellStyle name="Followed Hyperlink" xfId="704" builtinId="9" hidden="1"/>
    <cellStyle name="Followed Hyperlink" xfId="706" builtinId="9" hidden="1"/>
    <cellStyle name="Followed Hyperlink" xfId="708" builtinId="9" hidden="1"/>
    <cellStyle name="Followed Hyperlink" xfId="710" builtinId="9" hidden="1"/>
    <cellStyle name="Followed Hyperlink" xfId="712" builtinId="9" hidden="1"/>
    <cellStyle name="Followed Hyperlink" xfId="714" builtinId="9" hidden="1"/>
    <cellStyle name="Followed Hyperlink" xfId="716" builtinId="9" hidden="1"/>
    <cellStyle name="Followed Hyperlink" xfId="718" builtinId="9" hidden="1"/>
    <cellStyle name="Followed Hyperlink" xfId="720" builtinId="9" hidden="1"/>
    <cellStyle name="Followed Hyperlink" xfId="722" builtinId="9" hidden="1"/>
    <cellStyle name="Followed Hyperlink" xfId="724" builtinId="9" hidden="1"/>
    <cellStyle name="Followed Hyperlink" xfId="726" builtinId="9" hidden="1"/>
    <cellStyle name="Followed Hyperlink" xfId="728" builtinId="9" hidden="1"/>
    <cellStyle name="Followed Hyperlink" xfId="730" builtinId="9" hidden="1"/>
    <cellStyle name="Followed Hyperlink" xfId="732" builtinId="9" hidden="1"/>
    <cellStyle name="Followed Hyperlink" xfId="734" builtinId="9" hidden="1"/>
    <cellStyle name="Followed Hyperlink" xfId="736" builtinId="9" hidden="1"/>
    <cellStyle name="Followed Hyperlink" xfId="738" builtinId="9" hidden="1"/>
    <cellStyle name="Followed Hyperlink" xfId="740" builtinId="9" hidden="1"/>
    <cellStyle name="Followed Hyperlink" xfId="742" builtinId="9" hidden="1"/>
    <cellStyle name="Followed Hyperlink" xfId="744" builtinId="9" hidden="1"/>
    <cellStyle name="Followed Hyperlink" xfId="746" builtinId="9" hidden="1"/>
    <cellStyle name="Followed Hyperlink" xfId="748" builtinId="9" hidden="1"/>
    <cellStyle name="Followed Hyperlink" xfId="750" builtinId="9" hidden="1"/>
    <cellStyle name="Followed Hyperlink" xfId="752" builtinId="9" hidden="1"/>
    <cellStyle name="Followed Hyperlink" xfId="754" builtinId="9" hidden="1"/>
    <cellStyle name="Followed Hyperlink" xfId="756" builtinId="9" hidden="1"/>
    <cellStyle name="Followed Hyperlink" xfId="758" builtinId="9" hidden="1"/>
    <cellStyle name="Followed Hyperlink" xfId="760" builtinId="9" hidden="1"/>
    <cellStyle name="Followed Hyperlink" xfId="762" builtinId="9" hidden="1"/>
    <cellStyle name="Followed Hyperlink" xfId="764" builtinId="9" hidden="1"/>
    <cellStyle name="Followed Hyperlink" xfId="766" builtinId="9" hidden="1"/>
    <cellStyle name="Followed Hyperlink" xfId="768" builtinId="9" hidden="1"/>
    <cellStyle name="Followed Hyperlink" xfId="770" builtinId="9" hidden="1"/>
    <cellStyle name="Followed Hyperlink" xfId="772" builtinId="9" hidden="1"/>
    <cellStyle name="Followed Hyperlink" xfId="774" builtinId="9" hidden="1"/>
    <cellStyle name="Followed Hyperlink" xfId="776" builtinId="9" hidden="1"/>
    <cellStyle name="Followed Hyperlink" xfId="778" builtinId="9" hidden="1"/>
    <cellStyle name="Followed Hyperlink" xfId="780" builtinId="9" hidden="1"/>
    <cellStyle name="Followed Hyperlink" xfId="782" builtinId="9" hidden="1"/>
    <cellStyle name="Followed Hyperlink" xfId="784" builtinId="9" hidden="1"/>
    <cellStyle name="Followed Hyperlink" xfId="786" builtinId="9" hidden="1"/>
    <cellStyle name="Followed Hyperlink" xfId="788" builtinId="9" hidden="1"/>
    <cellStyle name="Followed Hyperlink" xfId="790" builtinId="9" hidden="1"/>
    <cellStyle name="Followed Hyperlink" xfId="792" builtinId="9" hidden="1"/>
    <cellStyle name="Followed Hyperlink" xfId="794" builtinId="9" hidden="1"/>
    <cellStyle name="Followed Hyperlink" xfId="796" builtinId="9" hidden="1"/>
    <cellStyle name="Followed Hyperlink" xfId="798" builtinId="9" hidden="1"/>
    <cellStyle name="Followed Hyperlink" xfId="800" builtinId="9" hidden="1"/>
    <cellStyle name="Followed Hyperlink" xfId="802" builtinId="9" hidden="1"/>
    <cellStyle name="Followed Hyperlink" xfId="804" builtinId="9" hidden="1"/>
    <cellStyle name="Followed Hyperlink" xfId="806" builtinId="9" hidden="1"/>
    <cellStyle name="Followed Hyperlink" xfId="808" builtinId="9" hidden="1"/>
    <cellStyle name="Followed Hyperlink" xfId="810" builtinId="9" hidden="1"/>
    <cellStyle name="Followed Hyperlink" xfId="812" builtinId="9" hidden="1"/>
    <cellStyle name="Followed Hyperlink" xfId="814" builtinId="9" hidden="1"/>
    <cellStyle name="Followed Hyperlink" xfId="816" builtinId="9" hidden="1"/>
    <cellStyle name="Followed Hyperlink" xfId="818" builtinId="9" hidden="1"/>
    <cellStyle name="Followed Hyperlink" xfId="820" builtinId="9" hidden="1"/>
    <cellStyle name="Followed Hyperlink" xfId="822" builtinId="9" hidden="1"/>
    <cellStyle name="Followed Hyperlink" xfId="824" builtinId="9" hidden="1"/>
    <cellStyle name="Followed Hyperlink" xfId="826" builtinId="9" hidden="1"/>
    <cellStyle name="Followed Hyperlink" xfId="828" builtinId="9" hidden="1"/>
    <cellStyle name="Followed Hyperlink" xfId="830" builtinId="9" hidden="1"/>
    <cellStyle name="Followed Hyperlink" xfId="832" builtinId="9" hidden="1"/>
    <cellStyle name="Followed Hyperlink" xfId="834" builtinId="9" hidden="1"/>
    <cellStyle name="Followed Hyperlink" xfId="836" builtinId="9" hidden="1"/>
    <cellStyle name="Followed Hyperlink" xfId="838" builtinId="9" hidden="1"/>
    <cellStyle name="Followed Hyperlink" xfId="840" builtinId="9" hidden="1"/>
    <cellStyle name="Followed Hyperlink" xfId="842" builtinId="9" hidden="1"/>
    <cellStyle name="Followed Hyperlink" xfId="844" builtinId="9" hidden="1"/>
    <cellStyle name="Followed Hyperlink" xfId="846" builtinId="9" hidden="1"/>
    <cellStyle name="Followed Hyperlink" xfId="848" builtinId="9" hidden="1"/>
    <cellStyle name="Followed Hyperlink" xfId="850" builtinId="9" hidden="1"/>
    <cellStyle name="Followed Hyperlink" xfId="852" builtinId="9" hidden="1"/>
    <cellStyle name="Followed Hyperlink" xfId="854" builtinId="9" hidden="1"/>
    <cellStyle name="Followed Hyperlink" xfId="856" builtinId="9" hidden="1"/>
    <cellStyle name="Followed Hyperlink" xfId="858" builtinId="9" hidden="1"/>
    <cellStyle name="Followed Hyperlink" xfId="860" builtinId="9" hidden="1"/>
    <cellStyle name="Followed Hyperlink" xfId="862" builtinId="9" hidden="1"/>
    <cellStyle name="Followed Hyperlink" xfId="864" builtinId="9" hidden="1"/>
    <cellStyle name="Followed Hyperlink" xfId="866" builtinId="9" hidden="1"/>
    <cellStyle name="Followed Hyperlink" xfId="868" builtinId="9" hidden="1"/>
    <cellStyle name="Followed Hyperlink" xfId="870" builtinId="9" hidden="1"/>
    <cellStyle name="Followed Hyperlink" xfId="872" builtinId="9" hidden="1"/>
    <cellStyle name="Followed Hyperlink" xfId="874" builtinId="9" hidden="1"/>
    <cellStyle name="Followed Hyperlink" xfId="876" builtinId="9" hidden="1"/>
    <cellStyle name="Followed Hyperlink" xfId="878" builtinId="9" hidden="1"/>
    <cellStyle name="Followed Hyperlink" xfId="880" builtinId="9" hidden="1"/>
    <cellStyle name="Followed Hyperlink" xfId="882" builtinId="9" hidden="1"/>
    <cellStyle name="Followed Hyperlink" xfId="884" builtinId="9" hidden="1"/>
    <cellStyle name="Followed Hyperlink" xfId="886" builtinId="9" hidden="1"/>
    <cellStyle name="Followed Hyperlink" xfId="888" builtinId="9" hidden="1"/>
    <cellStyle name="Followed Hyperlink" xfId="890" builtinId="9" hidden="1"/>
    <cellStyle name="Followed Hyperlink" xfId="892" builtinId="9" hidden="1"/>
    <cellStyle name="Followed Hyperlink" xfId="894" builtinId="9" hidden="1"/>
    <cellStyle name="Followed Hyperlink" xfId="896" builtinId="9" hidden="1"/>
    <cellStyle name="Followed Hyperlink" xfId="898" builtinId="9" hidden="1"/>
    <cellStyle name="Followed Hyperlink" xfId="900" builtinId="9" hidden="1"/>
    <cellStyle name="Followed Hyperlink" xfId="902" builtinId="9" hidden="1"/>
    <cellStyle name="Followed Hyperlink" xfId="904" builtinId="9" hidden="1"/>
    <cellStyle name="Followed Hyperlink" xfId="906" builtinId="9" hidden="1"/>
    <cellStyle name="Followed Hyperlink" xfId="908" builtinId="9" hidden="1"/>
    <cellStyle name="Followed Hyperlink" xfId="910" builtinId="9" hidden="1"/>
    <cellStyle name="Followed Hyperlink" xfId="912" builtinId="9" hidden="1"/>
    <cellStyle name="Followed Hyperlink" xfId="914" builtinId="9" hidden="1"/>
    <cellStyle name="Followed Hyperlink" xfId="916" builtinId="9" hidden="1"/>
    <cellStyle name="Followed Hyperlink" xfId="918" builtinId="9" hidden="1"/>
    <cellStyle name="Followed Hyperlink" xfId="920" builtinId="9" hidden="1"/>
    <cellStyle name="Followed Hyperlink" xfId="922" builtinId="9" hidden="1"/>
    <cellStyle name="Followed Hyperlink" xfId="924" builtinId="9" hidden="1"/>
    <cellStyle name="Followed Hyperlink" xfId="926" builtinId="9" hidden="1"/>
    <cellStyle name="Followed Hyperlink" xfId="928" builtinId="9" hidden="1"/>
    <cellStyle name="Followed Hyperlink" xfId="930" builtinId="9" hidden="1"/>
    <cellStyle name="Followed Hyperlink" xfId="932" builtinId="9" hidden="1"/>
    <cellStyle name="Followed Hyperlink" xfId="934" builtinId="9" hidden="1"/>
    <cellStyle name="Followed Hyperlink" xfId="936" builtinId="9" hidden="1"/>
    <cellStyle name="Followed Hyperlink" xfId="938" builtinId="9" hidden="1"/>
    <cellStyle name="Followed Hyperlink" xfId="940" builtinId="9" hidden="1"/>
    <cellStyle name="Followed Hyperlink" xfId="942" builtinId="9" hidden="1"/>
    <cellStyle name="Followed Hyperlink" xfId="944" builtinId="9" hidden="1"/>
    <cellStyle name="Followed Hyperlink" xfId="946" builtinId="9" hidden="1"/>
    <cellStyle name="Followed Hyperlink" xfId="948" builtinId="9" hidden="1"/>
    <cellStyle name="Followed Hyperlink" xfId="950" builtinId="9" hidden="1"/>
    <cellStyle name="Followed Hyperlink" xfId="952" builtinId="9" hidden="1"/>
    <cellStyle name="Followed Hyperlink" xfId="954" builtinId="9" hidden="1"/>
    <cellStyle name="Followed Hyperlink" xfId="956" builtinId="9" hidden="1"/>
    <cellStyle name="Followed Hyperlink" xfId="958" builtinId="9" hidden="1"/>
    <cellStyle name="Followed Hyperlink" xfId="960" builtinId="9" hidden="1"/>
    <cellStyle name="Followed Hyperlink" xfId="962" builtinId="9" hidden="1"/>
    <cellStyle name="Followed Hyperlink" xfId="964" builtinId="9" hidden="1"/>
    <cellStyle name="Followed Hyperlink" xfId="966" builtinId="9" hidden="1"/>
    <cellStyle name="Followed Hyperlink" xfId="968" builtinId="9" hidden="1"/>
    <cellStyle name="Followed Hyperlink" xfId="970" builtinId="9" hidden="1"/>
    <cellStyle name="Followed Hyperlink" xfId="972" builtinId="9" hidden="1"/>
    <cellStyle name="Followed Hyperlink" xfId="974" builtinId="9" hidden="1"/>
    <cellStyle name="Followed Hyperlink" xfId="976" builtinId="9" hidden="1"/>
    <cellStyle name="Followed Hyperlink" xfId="978" builtinId="9" hidden="1"/>
    <cellStyle name="Followed Hyperlink" xfId="980" builtinId="9" hidden="1"/>
    <cellStyle name="Followed Hyperlink" xfId="982" builtinId="9" hidden="1"/>
    <cellStyle name="Followed Hyperlink" xfId="984" builtinId="9" hidden="1"/>
    <cellStyle name="Followed Hyperlink" xfId="986" builtinId="9" hidden="1"/>
    <cellStyle name="Followed Hyperlink" xfId="988" builtinId="9" hidden="1"/>
    <cellStyle name="Followed Hyperlink" xfId="990" builtinId="9" hidden="1"/>
    <cellStyle name="Followed Hyperlink" xfId="992" builtinId="9" hidden="1"/>
    <cellStyle name="Followed Hyperlink" xfId="994" builtinId="9" hidden="1"/>
    <cellStyle name="Followed Hyperlink" xfId="996" builtinId="9" hidden="1"/>
    <cellStyle name="Followed Hyperlink" xfId="998" builtinId="9" hidden="1"/>
    <cellStyle name="Followed Hyperlink" xfId="1000" builtinId="9" hidden="1"/>
    <cellStyle name="Followed Hyperlink" xfId="1002" builtinId="9" hidden="1"/>
    <cellStyle name="Followed Hyperlink" xfId="1004" builtinId="9" hidden="1"/>
    <cellStyle name="Followed Hyperlink" xfId="1006" builtinId="9" hidden="1"/>
    <cellStyle name="Followed Hyperlink" xfId="1008" builtinId="9" hidden="1"/>
    <cellStyle name="Followed Hyperlink" xfId="1010" builtinId="9" hidden="1"/>
    <cellStyle name="Followed Hyperlink" xfId="1012" builtinId="9" hidden="1"/>
    <cellStyle name="Followed Hyperlink" xfId="1014" builtinId="9" hidden="1"/>
    <cellStyle name="Followed Hyperlink" xfId="1016" builtinId="9" hidden="1"/>
    <cellStyle name="Followed Hyperlink" xfId="1018" builtinId="9" hidden="1"/>
    <cellStyle name="Followed Hyperlink" xfId="1020" builtinId="9" hidden="1"/>
    <cellStyle name="Followed Hyperlink" xfId="1022" builtinId="9" hidden="1"/>
    <cellStyle name="Followed Hyperlink" xfId="1024" builtinId="9" hidden="1"/>
    <cellStyle name="Followed Hyperlink" xfId="1026" builtinId="9" hidden="1"/>
    <cellStyle name="Followed Hyperlink" xfId="1028" builtinId="9" hidden="1"/>
    <cellStyle name="Followed Hyperlink" xfId="1030" builtinId="9" hidden="1"/>
    <cellStyle name="Followed Hyperlink" xfId="1032" builtinId="9" hidden="1"/>
    <cellStyle name="Followed Hyperlink" xfId="1034" builtinId="9" hidden="1"/>
    <cellStyle name="Followed Hyperlink" xfId="1036" builtinId="9" hidden="1"/>
    <cellStyle name="Followed Hyperlink" xfId="1038" builtinId="9" hidden="1"/>
    <cellStyle name="Followed Hyperlink" xfId="1040" builtinId="9" hidden="1"/>
    <cellStyle name="Followed Hyperlink" xfId="1042" builtinId="9" hidden="1"/>
    <cellStyle name="Followed Hyperlink" xfId="1044" builtinId="9" hidden="1"/>
    <cellStyle name="Followed Hyperlink" xfId="1046" builtinId="9" hidden="1"/>
    <cellStyle name="Followed Hyperlink" xfId="1048" builtinId="9" hidden="1"/>
    <cellStyle name="Followed Hyperlink" xfId="1050" builtinId="9" hidden="1"/>
    <cellStyle name="Followed Hyperlink" xfId="1052" builtinId="9" hidden="1"/>
    <cellStyle name="Followed Hyperlink" xfId="1054" builtinId="9" hidden="1"/>
    <cellStyle name="Followed Hyperlink" xfId="1056" builtinId="9" hidden="1"/>
    <cellStyle name="Followed Hyperlink" xfId="1058" builtinId="9" hidden="1"/>
    <cellStyle name="Followed Hyperlink" xfId="1060" builtinId="9" hidden="1"/>
    <cellStyle name="Followed Hyperlink" xfId="1062" builtinId="9" hidden="1"/>
    <cellStyle name="Followed Hyperlink" xfId="1064" builtinId="9" hidden="1"/>
    <cellStyle name="Followed Hyperlink" xfId="1066" builtinId="9" hidden="1"/>
    <cellStyle name="Followed Hyperlink" xfId="1068" builtinId="9" hidden="1"/>
    <cellStyle name="Followed Hyperlink" xfId="1070" builtinId="9" hidden="1"/>
    <cellStyle name="Followed Hyperlink" xfId="1072" builtinId="9" hidden="1"/>
    <cellStyle name="Followed Hyperlink" xfId="1074" builtinId="9" hidden="1"/>
    <cellStyle name="Followed Hyperlink" xfId="1076" builtinId="9" hidden="1"/>
    <cellStyle name="Followed Hyperlink" xfId="1078" builtinId="9" hidden="1"/>
    <cellStyle name="Followed Hyperlink" xfId="1080" builtinId="9" hidden="1"/>
    <cellStyle name="Followed Hyperlink" xfId="1082" builtinId="9" hidden="1"/>
    <cellStyle name="Followed Hyperlink" xfId="1084" builtinId="9" hidden="1"/>
    <cellStyle name="Followed Hyperlink" xfId="1086" builtinId="9" hidden="1"/>
    <cellStyle name="Followed Hyperlink" xfId="1088" builtinId="9" hidden="1"/>
    <cellStyle name="Followed Hyperlink" xfId="1090" builtinId="9" hidden="1"/>
    <cellStyle name="Followed Hyperlink" xfId="1092" builtinId="9" hidden="1"/>
    <cellStyle name="Followed Hyperlink" xfId="1094" builtinId="9" hidden="1"/>
    <cellStyle name="Followed Hyperlink" xfId="1096" builtinId="9" hidden="1"/>
    <cellStyle name="Followed Hyperlink" xfId="1098" builtinId="9" hidden="1"/>
    <cellStyle name="Followed Hyperlink" xfId="1100" builtinId="9" hidden="1"/>
    <cellStyle name="Followed Hyperlink" xfId="1102" builtinId="9" hidden="1"/>
    <cellStyle name="Followed Hyperlink" xfId="1104" builtinId="9" hidden="1"/>
    <cellStyle name="Followed Hyperlink" xfId="1106" builtinId="9" hidden="1"/>
    <cellStyle name="Followed Hyperlink" xfId="1108" builtinId="9" hidden="1"/>
    <cellStyle name="Followed Hyperlink" xfId="1110" builtinId="9" hidden="1"/>
    <cellStyle name="Followed Hyperlink" xfId="1112" builtinId="9" hidden="1"/>
    <cellStyle name="Followed Hyperlink" xfId="1114" builtinId="9" hidden="1"/>
    <cellStyle name="Followed Hyperlink" xfId="1116" builtinId="9" hidden="1"/>
    <cellStyle name="Followed Hyperlink" xfId="1118" builtinId="9" hidden="1"/>
    <cellStyle name="Followed Hyperlink" xfId="1120" builtinId="9" hidden="1"/>
    <cellStyle name="Followed Hyperlink" xfId="1122" builtinId="9" hidden="1"/>
    <cellStyle name="Followed Hyperlink" xfId="1124" builtinId="9" hidden="1"/>
    <cellStyle name="Followed Hyperlink" xfId="1126" builtinId="9" hidden="1"/>
    <cellStyle name="Followed Hyperlink" xfId="1128" builtinId="9" hidden="1"/>
    <cellStyle name="Followed Hyperlink" xfId="1130" builtinId="9" hidden="1"/>
    <cellStyle name="Followed Hyperlink" xfId="1132" builtinId="9" hidden="1"/>
    <cellStyle name="Followed Hyperlink" xfId="1134" builtinId="9" hidden="1"/>
    <cellStyle name="Followed Hyperlink" xfId="1136" builtinId="9" hidden="1"/>
    <cellStyle name="Followed Hyperlink" xfId="1138" builtinId="9" hidden="1"/>
    <cellStyle name="Followed Hyperlink" xfId="1140" builtinId="9" hidden="1"/>
    <cellStyle name="Followed Hyperlink" xfId="1142" builtinId="9" hidden="1"/>
    <cellStyle name="Followed Hyperlink" xfId="1144" builtinId="9" hidden="1"/>
    <cellStyle name="Followed Hyperlink" xfId="1146" builtinId="9" hidden="1"/>
    <cellStyle name="Followed Hyperlink" xfId="1148" builtinId="9" hidden="1"/>
    <cellStyle name="Followed Hyperlink" xfId="1150" builtinId="9" hidden="1"/>
    <cellStyle name="Followed Hyperlink" xfId="1152" builtinId="9" hidden="1"/>
    <cellStyle name="Followed Hyperlink" xfId="1154" builtinId="9" hidden="1"/>
    <cellStyle name="Followed Hyperlink" xfId="1156" builtinId="9" hidden="1"/>
    <cellStyle name="Followed Hyperlink" xfId="1158" builtinId="9" hidden="1"/>
    <cellStyle name="Followed Hyperlink" xfId="1160" builtinId="9" hidden="1"/>
    <cellStyle name="Followed Hyperlink" xfId="1162" builtinId="9" hidden="1"/>
    <cellStyle name="Followed Hyperlink" xfId="1164" builtinId="9" hidden="1"/>
    <cellStyle name="Followed Hyperlink" xfId="1166" builtinId="9" hidden="1"/>
    <cellStyle name="Followed Hyperlink" xfId="1168" builtinId="9" hidden="1"/>
    <cellStyle name="Followed Hyperlink" xfId="1170" builtinId="9" hidden="1"/>
    <cellStyle name="Followed Hyperlink" xfId="1172" builtinId="9" hidden="1"/>
    <cellStyle name="Followed Hyperlink" xfId="1174" builtinId="9" hidden="1"/>
    <cellStyle name="Followed Hyperlink" xfId="1176" builtinId="9" hidden="1"/>
    <cellStyle name="Followed Hyperlink" xfId="1178" builtinId="9" hidden="1"/>
    <cellStyle name="Followed Hyperlink" xfId="1180" builtinId="9" hidden="1"/>
    <cellStyle name="Followed Hyperlink" xfId="1182" builtinId="9" hidden="1"/>
    <cellStyle name="Followed Hyperlink" xfId="1184" builtinId="9" hidden="1"/>
    <cellStyle name="Followed Hyperlink" xfId="1186" builtinId="9" hidden="1"/>
    <cellStyle name="Followed Hyperlink" xfId="1188" builtinId="9" hidden="1"/>
    <cellStyle name="Followed Hyperlink" xfId="1190" builtinId="9" hidden="1"/>
    <cellStyle name="Followed Hyperlink" xfId="1192" builtinId="9" hidden="1"/>
    <cellStyle name="Followed Hyperlink" xfId="1194" builtinId="9" hidden="1"/>
    <cellStyle name="Followed Hyperlink" xfId="1196" builtinId="9" hidden="1"/>
    <cellStyle name="Followed Hyperlink" xfId="1198" builtinId="9" hidden="1"/>
    <cellStyle name="Followed Hyperlink" xfId="1200" builtinId="9" hidden="1"/>
    <cellStyle name="Followed Hyperlink" xfId="1202" builtinId="9" hidden="1"/>
    <cellStyle name="Followed Hyperlink" xfId="1204" builtinId="9" hidden="1"/>
    <cellStyle name="Followed Hyperlink" xfId="1206" builtinId="9" hidden="1"/>
    <cellStyle name="Followed Hyperlink" xfId="1208" builtinId="9" hidden="1"/>
    <cellStyle name="Followed Hyperlink" xfId="1210" builtinId="9" hidden="1"/>
    <cellStyle name="Followed Hyperlink" xfId="1212" builtinId="9" hidden="1"/>
    <cellStyle name="Followed Hyperlink" xfId="1214" builtinId="9" hidden="1"/>
    <cellStyle name="Followed Hyperlink" xfId="1216" builtinId="9" hidden="1"/>
    <cellStyle name="Followed Hyperlink" xfId="1218" builtinId="9" hidden="1"/>
    <cellStyle name="Followed Hyperlink" xfId="1220" builtinId="9" hidden="1"/>
    <cellStyle name="Followed Hyperlink" xfId="1222" builtinId="9" hidden="1"/>
    <cellStyle name="Followed Hyperlink" xfId="1224" builtinId="9" hidden="1"/>
    <cellStyle name="Followed Hyperlink" xfId="1226" builtinId="9" hidden="1"/>
    <cellStyle name="Followed Hyperlink" xfId="1228" builtinId="9" hidden="1"/>
    <cellStyle name="Followed Hyperlink" xfId="1230" builtinId="9" hidden="1"/>
    <cellStyle name="Followed Hyperlink" xfId="1232" builtinId="9" hidden="1"/>
    <cellStyle name="Followed Hyperlink" xfId="1234" builtinId="9" hidden="1"/>
    <cellStyle name="Followed Hyperlink" xfId="1236" builtinId="9" hidden="1"/>
    <cellStyle name="Followed Hyperlink" xfId="1238" builtinId="9" hidden="1"/>
    <cellStyle name="Followed Hyperlink" xfId="1240" builtinId="9" hidden="1"/>
    <cellStyle name="Followed Hyperlink" xfId="1242" builtinId="9" hidden="1"/>
    <cellStyle name="Followed Hyperlink" xfId="1244" builtinId="9" hidden="1"/>
    <cellStyle name="Followed Hyperlink" xfId="1246" builtinId="9" hidden="1"/>
    <cellStyle name="Followed Hyperlink" xfId="1248" builtinId="9" hidden="1"/>
    <cellStyle name="Followed Hyperlink" xfId="1250" builtinId="9" hidden="1"/>
    <cellStyle name="Followed Hyperlink" xfId="1252" builtinId="9" hidden="1"/>
    <cellStyle name="Followed Hyperlink" xfId="1254" builtinId="9" hidden="1"/>
    <cellStyle name="Followed Hyperlink" xfId="1256" builtinId="9" hidden="1"/>
    <cellStyle name="Followed Hyperlink" xfId="1258" builtinId="9" hidden="1"/>
    <cellStyle name="Followed Hyperlink" xfId="1260" builtinId="9" hidden="1"/>
    <cellStyle name="Followed Hyperlink" xfId="1262" builtinId="9" hidden="1"/>
    <cellStyle name="Followed Hyperlink" xfId="1264" builtinId="9" hidden="1"/>
    <cellStyle name="Followed Hyperlink" xfId="1266" builtinId="9" hidden="1"/>
    <cellStyle name="Followed Hyperlink" xfId="1268" builtinId="9" hidden="1"/>
    <cellStyle name="Followed Hyperlink" xfId="1270" builtinId="9" hidden="1"/>
    <cellStyle name="Followed Hyperlink" xfId="1272" builtinId="9" hidden="1"/>
    <cellStyle name="Followed Hyperlink" xfId="1274" builtinId="9" hidden="1"/>
    <cellStyle name="Followed Hyperlink" xfId="1276" builtinId="9" hidden="1"/>
    <cellStyle name="Followed Hyperlink" xfId="1278" builtinId="9" hidden="1"/>
    <cellStyle name="Followed Hyperlink" xfId="1280" builtinId="9" hidden="1"/>
    <cellStyle name="Followed Hyperlink" xfId="1282" builtinId="9" hidden="1"/>
    <cellStyle name="Followed Hyperlink" xfId="1284" builtinId="9" hidden="1"/>
    <cellStyle name="Followed Hyperlink" xfId="1286" builtinId="9" hidden="1"/>
    <cellStyle name="Followed Hyperlink" xfId="1288" builtinId="9" hidden="1"/>
    <cellStyle name="Followed Hyperlink" xfId="1290" builtinId="9" hidden="1"/>
    <cellStyle name="Followed Hyperlink" xfId="1292" builtinId="9" hidden="1"/>
    <cellStyle name="Followed Hyperlink" xfId="1294" builtinId="9" hidden="1"/>
    <cellStyle name="Followed Hyperlink" xfId="1296" builtinId="9" hidden="1"/>
    <cellStyle name="Followed Hyperlink" xfId="1298" builtinId="9" hidden="1"/>
    <cellStyle name="Followed Hyperlink" xfId="1300" builtinId="9" hidden="1"/>
    <cellStyle name="Followed Hyperlink" xfId="1302" builtinId="9" hidden="1"/>
    <cellStyle name="Followed Hyperlink" xfId="1304" builtinId="9" hidden="1"/>
    <cellStyle name="Followed Hyperlink" xfId="1306" builtinId="9" hidden="1"/>
    <cellStyle name="Followed Hyperlink" xfId="1308" builtinId="9" hidden="1"/>
    <cellStyle name="Followed Hyperlink" xfId="1310" builtinId="9" hidden="1"/>
    <cellStyle name="Followed Hyperlink" xfId="1312" builtinId="9" hidden="1"/>
    <cellStyle name="Followed Hyperlink" xfId="1314" builtinId="9" hidden="1"/>
    <cellStyle name="Followed Hyperlink" xfId="1316" builtinId="9" hidden="1"/>
    <cellStyle name="Followed Hyperlink" xfId="1318" builtinId="9" hidden="1"/>
    <cellStyle name="Followed Hyperlink" xfId="1320" builtinId="9" hidden="1"/>
    <cellStyle name="Followed Hyperlink" xfId="1322" builtinId="9" hidden="1"/>
    <cellStyle name="Followed Hyperlink" xfId="1324" builtinId="9" hidden="1"/>
    <cellStyle name="Followed Hyperlink" xfId="1326" builtinId="9" hidden="1"/>
    <cellStyle name="Followed Hyperlink" xfId="1328" builtinId="9" hidden="1"/>
    <cellStyle name="Followed Hyperlink" xfId="1330" builtinId="9" hidden="1"/>
    <cellStyle name="Followed Hyperlink" xfId="1332" builtinId="9" hidden="1"/>
    <cellStyle name="Followed Hyperlink" xfId="1334" builtinId="9" hidden="1"/>
    <cellStyle name="Followed Hyperlink" xfId="1336" builtinId="9" hidden="1"/>
    <cellStyle name="Followed Hyperlink" xfId="1338" builtinId="9" hidden="1"/>
    <cellStyle name="Followed Hyperlink" xfId="1340" builtinId="9" hidden="1"/>
    <cellStyle name="Followed Hyperlink" xfId="1342" builtinId="9" hidden="1"/>
    <cellStyle name="Followed Hyperlink" xfId="1344" builtinId="9" hidden="1"/>
    <cellStyle name="Followed Hyperlink" xfId="1346" builtinId="9" hidden="1"/>
    <cellStyle name="Followed Hyperlink" xfId="1348" builtinId="9" hidden="1"/>
    <cellStyle name="Followed Hyperlink" xfId="1350" builtinId="9" hidden="1"/>
    <cellStyle name="Followed Hyperlink" xfId="1352" builtinId="9" hidden="1"/>
    <cellStyle name="Followed Hyperlink" xfId="1354" builtinId="9" hidden="1"/>
    <cellStyle name="Followed Hyperlink" xfId="1356" builtinId="9" hidden="1"/>
    <cellStyle name="Followed Hyperlink" xfId="1358" builtinId="9" hidden="1"/>
    <cellStyle name="Followed Hyperlink" xfId="1360" builtinId="9" hidden="1"/>
    <cellStyle name="Followed Hyperlink" xfId="1362" builtinId="9" hidden="1"/>
    <cellStyle name="Followed Hyperlink" xfId="1364" builtinId="9" hidden="1"/>
    <cellStyle name="Followed Hyperlink" xfId="1366" builtinId="9" hidden="1"/>
    <cellStyle name="Followed Hyperlink" xfId="1368" builtinId="9" hidden="1"/>
    <cellStyle name="Followed Hyperlink" xfId="1370" builtinId="9" hidden="1"/>
    <cellStyle name="Followed Hyperlink" xfId="1372" builtinId="9" hidden="1"/>
    <cellStyle name="Followed Hyperlink" xfId="1374" builtinId="9" hidden="1"/>
    <cellStyle name="Followed Hyperlink" xfId="1376" builtinId="9" hidden="1"/>
    <cellStyle name="Followed Hyperlink" xfId="1378" builtinId="9" hidden="1"/>
    <cellStyle name="Followed Hyperlink" xfId="1380" builtinId="9" hidden="1"/>
    <cellStyle name="Followed Hyperlink" xfId="1382" builtinId="9" hidden="1"/>
    <cellStyle name="Followed Hyperlink" xfId="1384" builtinId="9" hidden="1"/>
    <cellStyle name="Followed Hyperlink" xfId="1386" builtinId="9" hidden="1"/>
    <cellStyle name="Followed Hyperlink" xfId="1388" builtinId="9" hidden="1"/>
    <cellStyle name="Followed Hyperlink" xfId="1390" builtinId="9" hidden="1"/>
    <cellStyle name="Followed Hyperlink" xfId="1392" builtinId="9" hidden="1"/>
    <cellStyle name="Followed Hyperlink" xfId="1394" builtinId="9" hidden="1"/>
    <cellStyle name="Followed Hyperlink" xfId="1396" builtinId="9" hidden="1"/>
    <cellStyle name="Followed Hyperlink" xfId="1398" builtinId="9" hidden="1"/>
    <cellStyle name="Followed Hyperlink" xfId="1400" builtinId="9" hidden="1"/>
    <cellStyle name="Followed Hyperlink" xfId="1402" builtinId="9" hidden="1"/>
    <cellStyle name="Followed Hyperlink" xfId="1404" builtinId="9" hidden="1"/>
    <cellStyle name="Followed Hyperlink" xfId="1406" builtinId="9" hidden="1"/>
    <cellStyle name="Followed Hyperlink" xfId="1408" builtinId="9" hidden="1"/>
    <cellStyle name="Followed Hyperlink" xfId="1410" builtinId="9" hidden="1"/>
    <cellStyle name="Followed Hyperlink" xfId="1412" builtinId="9" hidden="1"/>
    <cellStyle name="Followed Hyperlink" xfId="1414" builtinId="9" hidden="1"/>
    <cellStyle name="Followed Hyperlink" xfId="1416" builtinId="9" hidden="1"/>
    <cellStyle name="Followed Hyperlink" xfId="1418" builtinId="9" hidden="1"/>
    <cellStyle name="Followed Hyperlink" xfId="1420" builtinId="9" hidden="1"/>
    <cellStyle name="Followed Hyperlink" xfId="1422" builtinId="9" hidden="1"/>
    <cellStyle name="Followed Hyperlink" xfId="1424" builtinId="9" hidden="1"/>
    <cellStyle name="Followed Hyperlink" xfId="1426" builtinId="9" hidden="1"/>
    <cellStyle name="Followed Hyperlink" xfId="1428" builtinId="9" hidden="1"/>
    <cellStyle name="Followed Hyperlink" xfId="1430" builtinId="9" hidden="1"/>
    <cellStyle name="Followed Hyperlink" xfId="1432" builtinId="9" hidden="1"/>
    <cellStyle name="Followed Hyperlink" xfId="1434" builtinId="9" hidden="1"/>
    <cellStyle name="Followed Hyperlink" xfId="1436" builtinId="9" hidden="1"/>
    <cellStyle name="Followed Hyperlink" xfId="1438" builtinId="9" hidden="1"/>
    <cellStyle name="Followed Hyperlink" xfId="1440" builtinId="9" hidden="1"/>
    <cellStyle name="Followed Hyperlink" xfId="1442" builtinId="9" hidden="1"/>
    <cellStyle name="Followed Hyperlink" xfId="1444" builtinId="9" hidden="1"/>
    <cellStyle name="Followed Hyperlink" xfId="1446" builtinId="9" hidden="1"/>
    <cellStyle name="Followed Hyperlink" xfId="1448" builtinId="9" hidden="1"/>
    <cellStyle name="Followed Hyperlink" xfId="1450" builtinId="9" hidden="1"/>
    <cellStyle name="Followed Hyperlink" xfId="1452" builtinId="9" hidden="1"/>
    <cellStyle name="Followed Hyperlink" xfId="1454" builtinId="9" hidden="1"/>
    <cellStyle name="Followed Hyperlink" xfId="1456" builtinId="9" hidden="1"/>
    <cellStyle name="Followed Hyperlink" xfId="1458" builtinId="9" hidden="1"/>
    <cellStyle name="Followed Hyperlink" xfId="1460" builtinId="9" hidden="1"/>
    <cellStyle name="Followed Hyperlink" xfId="1462" builtinId="9" hidden="1"/>
    <cellStyle name="Followed Hyperlink" xfId="1464" builtinId="9" hidden="1"/>
    <cellStyle name="Followed Hyperlink" xfId="1466" builtinId="9" hidden="1"/>
    <cellStyle name="Followed Hyperlink" xfId="1468" builtinId="9" hidden="1"/>
    <cellStyle name="Followed Hyperlink" xfId="1470" builtinId="9" hidden="1"/>
    <cellStyle name="Followed Hyperlink" xfId="1472" builtinId="9" hidden="1"/>
    <cellStyle name="Followed Hyperlink" xfId="1474" builtinId="9" hidden="1"/>
    <cellStyle name="Followed Hyperlink" xfId="1476" builtinId="9" hidden="1"/>
    <cellStyle name="Followed Hyperlink" xfId="1478" builtinId="9" hidden="1"/>
    <cellStyle name="Followed Hyperlink" xfId="1480" builtinId="9" hidden="1"/>
    <cellStyle name="Followed Hyperlink" xfId="1482" builtinId="9" hidden="1"/>
    <cellStyle name="Followed Hyperlink" xfId="1484" builtinId="9" hidden="1"/>
    <cellStyle name="Followed Hyperlink" xfId="1486" builtinId="9" hidden="1"/>
    <cellStyle name="Followed Hyperlink" xfId="1488" builtinId="9" hidden="1"/>
    <cellStyle name="Followed Hyperlink" xfId="1490" builtinId="9" hidden="1"/>
    <cellStyle name="Followed Hyperlink" xfId="1492" builtinId="9" hidden="1"/>
    <cellStyle name="Followed Hyperlink" xfId="1494" builtinId="9" hidden="1"/>
    <cellStyle name="Followed Hyperlink" xfId="1496" builtinId="9" hidden="1"/>
    <cellStyle name="Followed Hyperlink" xfId="1498" builtinId="9" hidden="1"/>
    <cellStyle name="Followed Hyperlink" xfId="1500" builtinId="9" hidden="1"/>
    <cellStyle name="Followed Hyperlink" xfId="1502" builtinId="9" hidden="1"/>
    <cellStyle name="Followed Hyperlink" xfId="1504" builtinId="9" hidden="1"/>
    <cellStyle name="Followed Hyperlink" xfId="1506" builtinId="9" hidden="1"/>
    <cellStyle name="Followed Hyperlink" xfId="1508" builtinId="9" hidden="1"/>
    <cellStyle name="Followed Hyperlink" xfId="1510" builtinId="9" hidden="1"/>
    <cellStyle name="Followed Hyperlink" xfId="1512" builtinId="9" hidden="1"/>
    <cellStyle name="Followed Hyperlink" xfId="1514" builtinId="9" hidden="1"/>
    <cellStyle name="Followed Hyperlink" xfId="1516" builtinId="9" hidden="1"/>
    <cellStyle name="Followed Hyperlink" xfId="1518" builtinId="9" hidden="1"/>
    <cellStyle name="Followed Hyperlink" xfId="1520" builtinId="9" hidden="1"/>
    <cellStyle name="Followed Hyperlink" xfId="1522" builtinId="9" hidden="1"/>
    <cellStyle name="Followed Hyperlink" xfId="1524" builtinId="9" hidden="1"/>
    <cellStyle name="Followed Hyperlink" xfId="1526" builtinId="9" hidden="1"/>
    <cellStyle name="Followed Hyperlink" xfId="1528" builtinId="9" hidden="1"/>
    <cellStyle name="Followed Hyperlink" xfId="1530" builtinId="9" hidden="1"/>
    <cellStyle name="Followed Hyperlink" xfId="1532" builtinId="9" hidden="1"/>
    <cellStyle name="Followed Hyperlink" xfId="1534" builtinId="9" hidden="1"/>
    <cellStyle name="Followed Hyperlink" xfId="1536" builtinId="9" hidden="1"/>
    <cellStyle name="Followed Hyperlink" xfId="1538" builtinId="9" hidden="1"/>
    <cellStyle name="Followed Hyperlink" xfId="1540" builtinId="9" hidden="1"/>
    <cellStyle name="Followed Hyperlink" xfId="1542" builtinId="9" hidden="1"/>
    <cellStyle name="Followed Hyperlink" xfId="1544" builtinId="9" hidden="1"/>
    <cellStyle name="Followed Hyperlink" xfId="1546" builtinId="9" hidden="1"/>
    <cellStyle name="Followed Hyperlink" xfId="1548" builtinId="9" hidden="1"/>
    <cellStyle name="Followed Hyperlink" xfId="1550" builtinId="9" hidden="1"/>
    <cellStyle name="Followed Hyperlink" xfId="1552" builtinId="9" hidden="1"/>
    <cellStyle name="Followed Hyperlink" xfId="1554" builtinId="9" hidden="1"/>
    <cellStyle name="Followed Hyperlink" xfId="1556" builtinId="9" hidden="1"/>
    <cellStyle name="Followed Hyperlink" xfId="1558" builtinId="9" hidden="1"/>
    <cellStyle name="Followed Hyperlink" xfId="1560" builtinId="9" hidden="1"/>
    <cellStyle name="Followed Hyperlink" xfId="1562" builtinId="9" hidden="1"/>
    <cellStyle name="Followed Hyperlink" xfId="1564" builtinId="9" hidden="1"/>
    <cellStyle name="Followed Hyperlink" xfId="1566" builtinId="9" hidden="1"/>
    <cellStyle name="Followed Hyperlink" xfId="1568" builtinId="9" hidden="1"/>
    <cellStyle name="Followed Hyperlink" xfId="1570" builtinId="9" hidden="1"/>
    <cellStyle name="Followed Hyperlink" xfId="1572" builtinId="9" hidden="1"/>
    <cellStyle name="Followed Hyperlink" xfId="1574" builtinId="9" hidden="1"/>
    <cellStyle name="Followed Hyperlink" xfId="1576" builtinId="9" hidden="1"/>
    <cellStyle name="Followed Hyperlink" xfId="1578" builtinId="9" hidden="1"/>
    <cellStyle name="Followed Hyperlink" xfId="1580" builtinId="9" hidden="1"/>
    <cellStyle name="Followed Hyperlink" xfId="1582" builtinId="9" hidden="1"/>
    <cellStyle name="Followed Hyperlink" xfId="1584" builtinId="9" hidden="1"/>
    <cellStyle name="Followed Hyperlink" xfId="1586" builtinId="9" hidden="1"/>
    <cellStyle name="Followed Hyperlink" xfId="1588" builtinId="9" hidden="1"/>
    <cellStyle name="Followed Hyperlink" xfId="1590" builtinId="9" hidden="1"/>
    <cellStyle name="Followed Hyperlink" xfId="1592" builtinId="9" hidden="1"/>
    <cellStyle name="Followed Hyperlink" xfId="1594" builtinId="9" hidden="1"/>
    <cellStyle name="Followed Hyperlink" xfId="1596" builtinId="9" hidden="1"/>
    <cellStyle name="Followed Hyperlink" xfId="1598" builtinId="9" hidden="1"/>
    <cellStyle name="Followed Hyperlink" xfId="1600" builtinId="9" hidden="1"/>
    <cellStyle name="Followed Hyperlink" xfId="1602" builtinId="9" hidden="1"/>
    <cellStyle name="Followed Hyperlink" xfId="1604" builtinId="9" hidden="1"/>
    <cellStyle name="Followed Hyperlink" xfId="1606" builtinId="9" hidden="1"/>
    <cellStyle name="Followed Hyperlink" xfId="1608" builtinId="9" hidden="1"/>
    <cellStyle name="Followed Hyperlink" xfId="1610" builtinId="9" hidden="1"/>
    <cellStyle name="Followed Hyperlink" xfId="1612" builtinId="9" hidden="1"/>
    <cellStyle name="Followed Hyperlink" xfId="1614" builtinId="9" hidden="1"/>
    <cellStyle name="Followed Hyperlink" xfId="1616" builtinId="9" hidden="1"/>
    <cellStyle name="Followed Hyperlink" xfId="1618" builtinId="9" hidden="1"/>
    <cellStyle name="Followed Hyperlink" xfId="1620" builtinId="9" hidden="1"/>
    <cellStyle name="Followed Hyperlink" xfId="1622" builtinId="9" hidden="1"/>
    <cellStyle name="Followed Hyperlink" xfId="1624" builtinId="9" hidden="1"/>
    <cellStyle name="Followed Hyperlink" xfId="1626" builtinId="9" hidden="1"/>
    <cellStyle name="Followed Hyperlink" xfId="1628" builtinId="9" hidden="1"/>
    <cellStyle name="Followed Hyperlink" xfId="1630" builtinId="9" hidden="1"/>
    <cellStyle name="Followed Hyperlink" xfId="1632" builtinId="9" hidden="1"/>
    <cellStyle name="Followed Hyperlink" xfId="1634" builtinId="9" hidden="1"/>
    <cellStyle name="Followed Hyperlink" xfId="1636" builtinId="9" hidden="1"/>
    <cellStyle name="Followed Hyperlink" xfId="1638" builtinId="9" hidden="1"/>
    <cellStyle name="Followed Hyperlink" xfId="1640" builtinId="9" hidden="1"/>
    <cellStyle name="Followed Hyperlink" xfId="1642" builtinId="9" hidden="1"/>
    <cellStyle name="Followed Hyperlink" xfId="1644" builtinId="9" hidden="1"/>
    <cellStyle name="Followed Hyperlink" xfId="1646" builtinId="9" hidden="1"/>
    <cellStyle name="Followed Hyperlink" xfId="1648" builtinId="9" hidden="1"/>
    <cellStyle name="Followed Hyperlink" xfId="1650" builtinId="9" hidden="1"/>
    <cellStyle name="Followed Hyperlink" xfId="1652" builtinId="9" hidden="1"/>
    <cellStyle name="Followed Hyperlink" xfId="1654" builtinId="9" hidden="1"/>
    <cellStyle name="Followed Hyperlink" xfId="1656" builtinId="9" hidden="1"/>
    <cellStyle name="Followed Hyperlink" xfId="1658" builtinId="9" hidden="1"/>
    <cellStyle name="Followed Hyperlink" xfId="1660" builtinId="9" hidden="1"/>
    <cellStyle name="Followed Hyperlink" xfId="1662" builtinId="9" hidden="1"/>
    <cellStyle name="Followed Hyperlink" xfId="1664" builtinId="9" hidden="1"/>
    <cellStyle name="Followed Hyperlink" xfId="1666" builtinId="9" hidden="1"/>
    <cellStyle name="Followed Hyperlink" xfId="1668" builtinId="9" hidden="1"/>
    <cellStyle name="Followed Hyperlink" xfId="1670" builtinId="9" hidden="1"/>
    <cellStyle name="Followed Hyperlink" xfId="1672" builtinId="9" hidden="1"/>
    <cellStyle name="Followed Hyperlink" xfId="1674" builtinId="9" hidden="1"/>
    <cellStyle name="Followed Hyperlink" xfId="1676" builtinId="9" hidden="1"/>
    <cellStyle name="Followed Hyperlink" xfId="1678" builtinId="9" hidden="1"/>
    <cellStyle name="Followed Hyperlink" xfId="1680" builtinId="9" hidden="1"/>
    <cellStyle name="Followed Hyperlink" xfId="1682" builtinId="9" hidden="1"/>
    <cellStyle name="Followed Hyperlink" xfId="1684" builtinId="9" hidden="1"/>
    <cellStyle name="Followed Hyperlink" xfId="1686" builtinId="9" hidden="1"/>
    <cellStyle name="Followed Hyperlink" xfId="1688" builtinId="9" hidden="1"/>
    <cellStyle name="Followed Hyperlink" xfId="1690" builtinId="9" hidden="1"/>
    <cellStyle name="Followed Hyperlink" xfId="1692" builtinId="9" hidden="1"/>
    <cellStyle name="Followed Hyperlink" xfId="1694" builtinId="9" hidden="1"/>
    <cellStyle name="Followed Hyperlink" xfId="1696" builtinId="9" hidden="1"/>
    <cellStyle name="Followed Hyperlink" xfId="1698" builtinId="9" hidden="1"/>
    <cellStyle name="Followed Hyperlink" xfId="1700" builtinId="9" hidden="1"/>
    <cellStyle name="Followed Hyperlink" xfId="1702" builtinId="9" hidden="1"/>
    <cellStyle name="Followed Hyperlink" xfId="1704" builtinId="9" hidden="1"/>
    <cellStyle name="Followed Hyperlink" xfId="1706" builtinId="9" hidden="1"/>
    <cellStyle name="Followed Hyperlink" xfId="1708" builtinId="9" hidden="1"/>
    <cellStyle name="Followed Hyperlink" xfId="1710" builtinId="9" hidden="1"/>
    <cellStyle name="Followed Hyperlink" xfId="1712" builtinId="9" hidden="1"/>
    <cellStyle name="Followed Hyperlink" xfId="1714" builtinId="9" hidden="1"/>
    <cellStyle name="Followed Hyperlink" xfId="1716" builtinId="9" hidden="1"/>
    <cellStyle name="Followed Hyperlink" xfId="1718" builtinId="9" hidden="1"/>
    <cellStyle name="Followed Hyperlink" xfId="1720" builtinId="9" hidden="1"/>
    <cellStyle name="Followed Hyperlink" xfId="1722" builtinId="9" hidden="1"/>
    <cellStyle name="Followed Hyperlink" xfId="1724" builtinId="9" hidden="1"/>
    <cellStyle name="Followed Hyperlink" xfId="1726" builtinId="9" hidden="1"/>
    <cellStyle name="Followed Hyperlink" xfId="1728" builtinId="9" hidden="1"/>
    <cellStyle name="Followed Hyperlink" xfId="1730" builtinId="9" hidden="1"/>
    <cellStyle name="Followed Hyperlink" xfId="1732" builtinId="9" hidden="1"/>
    <cellStyle name="Followed Hyperlink" xfId="1734" builtinId="9" hidden="1"/>
    <cellStyle name="Followed Hyperlink" xfId="1736" builtinId="9" hidden="1"/>
    <cellStyle name="Followed Hyperlink" xfId="1738" builtinId="9" hidden="1"/>
    <cellStyle name="Followed Hyperlink" xfId="1740" builtinId="9" hidden="1"/>
    <cellStyle name="Followed Hyperlink" xfId="1742" builtinId="9" hidden="1"/>
    <cellStyle name="Followed Hyperlink" xfId="1744" builtinId="9" hidden="1"/>
    <cellStyle name="Followed Hyperlink" xfId="1746" builtinId="9" hidden="1"/>
    <cellStyle name="Followed Hyperlink" xfId="1748" builtinId="9" hidden="1"/>
    <cellStyle name="Followed Hyperlink" xfId="1750" builtinId="9" hidden="1"/>
    <cellStyle name="Followed Hyperlink" xfId="1752" builtinId="9" hidden="1"/>
    <cellStyle name="Followed Hyperlink" xfId="1754" builtinId="9" hidden="1"/>
    <cellStyle name="Followed Hyperlink" xfId="1756" builtinId="9" hidden="1"/>
    <cellStyle name="Followed Hyperlink" xfId="1758" builtinId="9" hidden="1"/>
    <cellStyle name="Followed Hyperlink" xfId="1760" builtinId="9" hidden="1"/>
    <cellStyle name="Followed Hyperlink" xfId="1762" builtinId="9" hidden="1"/>
    <cellStyle name="Followed Hyperlink" xfId="1764" builtinId="9" hidden="1"/>
    <cellStyle name="Followed Hyperlink" xfId="1766" builtinId="9" hidden="1"/>
    <cellStyle name="Followed Hyperlink" xfId="1768" builtinId="9" hidden="1"/>
    <cellStyle name="Followed Hyperlink" xfId="1770" builtinId="9" hidden="1"/>
    <cellStyle name="Followed Hyperlink" xfId="1772" builtinId="9" hidden="1"/>
    <cellStyle name="Followed Hyperlink" xfId="1774" builtinId="9" hidden="1"/>
    <cellStyle name="Followed Hyperlink" xfId="1776" builtinId="9" hidden="1"/>
    <cellStyle name="Followed Hyperlink" xfId="1778" builtinId="9" hidden="1"/>
    <cellStyle name="Followed Hyperlink" xfId="1780" builtinId="9" hidden="1"/>
    <cellStyle name="Followed Hyperlink" xfId="1782" builtinId="9" hidden="1"/>
    <cellStyle name="Followed Hyperlink" xfId="1784" builtinId="9" hidden="1"/>
    <cellStyle name="Followed Hyperlink" xfId="1786" builtinId="9" hidden="1"/>
    <cellStyle name="Followed Hyperlink" xfId="1788" builtinId="9" hidden="1"/>
    <cellStyle name="Followed Hyperlink" xfId="1790" builtinId="9" hidden="1"/>
    <cellStyle name="Followed Hyperlink" xfId="1792" builtinId="9" hidden="1"/>
    <cellStyle name="Followed Hyperlink" xfId="1794" builtinId="9" hidden="1"/>
    <cellStyle name="Followed Hyperlink" xfId="1796" builtinId="9" hidden="1"/>
    <cellStyle name="Followed Hyperlink" xfId="1798" builtinId="9" hidden="1"/>
    <cellStyle name="Followed Hyperlink" xfId="1800" builtinId="9" hidden="1"/>
    <cellStyle name="Followed Hyperlink" xfId="1802" builtinId="9" hidden="1"/>
    <cellStyle name="Followed Hyperlink" xfId="1804" builtinId="9" hidden="1"/>
    <cellStyle name="Followed Hyperlink" xfId="1806" builtinId="9" hidden="1"/>
    <cellStyle name="Followed Hyperlink" xfId="1808" builtinId="9" hidden="1"/>
    <cellStyle name="Followed Hyperlink" xfId="1810" builtinId="9" hidden="1"/>
    <cellStyle name="Followed Hyperlink" xfId="1812" builtinId="9" hidden="1"/>
    <cellStyle name="Followed Hyperlink" xfId="1814" builtinId="9" hidden="1"/>
    <cellStyle name="Followed Hyperlink" xfId="1816" builtinId="9" hidden="1"/>
    <cellStyle name="Followed Hyperlink" xfId="1818" builtinId="9" hidden="1"/>
    <cellStyle name="Followed Hyperlink" xfId="1820" builtinId="9" hidden="1"/>
    <cellStyle name="Followed Hyperlink" xfId="1822" builtinId="9" hidden="1"/>
    <cellStyle name="Followed Hyperlink" xfId="1824" builtinId="9" hidden="1"/>
    <cellStyle name="Followed Hyperlink" xfId="1826" builtinId="9" hidden="1"/>
    <cellStyle name="Followed Hyperlink" xfId="1828" builtinId="9" hidden="1"/>
    <cellStyle name="Followed Hyperlink" xfId="1830" builtinId="9" hidden="1"/>
    <cellStyle name="Followed Hyperlink" xfId="1832" builtinId="9" hidden="1"/>
    <cellStyle name="Followed Hyperlink" xfId="1834" builtinId="9" hidden="1"/>
    <cellStyle name="Followed Hyperlink" xfId="1836" builtinId="9" hidden="1"/>
    <cellStyle name="Followed Hyperlink" xfId="1838" builtinId="9" hidden="1"/>
    <cellStyle name="Followed Hyperlink" xfId="1840" builtinId="9" hidden="1"/>
    <cellStyle name="Followed Hyperlink" xfId="1842" builtinId="9" hidden="1"/>
    <cellStyle name="Followed Hyperlink" xfId="1844" builtinId="9" hidden="1"/>
    <cellStyle name="Followed Hyperlink" xfId="1846" builtinId="9" hidden="1"/>
    <cellStyle name="Followed Hyperlink" xfId="1848" builtinId="9" hidden="1"/>
    <cellStyle name="Followed Hyperlink" xfId="1850" builtinId="9" hidden="1"/>
    <cellStyle name="Followed Hyperlink" xfId="1852" builtinId="9" hidden="1"/>
    <cellStyle name="Followed Hyperlink" xfId="1854" builtinId="9" hidden="1"/>
    <cellStyle name="Followed Hyperlink" xfId="1856" builtinId="9" hidden="1"/>
    <cellStyle name="Followed Hyperlink" xfId="1858" builtinId="9" hidden="1"/>
    <cellStyle name="Followed Hyperlink" xfId="1860" builtinId="9" hidden="1"/>
    <cellStyle name="Followed Hyperlink" xfId="1864" builtinId="9" hidden="1"/>
    <cellStyle name="Followed Hyperlink" xfId="1866" builtinId="9" hidden="1"/>
    <cellStyle name="Followed Hyperlink" xfId="1868" builtinId="9" hidden="1"/>
    <cellStyle name="Followed Hyperlink" xfId="1870" builtinId="9" hidden="1"/>
    <cellStyle name="Followed Hyperlink" xfId="1872" builtinId="9" hidden="1"/>
    <cellStyle name="Followed Hyperlink" xfId="1874" builtinId="9" hidden="1"/>
    <cellStyle name="Followed Hyperlink" xfId="1876" builtinId="9" hidden="1"/>
    <cellStyle name="Followed Hyperlink" xfId="1878" builtinId="9" hidden="1"/>
    <cellStyle name="Followed Hyperlink" xfId="1880" builtinId="9" hidden="1"/>
    <cellStyle name="Followed Hyperlink" xfId="1882" builtinId="9" hidden="1"/>
    <cellStyle name="Followed Hyperlink" xfId="1884" builtinId="9" hidden="1"/>
    <cellStyle name="Followed Hyperlink" xfId="1886" builtinId="9" hidden="1"/>
    <cellStyle name="Followed Hyperlink" xfId="1888" builtinId="9" hidden="1"/>
    <cellStyle name="Followed Hyperlink" xfId="1890" builtinId="9" hidden="1"/>
    <cellStyle name="Followed Hyperlink" xfId="1892" builtinId="9" hidden="1"/>
    <cellStyle name="Followed Hyperlink" xfId="1894" builtinId="9" hidden="1"/>
    <cellStyle name="Followed Hyperlink" xfId="1896" builtinId="9" hidden="1"/>
    <cellStyle name="Followed Hyperlink" xfId="1898" builtinId="9" hidden="1"/>
    <cellStyle name="Followed Hyperlink" xfId="1900" builtinId="9" hidden="1"/>
    <cellStyle name="Followed Hyperlink" xfId="1902" builtinId="9" hidden="1"/>
    <cellStyle name="Followed Hyperlink" xfId="1904" builtinId="9" hidden="1"/>
    <cellStyle name="Followed Hyperlink" xfId="1906" builtinId="9" hidden="1"/>
    <cellStyle name="Followed Hyperlink" xfId="1908" builtinId="9" hidden="1"/>
    <cellStyle name="Followed Hyperlink" xfId="1910" builtinId="9" hidden="1"/>
    <cellStyle name="Followed Hyperlink" xfId="1912" builtinId="9" hidden="1"/>
    <cellStyle name="Followed Hyperlink" xfId="1914" builtinId="9" hidden="1"/>
    <cellStyle name="Followed Hyperlink" xfId="1916" builtinId="9" hidden="1"/>
    <cellStyle name="Followed Hyperlink" xfId="1918" builtinId="9" hidden="1"/>
    <cellStyle name="Followed Hyperlink" xfId="1920" builtinId="9" hidden="1"/>
    <cellStyle name="Followed Hyperlink" xfId="1922" builtinId="9" hidden="1"/>
    <cellStyle name="Followed Hyperlink" xfId="1924" builtinId="9" hidden="1"/>
    <cellStyle name="Followed Hyperlink" xfId="1926" builtinId="9" hidden="1"/>
    <cellStyle name="Followed Hyperlink" xfId="1928" builtinId="9" hidden="1"/>
    <cellStyle name="Followed Hyperlink" xfId="1930" builtinId="9" hidden="1"/>
    <cellStyle name="Followed Hyperlink" xfId="1932" builtinId="9" hidden="1"/>
    <cellStyle name="Followed Hyperlink" xfId="1934" builtinId="9" hidden="1"/>
    <cellStyle name="Followed Hyperlink" xfId="1936" builtinId="9" hidden="1"/>
    <cellStyle name="Followed Hyperlink" xfId="1938" builtinId="9" hidden="1"/>
    <cellStyle name="Followed Hyperlink" xfId="1940" builtinId="9" hidden="1"/>
    <cellStyle name="Followed Hyperlink" xfId="1942" builtinId="9" hidden="1"/>
    <cellStyle name="Followed Hyperlink" xfId="1944" builtinId="9" hidden="1"/>
    <cellStyle name="Followed Hyperlink" xfId="1946" builtinId="9" hidden="1"/>
    <cellStyle name="Followed Hyperlink" xfId="1948" builtinId="9" hidden="1"/>
    <cellStyle name="Followed Hyperlink" xfId="1950" builtinId="9" hidden="1"/>
    <cellStyle name="Followed Hyperlink" xfId="1952" builtinId="9" hidden="1"/>
    <cellStyle name="Followed Hyperlink" xfId="1954" builtinId="9" hidden="1"/>
    <cellStyle name="Followed Hyperlink" xfId="1956" builtinId="9" hidden="1"/>
    <cellStyle name="Followed Hyperlink" xfId="1958" builtinId="9" hidden="1"/>
    <cellStyle name="Followed Hyperlink" xfId="1960" builtinId="9" hidden="1"/>
    <cellStyle name="Followed Hyperlink" xfId="1962" builtinId="9" hidden="1"/>
    <cellStyle name="Followed Hyperlink" xfId="1964" builtinId="9" hidden="1"/>
    <cellStyle name="Followed Hyperlink" xfId="1966" builtinId="9" hidden="1"/>
    <cellStyle name="Followed Hyperlink" xfId="1968" builtinId="9" hidden="1"/>
    <cellStyle name="Followed Hyperlink" xfId="1970" builtinId="9" hidden="1"/>
    <cellStyle name="Followed Hyperlink" xfId="1972" builtinId="9" hidden="1"/>
    <cellStyle name="Followed Hyperlink" xfId="1974" builtinId="9" hidden="1"/>
    <cellStyle name="Followed Hyperlink" xfId="1976" builtinId="9" hidden="1"/>
    <cellStyle name="Followed Hyperlink" xfId="1978" builtinId="9" hidden="1"/>
    <cellStyle name="Followed Hyperlink" xfId="1980" builtinId="9" hidden="1"/>
    <cellStyle name="Followed Hyperlink" xfId="1982" builtinId="9" hidden="1"/>
    <cellStyle name="Followed Hyperlink" xfId="1984" builtinId="9" hidden="1"/>
    <cellStyle name="Followed Hyperlink" xfId="1986" builtinId="9" hidden="1"/>
    <cellStyle name="Followed Hyperlink" xfId="1988" builtinId="9" hidden="1"/>
    <cellStyle name="Followed Hyperlink" xfId="1990" builtinId="9" hidden="1"/>
    <cellStyle name="Followed Hyperlink" xfId="1992" builtinId="9" hidden="1"/>
    <cellStyle name="Followed Hyperlink" xfId="1994" builtinId="9" hidden="1"/>
    <cellStyle name="Followed Hyperlink" xfId="1996" builtinId="9" hidden="1"/>
    <cellStyle name="Followed Hyperlink" xfId="1998" builtinId="9" hidden="1"/>
    <cellStyle name="Followed Hyperlink" xfId="2000" builtinId="9" hidden="1"/>
    <cellStyle name="Followed Hyperlink" xfId="2002" builtinId="9" hidden="1"/>
    <cellStyle name="Followed Hyperlink" xfId="2004" builtinId="9" hidden="1"/>
    <cellStyle name="Followed Hyperlink" xfId="2006" builtinId="9" hidden="1"/>
    <cellStyle name="Followed Hyperlink" xfId="2008" builtinId="9" hidden="1"/>
    <cellStyle name="Followed Hyperlink" xfId="2010" builtinId="9" hidden="1"/>
    <cellStyle name="Followed Hyperlink" xfId="2012" builtinId="9" hidden="1"/>
    <cellStyle name="Followed Hyperlink" xfId="2014" builtinId="9" hidden="1"/>
    <cellStyle name="Followed Hyperlink" xfId="2016" builtinId="9" hidden="1"/>
    <cellStyle name="Followed Hyperlink" xfId="2018" builtinId="9" hidden="1"/>
    <cellStyle name="Followed Hyperlink" xfId="2020" builtinId="9" hidden="1"/>
    <cellStyle name="Followed Hyperlink" xfId="2022" builtinId="9" hidden="1"/>
    <cellStyle name="Followed Hyperlink" xfId="2024" builtinId="9" hidden="1"/>
    <cellStyle name="Followed Hyperlink" xfId="2026" builtinId="9" hidden="1"/>
    <cellStyle name="Followed Hyperlink" xfId="2028" builtinId="9" hidden="1"/>
    <cellStyle name="Followed Hyperlink" xfId="2030" builtinId="9" hidden="1"/>
    <cellStyle name="Followed Hyperlink" xfId="2032" builtinId="9" hidden="1"/>
    <cellStyle name="Followed Hyperlink" xfId="2034" builtinId="9" hidden="1"/>
    <cellStyle name="Followed Hyperlink" xfId="2036" builtinId="9" hidden="1"/>
    <cellStyle name="Followed Hyperlink" xfId="2038" builtinId="9" hidden="1"/>
    <cellStyle name="Followed Hyperlink" xfId="2040" builtinId="9" hidden="1"/>
    <cellStyle name="Followed Hyperlink" xfId="2042" builtinId="9" hidden="1"/>
    <cellStyle name="Followed Hyperlink" xfId="2044" builtinId="9" hidden="1"/>
    <cellStyle name="Followed Hyperlink" xfId="2046" builtinId="9" hidden="1"/>
    <cellStyle name="Followed Hyperlink" xfId="2048" builtinId="9" hidden="1"/>
    <cellStyle name="Followed Hyperlink" xfId="2050" builtinId="9" hidden="1"/>
    <cellStyle name="Followed Hyperlink" xfId="2052" builtinId="9" hidden="1"/>
    <cellStyle name="Followed Hyperlink" xfId="2054" builtinId="9" hidden="1"/>
    <cellStyle name="Followed Hyperlink" xfId="2056" builtinId="9" hidden="1"/>
    <cellStyle name="Followed Hyperlink" xfId="2058" builtinId="9" hidden="1"/>
    <cellStyle name="Followed Hyperlink" xfId="2060" builtinId="9" hidden="1"/>
    <cellStyle name="Followed Hyperlink" xfId="2062" builtinId="9" hidden="1"/>
    <cellStyle name="Followed Hyperlink" xfId="2064" builtinId="9" hidden="1"/>
    <cellStyle name="Followed Hyperlink" xfId="2066" builtinId="9" hidden="1"/>
    <cellStyle name="Followed Hyperlink" xfId="2068" builtinId="9" hidden="1"/>
    <cellStyle name="Followed Hyperlink" xfId="2070" builtinId="9" hidden="1"/>
    <cellStyle name="Followed Hyperlink" xfId="2072" builtinId="9" hidden="1"/>
    <cellStyle name="Followed Hyperlink" xfId="2074" builtinId="9" hidden="1"/>
    <cellStyle name="Followed Hyperlink" xfId="2076" builtinId="9" hidden="1"/>
    <cellStyle name="Followed Hyperlink" xfId="2078" builtinId="9" hidden="1"/>
    <cellStyle name="Followed Hyperlink" xfId="2080" builtinId="9" hidden="1"/>
    <cellStyle name="Followed Hyperlink" xfId="2082" builtinId="9" hidden="1"/>
    <cellStyle name="Followed Hyperlink" xfId="2084" builtinId="9" hidden="1"/>
    <cellStyle name="Followed Hyperlink" xfId="2086" builtinId="9" hidden="1"/>
    <cellStyle name="Followed Hyperlink" xfId="2088" builtinId="9" hidden="1"/>
    <cellStyle name="Followed Hyperlink" xfId="2090" builtinId="9" hidden="1"/>
    <cellStyle name="Followed Hyperlink" xfId="2092" builtinId="9" hidden="1"/>
    <cellStyle name="Followed Hyperlink" xfId="2094" builtinId="9" hidden="1"/>
    <cellStyle name="Followed Hyperlink" xfId="2096" builtinId="9" hidden="1"/>
    <cellStyle name="Followed Hyperlink" xfId="2098" builtinId="9" hidden="1"/>
    <cellStyle name="Followed Hyperlink" xfId="2100" builtinId="9" hidden="1"/>
    <cellStyle name="Followed Hyperlink" xfId="2102" builtinId="9" hidden="1"/>
    <cellStyle name="Followed Hyperlink" xfId="2104" builtinId="9" hidden="1"/>
    <cellStyle name="Followed Hyperlink" xfId="2106" builtinId="9" hidden="1"/>
    <cellStyle name="Followed Hyperlink" xfId="2108" builtinId="9" hidden="1"/>
    <cellStyle name="Followed Hyperlink" xfId="2110" builtinId="9" hidden="1"/>
    <cellStyle name="Followed Hyperlink" xfId="2112" builtinId="9" hidden="1"/>
    <cellStyle name="Followed Hyperlink" xfId="2114" builtinId="9" hidden="1"/>
    <cellStyle name="Followed Hyperlink" xfId="2116" builtinId="9" hidden="1"/>
    <cellStyle name="Followed Hyperlink" xfId="2118" builtinId="9" hidden="1"/>
    <cellStyle name="Followed Hyperlink" xfId="2120" builtinId="9" hidden="1"/>
    <cellStyle name="Followed Hyperlink" xfId="2122" builtinId="9" hidden="1"/>
    <cellStyle name="Followed Hyperlink" xfId="2124" builtinId="9" hidden="1"/>
    <cellStyle name="Followed Hyperlink" xfId="2126" builtinId="9" hidden="1"/>
    <cellStyle name="Followed Hyperlink" xfId="2128" builtinId="9" hidden="1"/>
    <cellStyle name="Followed Hyperlink" xfId="2130" builtinId="9" hidden="1"/>
    <cellStyle name="Followed Hyperlink" xfId="2132" builtinId="9" hidden="1"/>
    <cellStyle name="Followed Hyperlink" xfId="2134" builtinId="9" hidden="1"/>
    <cellStyle name="Followed Hyperlink" xfId="2136" builtinId="9" hidden="1"/>
    <cellStyle name="Followed Hyperlink" xfId="2138" builtinId="9" hidden="1"/>
    <cellStyle name="Followed Hyperlink" xfId="2140" builtinId="9" hidden="1"/>
    <cellStyle name="Followed Hyperlink" xfId="2142" builtinId="9" hidden="1"/>
    <cellStyle name="Followed Hyperlink" xfId="2144" builtinId="9" hidden="1"/>
    <cellStyle name="Followed Hyperlink" xfId="2146" builtinId="9" hidden="1"/>
    <cellStyle name="Followed Hyperlink" xfId="2148" builtinId="9" hidden="1"/>
    <cellStyle name="Followed Hyperlink" xfId="2150" builtinId="9" hidden="1"/>
    <cellStyle name="Followed Hyperlink" xfId="2152" builtinId="9" hidden="1"/>
    <cellStyle name="Followed Hyperlink" xfId="2154" builtinId="9" hidden="1"/>
    <cellStyle name="Followed Hyperlink" xfId="2156" builtinId="9" hidden="1"/>
    <cellStyle name="Followed Hyperlink" xfId="2158" builtinId="9" hidden="1"/>
    <cellStyle name="Followed Hyperlink" xfId="2160" builtinId="9" hidden="1"/>
    <cellStyle name="Followed Hyperlink" xfId="2162" builtinId="9" hidden="1"/>
    <cellStyle name="Followed Hyperlink" xfId="2164" builtinId="9" hidden="1"/>
    <cellStyle name="Followed Hyperlink" xfId="2166" builtinId="9" hidden="1"/>
    <cellStyle name="Followed Hyperlink" xfId="2168" builtinId="9" hidden="1"/>
    <cellStyle name="Followed Hyperlink" xfId="2170" builtinId="9" hidden="1"/>
    <cellStyle name="Followed Hyperlink" xfId="2172" builtinId="9" hidden="1"/>
    <cellStyle name="Followed Hyperlink" xfId="2174" builtinId="9" hidden="1"/>
    <cellStyle name="Followed Hyperlink" xfId="2176" builtinId="9" hidden="1"/>
    <cellStyle name="Followed Hyperlink" xfId="2178" builtinId="9" hidden="1"/>
    <cellStyle name="Followed Hyperlink" xfId="2180" builtinId="9" hidden="1"/>
    <cellStyle name="Followed Hyperlink" xfId="2182" builtinId="9" hidden="1"/>
    <cellStyle name="Followed Hyperlink" xfId="2184" builtinId="9" hidden="1"/>
    <cellStyle name="Followed Hyperlink" xfId="2186" builtinId="9" hidden="1"/>
    <cellStyle name="Followed Hyperlink" xfId="2188" builtinId="9" hidden="1"/>
    <cellStyle name="Followed Hyperlink" xfId="2190" builtinId="9" hidden="1"/>
    <cellStyle name="Followed Hyperlink" xfId="2192" builtinId="9" hidden="1"/>
    <cellStyle name="Followed Hyperlink" xfId="2194" builtinId="9" hidden="1"/>
    <cellStyle name="Followed Hyperlink" xfId="2196" builtinId="9" hidden="1"/>
    <cellStyle name="Followed Hyperlink" xfId="2198" builtinId="9" hidden="1"/>
    <cellStyle name="Followed Hyperlink" xfId="2200" builtinId="9" hidden="1"/>
    <cellStyle name="Followed Hyperlink" xfId="2202" builtinId="9" hidden="1"/>
    <cellStyle name="Followed Hyperlink" xfId="2204" builtinId="9" hidden="1"/>
    <cellStyle name="Followed Hyperlink" xfId="2206" builtinId="9" hidden="1"/>
    <cellStyle name="Followed Hyperlink" xfId="2208" builtinId="9" hidden="1"/>
    <cellStyle name="Followed Hyperlink" xfId="2210" builtinId="9" hidden="1"/>
    <cellStyle name="Followed Hyperlink" xfId="2212" builtinId="9" hidden="1"/>
    <cellStyle name="Followed Hyperlink" xfId="2214" builtinId="9" hidden="1"/>
    <cellStyle name="Followed Hyperlink" xfId="2216" builtinId="9" hidden="1"/>
    <cellStyle name="Followed Hyperlink" xfId="2218" builtinId="9" hidden="1"/>
    <cellStyle name="Followed Hyperlink" xfId="2220" builtinId="9" hidden="1"/>
    <cellStyle name="Followed Hyperlink" xfId="2222" builtinId="9" hidden="1"/>
    <cellStyle name="Followed Hyperlink" xfId="2224" builtinId="9" hidden="1"/>
    <cellStyle name="Followed Hyperlink" xfId="2226" builtinId="9" hidden="1"/>
    <cellStyle name="Followed Hyperlink" xfId="2228" builtinId="9" hidden="1"/>
    <cellStyle name="Followed Hyperlink" xfId="2230" builtinId="9" hidden="1"/>
    <cellStyle name="Followed Hyperlink" xfId="2232" builtinId="9" hidden="1"/>
    <cellStyle name="Followed Hyperlink" xfId="2234" builtinId="9" hidden="1"/>
    <cellStyle name="Followed Hyperlink" xfId="2236" builtinId="9" hidden="1"/>
    <cellStyle name="Followed Hyperlink" xfId="2238" builtinId="9" hidden="1"/>
    <cellStyle name="Followed Hyperlink" xfId="2240" builtinId="9" hidden="1"/>
    <cellStyle name="Followed Hyperlink" xfId="2242" builtinId="9" hidden="1"/>
    <cellStyle name="Followed Hyperlink" xfId="2244" builtinId="9" hidden="1"/>
    <cellStyle name="Followed Hyperlink" xfId="2246" builtinId="9" hidden="1"/>
    <cellStyle name="Followed Hyperlink" xfId="2248" builtinId="9" hidden="1"/>
    <cellStyle name="Followed Hyperlink" xfId="2250" builtinId="9" hidden="1"/>
    <cellStyle name="Followed Hyperlink" xfId="2252" builtinId="9" hidden="1"/>
    <cellStyle name="Followed Hyperlink" xfId="2254" builtinId="9" hidden="1"/>
    <cellStyle name="Followed Hyperlink" xfId="2256" builtinId="9" hidden="1"/>
    <cellStyle name="Followed Hyperlink" xfId="2258" builtinId="9" hidden="1"/>
    <cellStyle name="Followed Hyperlink" xfId="2260" builtinId="9" hidden="1"/>
    <cellStyle name="Followed Hyperlink" xfId="2262" builtinId="9" hidden="1"/>
    <cellStyle name="Followed Hyperlink" xfId="2264" builtinId="9" hidden="1"/>
    <cellStyle name="Followed Hyperlink" xfId="2266" builtinId="9" hidden="1"/>
    <cellStyle name="Followed Hyperlink" xfId="2268" builtinId="9" hidden="1"/>
    <cellStyle name="Followed Hyperlink" xfId="2270" builtinId="9" hidden="1"/>
    <cellStyle name="Followed Hyperlink" xfId="2272" builtinId="9" hidden="1"/>
    <cellStyle name="Followed Hyperlink" xfId="2274" builtinId="9" hidden="1"/>
    <cellStyle name="Followed Hyperlink" xfId="2276" builtinId="9" hidden="1"/>
    <cellStyle name="Followed Hyperlink" xfId="2278" builtinId="9" hidden="1"/>
    <cellStyle name="Followed Hyperlink" xfId="2280" builtinId="9" hidden="1"/>
    <cellStyle name="Followed Hyperlink" xfId="2282" builtinId="9" hidden="1"/>
    <cellStyle name="Followed Hyperlink" xfId="2284" builtinId="9" hidden="1"/>
    <cellStyle name="Followed Hyperlink" xfId="2286" builtinId="9" hidden="1"/>
    <cellStyle name="Followed Hyperlink" xfId="2288" builtinId="9" hidden="1"/>
    <cellStyle name="Followed Hyperlink" xfId="2290" builtinId="9" hidden="1"/>
    <cellStyle name="Followed Hyperlink" xfId="2292" builtinId="9" hidden="1"/>
    <cellStyle name="Followed Hyperlink" xfId="2294" builtinId="9" hidden="1"/>
    <cellStyle name="Followed Hyperlink" xfId="2296" builtinId="9" hidden="1"/>
    <cellStyle name="Followed Hyperlink" xfId="2298" builtinId="9" hidden="1"/>
    <cellStyle name="Followed Hyperlink" xfId="2300" builtinId="9" hidden="1"/>
    <cellStyle name="Followed Hyperlink" xfId="2302" builtinId="9" hidden="1"/>
    <cellStyle name="Followed Hyperlink" xfId="2304" builtinId="9" hidden="1"/>
    <cellStyle name="Followed Hyperlink" xfId="2306" builtinId="9" hidden="1"/>
    <cellStyle name="Followed Hyperlink" xfId="2308" builtinId="9" hidden="1"/>
    <cellStyle name="Followed Hyperlink" xfId="2310" builtinId="9" hidden="1"/>
    <cellStyle name="Followed Hyperlink" xfId="2312" builtinId="9" hidden="1"/>
    <cellStyle name="Followed Hyperlink" xfId="2314" builtinId="9" hidden="1"/>
    <cellStyle name="Followed Hyperlink" xfId="2316" builtinId="9" hidden="1"/>
    <cellStyle name="Followed Hyperlink" xfId="2318" builtinId="9" hidden="1"/>
    <cellStyle name="Followed Hyperlink" xfId="2320" builtinId="9" hidden="1"/>
    <cellStyle name="Followed Hyperlink" xfId="2322" builtinId="9" hidden="1"/>
    <cellStyle name="Followed Hyperlink" xfId="2324" builtinId="9" hidden="1"/>
    <cellStyle name="Followed Hyperlink" xfId="2326" builtinId="9" hidden="1"/>
    <cellStyle name="Followed Hyperlink" xfId="2328" builtinId="9" hidden="1"/>
    <cellStyle name="Followed Hyperlink" xfId="2330" builtinId="9" hidden="1"/>
    <cellStyle name="Followed Hyperlink" xfId="2332" builtinId="9" hidden="1"/>
    <cellStyle name="Followed Hyperlink" xfId="2334" builtinId="9" hidden="1"/>
    <cellStyle name="Followed Hyperlink" xfId="2336" builtinId="9" hidden="1"/>
    <cellStyle name="Followed Hyperlink" xfId="2338" builtinId="9" hidden="1"/>
    <cellStyle name="Followed Hyperlink" xfId="2340" builtinId="9" hidden="1"/>
    <cellStyle name="Followed Hyperlink" xfId="2342" builtinId="9" hidden="1"/>
    <cellStyle name="Followed Hyperlink" xfId="2344" builtinId="9" hidden="1"/>
    <cellStyle name="Followed Hyperlink" xfId="2346" builtinId="9" hidden="1"/>
    <cellStyle name="Followed Hyperlink" xfId="2348" builtinId="9" hidden="1"/>
    <cellStyle name="Followed Hyperlink" xfId="2350" builtinId="9" hidden="1"/>
    <cellStyle name="Followed Hyperlink" xfId="2352" builtinId="9" hidden="1"/>
    <cellStyle name="Followed Hyperlink" xfId="2354" builtinId="9" hidden="1"/>
    <cellStyle name="Followed Hyperlink" xfId="2356" builtinId="9" hidden="1"/>
    <cellStyle name="Followed Hyperlink" xfId="2358" builtinId="9" hidden="1"/>
    <cellStyle name="Followed Hyperlink" xfId="2360" builtinId="9" hidden="1"/>
    <cellStyle name="Followed Hyperlink" xfId="2362" builtinId="9" hidden="1"/>
    <cellStyle name="Followed Hyperlink" xfId="2364" builtinId="9" hidden="1"/>
    <cellStyle name="Followed Hyperlink" xfId="2366" builtinId="9" hidden="1"/>
    <cellStyle name="Followed Hyperlink" xfId="2368" builtinId="9" hidden="1"/>
    <cellStyle name="Followed Hyperlink" xfId="2370" builtinId="9" hidden="1"/>
    <cellStyle name="Followed Hyperlink" xfId="2372" builtinId="9" hidden="1"/>
    <cellStyle name="Followed Hyperlink" xfId="2374" builtinId="9" hidden="1"/>
    <cellStyle name="Followed Hyperlink" xfId="2376" builtinId="9" hidden="1"/>
    <cellStyle name="Followed Hyperlink" xfId="2378" builtinId="9" hidden="1"/>
    <cellStyle name="Followed Hyperlink" xfId="2380" builtinId="9" hidden="1"/>
    <cellStyle name="Followed Hyperlink" xfId="2382" builtinId="9" hidden="1"/>
    <cellStyle name="Followed Hyperlink" xfId="2384" builtinId="9" hidden="1"/>
    <cellStyle name="Followed Hyperlink" xfId="2386" builtinId="9" hidden="1"/>
    <cellStyle name="Followed Hyperlink" xfId="2388" builtinId="9" hidden="1"/>
    <cellStyle name="Followed Hyperlink" xfId="2390" builtinId="9" hidden="1"/>
    <cellStyle name="Followed Hyperlink" xfId="2392" builtinId="9" hidden="1"/>
    <cellStyle name="Followed Hyperlink" xfId="2394" builtinId="9" hidden="1"/>
    <cellStyle name="Followed Hyperlink" xfId="2396" builtinId="9" hidden="1"/>
    <cellStyle name="Followed Hyperlink" xfId="2398" builtinId="9" hidden="1"/>
    <cellStyle name="Followed Hyperlink" xfId="2400" builtinId="9" hidden="1"/>
    <cellStyle name="Followed Hyperlink" xfId="2402" builtinId="9" hidden="1"/>
    <cellStyle name="Followed Hyperlink" xfId="2404" builtinId="9" hidden="1"/>
    <cellStyle name="Followed Hyperlink" xfId="2406" builtinId="9" hidden="1"/>
    <cellStyle name="Followed Hyperlink" xfId="2408" builtinId="9" hidden="1"/>
    <cellStyle name="Followed Hyperlink" xfId="2410" builtinId="9" hidden="1"/>
    <cellStyle name="Followed Hyperlink" xfId="2412" builtinId="9" hidden="1"/>
    <cellStyle name="Followed Hyperlink" xfId="2414" builtinId="9" hidden="1"/>
    <cellStyle name="Followed Hyperlink" xfId="2416" builtinId="9" hidden="1"/>
    <cellStyle name="Followed Hyperlink" xfId="2418" builtinId="9" hidden="1"/>
    <cellStyle name="Followed Hyperlink" xfId="2420" builtinId="9" hidden="1"/>
    <cellStyle name="Followed Hyperlink" xfId="2422" builtinId="9" hidden="1"/>
    <cellStyle name="Followed Hyperlink" xfId="2424" builtinId="9" hidden="1"/>
    <cellStyle name="Followed Hyperlink" xfId="2426" builtinId="9" hidden="1"/>
    <cellStyle name="Followed Hyperlink" xfId="2428" builtinId="9" hidden="1"/>
    <cellStyle name="Followed Hyperlink" xfId="2430" builtinId="9" hidden="1"/>
    <cellStyle name="Followed Hyperlink" xfId="2432" builtinId="9" hidden="1"/>
    <cellStyle name="Followed Hyperlink" xfId="2434" builtinId="9" hidden="1"/>
    <cellStyle name="Followed Hyperlink" xfId="2436" builtinId="9" hidden="1"/>
    <cellStyle name="Followed Hyperlink" xfId="2438" builtinId="9" hidden="1"/>
    <cellStyle name="Followed Hyperlink" xfId="2440" builtinId="9" hidden="1"/>
    <cellStyle name="Followed Hyperlink" xfId="2442" builtinId="9" hidden="1"/>
    <cellStyle name="Followed Hyperlink" xfId="2444" builtinId="9" hidden="1"/>
    <cellStyle name="Followed Hyperlink" xfId="2446" builtinId="9" hidden="1"/>
    <cellStyle name="Followed Hyperlink" xfId="2448" builtinId="9" hidden="1"/>
    <cellStyle name="Followed Hyperlink" xfId="2450" builtinId="9" hidden="1"/>
    <cellStyle name="Followed Hyperlink" xfId="2452" builtinId="9" hidden="1"/>
    <cellStyle name="Followed Hyperlink" xfId="2454" builtinId="9" hidden="1"/>
    <cellStyle name="Followed Hyperlink" xfId="2456" builtinId="9" hidden="1"/>
    <cellStyle name="Followed Hyperlink" xfId="2458" builtinId="9" hidden="1"/>
    <cellStyle name="Followed Hyperlink" xfId="2460" builtinId="9" hidden="1"/>
    <cellStyle name="Followed Hyperlink" xfId="2462" builtinId="9" hidden="1"/>
    <cellStyle name="Followed Hyperlink" xfId="2464" builtinId="9" hidden="1"/>
    <cellStyle name="Followed Hyperlink" xfId="2466" builtinId="9" hidden="1"/>
    <cellStyle name="Followed Hyperlink" xfId="2468" builtinId="9" hidden="1"/>
    <cellStyle name="Followed Hyperlink" xfId="2470" builtinId="9" hidden="1"/>
    <cellStyle name="Followed Hyperlink" xfId="2472" builtinId="9" hidden="1"/>
    <cellStyle name="Followed Hyperlink" xfId="2474" builtinId="9" hidden="1"/>
    <cellStyle name="Followed Hyperlink" xfId="2476" builtinId="9" hidden="1"/>
    <cellStyle name="Followed Hyperlink" xfId="2478" builtinId="9" hidden="1"/>
    <cellStyle name="Followed Hyperlink" xfId="2480" builtinId="9" hidden="1"/>
    <cellStyle name="Followed Hyperlink" xfId="2482" builtinId="9" hidden="1"/>
    <cellStyle name="Followed Hyperlink" xfId="2484" builtinId="9" hidden="1"/>
    <cellStyle name="Followed Hyperlink" xfId="2486" builtinId="9" hidden="1"/>
    <cellStyle name="Followed Hyperlink" xfId="2488" builtinId="9" hidden="1"/>
    <cellStyle name="Followed Hyperlink" xfId="2490" builtinId="9" hidden="1"/>
    <cellStyle name="Followed Hyperlink" xfId="2492" builtinId="9" hidden="1"/>
    <cellStyle name="Followed Hyperlink" xfId="2494" builtinId="9" hidden="1"/>
    <cellStyle name="Followed Hyperlink" xfId="2496" builtinId="9" hidden="1"/>
    <cellStyle name="Followed Hyperlink" xfId="2498" builtinId="9" hidden="1"/>
    <cellStyle name="Followed Hyperlink" xfId="2500" builtinId="9" hidden="1"/>
    <cellStyle name="Followed Hyperlink" xfId="2502" builtinId="9" hidden="1"/>
    <cellStyle name="Followed Hyperlink" xfId="2504" builtinId="9" hidden="1"/>
    <cellStyle name="Followed Hyperlink" xfId="2506" builtinId="9" hidden="1"/>
    <cellStyle name="Followed Hyperlink" xfId="2508" builtinId="9" hidden="1"/>
    <cellStyle name="Followed Hyperlink" xfId="2510" builtinId="9" hidden="1"/>
    <cellStyle name="Followed Hyperlink" xfId="2512" builtinId="9" hidden="1"/>
    <cellStyle name="Followed Hyperlink" xfId="2514" builtinId="9" hidden="1"/>
    <cellStyle name="Followed Hyperlink" xfId="2516" builtinId="9" hidden="1"/>
    <cellStyle name="Followed Hyperlink" xfId="2518" builtinId="9" hidden="1"/>
    <cellStyle name="Followed Hyperlink" xfId="2520" builtinId="9" hidden="1"/>
    <cellStyle name="Followed Hyperlink" xfId="2522" builtinId="9" hidden="1"/>
    <cellStyle name="Followed Hyperlink" xfId="2524" builtinId="9" hidden="1"/>
    <cellStyle name="Followed Hyperlink" xfId="2526" builtinId="9" hidden="1"/>
    <cellStyle name="Followed Hyperlink" xfId="2528" builtinId="9" hidden="1"/>
    <cellStyle name="Followed Hyperlink" xfId="2530" builtinId="9" hidden="1"/>
    <cellStyle name="Followed Hyperlink" xfId="2532" builtinId="9" hidden="1"/>
    <cellStyle name="Followed Hyperlink" xfId="2534" builtinId="9" hidden="1"/>
    <cellStyle name="Followed Hyperlink" xfId="2536" builtinId="9" hidden="1"/>
    <cellStyle name="Followed Hyperlink" xfId="2538" builtinId="9" hidden="1"/>
    <cellStyle name="Followed Hyperlink" xfId="2540" builtinId="9" hidden="1"/>
    <cellStyle name="Followed Hyperlink" xfId="2542" builtinId="9" hidden="1"/>
    <cellStyle name="Followed Hyperlink" xfId="2544" builtinId="9" hidden="1"/>
    <cellStyle name="Followed Hyperlink" xfId="2546" builtinId="9" hidden="1"/>
    <cellStyle name="Followed Hyperlink" xfId="2548" builtinId="9" hidden="1"/>
    <cellStyle name="Followed Hyperlink" xfId="2550" builtinId="9" hidden="1"/>
    <cellStyle name="Followed Hyperlink" xfId="2552" builtinId="9" hidden="1"/>
    <cellStyle name="Followed Hyperlink" xfId="2554" builtinId="9" hidden="1"/>
    <cellStyle name="Followed Hyperlink" xfId="2556" builtinId="9" hidden="1"/>
    <cellStyle name="Followed Hyperlink" xfId="2558" builtinId="9" hidden="1"/>
    <cellStyle name="Followed Hyperlink" xfId="2560" builtinId="9" hidden="1"/>
    <cellStyle name="Followed Hyperlink" xfId="2562" builtinId="9" hidden="1"/>
    <cellStyle name="Followed Hyperlink" xfId="2564" builtinId="9" hidden="1"/>
    <cellStyle name="Followed Hyperlink" xfId="2566" builtinId="9" hidden="1"/>
    <cellStyle name="Followed Hyperlink" xfId="2568" builtinId="9" hidden="1"/>
    <cellStyle name="Followed Hyperlink" xfId="2570" builtinId="9" hidden="1"/>
    <cellStyle name="Followed Hyperlink" xfId="2572" builtinId="9" hidden="1"/>
    <cellStyle name="Followed Hyperlink" xfId="2574" builtinId="9" hidden="1"/>
    <cellStyle name="Followed Hyperlink" xfId="2576" builtinId="9" hidden="1"/>
    <cellStyle name="Followed Hyperlink" xfId="2578" builtinId="9" hidden="1"/>
    <cellStyle name="Followed Hyperlink" xfId="2580" builtinId="9" hidden="1"/>
    <cellStyle name="Followed Hyperlink" xfId="2584" builtinId="9" hidden="1"/>
    <cellStyle name="Followed Hyperlink" xfId="2586" builtinId="9" hidden="1"/>
    <cellStyle name="Followed Hyperlink" xfId="2588" builtinId="9" hidden="1"/>
    <cellStyle name="Followed Hyperlink" xfId="2590" builtinId="9" hidden="1"/>
    <cellStyle name="Followed Hyperlink" xfId="2592" builtinId="9" hidden="1"/>
    <cellStyle name="Followed Hyperlink" xfId="2594" builtinId="9" hidden="1"/>
    <cellStyle name="Followed Hyperlink" xfId="2596" builtinId="9" hidden="1"/>
    <cellStyle name="Followed Hyperlink" xfId="2598" builtinId="9" hidden="1"/>
    <cellStyle name="Followed Hyperlink" xfId="2600" builtinId="9" hidden="1"/>
    <cellStyle name="Followed Hyperlink" xfId="2602" builtinId="9" hidden="1"/>
    <cellStyle name="Followed Hyperlink" xfId="2604" builtinId="9" hidden="1"/>
    <cellStyle name="Followed Hyperlink" xfId="2606" builtinId="9" hidden="1"/>
    <cellStyle name="Followed Hyperlink" xfId="2608" builtinId="9" hidden="1"/>
    <cellStyle name="Followed Hyperlink" xfId="2610" builtinId="9" hidden="1"/>
    <cellStyle name="Followed Hyperlink" xfId="2612" builtinId="9" hidden="1"/>
    <cellStyle name="Followed Hyperlink" xfId="2614" builtinId="9" hidden="1"/>
    <cellStyle name="Followed Hyperlink" xfId="2616" builtinId="9" hidden="1"/>
    <cellStyle name="Followed Hyperlink" xfId="2618" builtinId="9" hidden="1"/>
    <cellStyle name="Followed Hyperlink" xfId="2620" builtinId="9" hidden="1"/>
    <cellStyle name="Followed Hyperlink" xfId="2622" builtinId="9" hidden="1"/>
    <cellStyle name="Followed Hyperlink" xfId="2624" builtinId="9" hidden="1"/>
    <cellStyle name="Followed Hyperlink" xfId="2626" builtinId="9" hidden="1"/>
    <cellStyle name="Followed Hyperlink" xfId="2628" builtinId="9" hidden="1"/>
    <cellStyle name="Followed Hyperlink" xfId="2630" builtinId="9" hidden="1"/>
    <cellStyle name="Followed Hyperlink" xfId="2632" builtinId="9" hidden="1"/>
    <cellStyle name="Followed Hyperlink" xfId="2634" builtinId="9" hidden="1"/>
    <cellStyle name="Followed Hyperlink" xfId="2636" builtinId="9" hidden="1"/>
    <cellStyle name="Followed Hyperlink" xfId="2638" builtinId="9" hidden="1"/>
    <cellStyle name="Followed Hyperlink" xfId="2640" builtinId="9" hidden="1"/>
    <cellStyle name="Followed Hyperlink" xfId="2642" builtinId="9" hidden="1"/>
    <cellStyle name="Followed Hyperlink" xfId="2644" builtinId="9" hidden="1"/>
    <cellStyle name="Followed Hyperlink" xfId="2646" builtinId="9" hidden="1"/>
    <cellStyle name="Good" xfId="2581" builtinId="26"/>
    <cellStyle name="Good 2" xfId="1861"/>
    <cellStyle name="Hyperlink" xfId="1" builtinId="8" hidden="1"/>
    <cellStyle name="Hyperlink" xfId="3" builtinId="8" hidden="1"/>
    <cellStyle name="Hyperlink" xfId="5" builtinId="8" hidden="1"/>
    <cellStyle name="Hyperlink" xfId="7" builtinId="8" hidden="1"/>
    <cellStyle name="Hyperlink" xfId="9" builtinId="8" hidden="1"/>
    <cellStyle name="Hyperlink" xfId="11" builtinId="8" hidden="1"/>
    <cellStyle name="Hyperlink" xfId="13" builtinId="8" hidden="1"/>
    <cellStyle name="Hyperlink" xfId="15" builtinId="8" hidden="1"/>
    <cellStyle name="Hyperlink" xfId="17" builtinId="8" hidden="1"/>
    <cellStyle name="Hyperlink" xfId="19" builtinId="8" hidden="1"/>
    <cellStyle name="Hyperlink" xfId="21" builtinId="8" hidden="1"/>
    <cellStyle name="Hyperlink" xfId="23" builtinId="8" hidden="1"/>
    <cellStyle name="Hyperlink" xfId="25" builtinId="8" hidden="1"/>
    <cellStyle name="Hyperlink" xfId="27" builtinId="8" hidden="1"/>
    <cellStyle name="Hyperlink" xfId="29" builtinId="8" hidden="1"/>
    <cellStyle name="Hyperlink" xfId="31" builtinId="8" hidden="1"/>
    <cellStyle name="Hyperlink" xfId="33" builtinId="8" hidden="1"/>
    <cellStyle name="Hyperlink" xfId="35" builtinId="8" hidden="1"/>
    <cellStyle name="Hyperlink" xfId="37" builtinId="8" hidden="1"/>
    <cellStyle name="Hyperlink" xfId="39" builtinId="8" hidden="1"/>
    <cellStyle name="Hyperlink" xfId="41" builtinId="8" hidden="1"/>
    <cellStyle name="Hyperlink" xfId="43" builtinId="8" hidden="1"/>
    <cellStyle name="Hyperlink" xfId="45" builtinId="8" hidden="1"/>
    <cellStyle name="Hyperlink" xfId="47" builtinId="8" hidden="1"/>
    <cellStyle name="Hyperlink" xfId="49" builtinId="8" hidden="1"/>
    <cellStyle name="Hyperlink" xfId="51" builtinId="8" hidden="1"/>
    <cellStyle name="Hyperlink" xfId="53" builtinId="8" hidden="1"/>
    <cellStyle name="Hyperlink" xfId="55" builtinId="8" hidden="1"/>
    <cellStyle name="Hyperlink" xfId="57" builtinId="8" hidden="1"/>
    <cellStyle name="Hyperlink" xfId="59" builtinId="8" hidden="1"/>
    <cellStyle name="Hyperlink" xfId="61" builtinId="8" hidden="1"/>
    <cellStyle name="Hyperlink" xfId="63" builtinId="8" hidden="1"/>
    <cellStyle name="Hyperlink" xfId="65" builtinId="8" hidden="1"/>
    <cellStyle name="Hyperlink" xfId="67" builtinId="8" hidden="1"/>
    <cellStyle name="Hyperlink" xfId="69" builtinId="8" hidden="1"/>
    <cellStyle name="Hyperlink" xfId="71" builtinId="8" hidden="1"/>
    <cellStyle name="Hyperlink" xfId="73" builtinId="8" hidden="1"/>
    <cellStyle name="Hyperlink" xfId="75" builtinId="8" hidden="1"/>
    <cellStyle name="Hyperlink" xfId="77" builtinId="8" hidden="1"/>
    <cellStyle name="Hyperlink" xfId="79" builtinId="8" hidden="1"/>
    <cellStyle name="Hyperlink" xfId="81" builtinId="8" hidden="1"/>
    <cellStyle name="Hyperlink" xfId="83" builtinId="8" hidden="1"/>
    <cellStyle name="Hyperlink" xfId="85" builtinId="8" hidden="1"/>
    <cellStyle name="Hyperlink" xfId="87" builtinId="8" hidden="1"/>
    <cellStyle name="Hyperlink" xfId="89" builtinId="8" hidden="1"/>
    <cellStyle name="Hyperlink" xfId="91" builtinId="8" hidden="1"/>
    <cellStyle name="Hyperlink" xfId="93" builtinId="8" hidden="1"/>
    <cellStyle name="Hyperlink" xfId="95" builtinId="8" hidden="1"/>
    <cellStyle name="Hyperlink" xfId="97" builtinId="8" hidden="1"/>
    <cellStyle name="Hyperlink" xfId="99" builtinId="8" hidden="1"/>
    <cellStyle name="Hyperlink" xfId="101" builtinId="8" hidden="1"/>
    <cellStyle name="Hyperlink" xfId="103" builtinId="8" hidden="1"/>
    <cellStyle name="Hyperlink" xfId="105" builtinId="8" hidden="1"/>
    <cellStyle name="Hyperlink" xfId="107" builtinId="8" hidden="1"/>
    <cellStyle name="Hyperlink" xfId="109" builtinId="8" hidden="1"/>
    <cellStyle name="Hyperlink" xfId="111" builtinId="8" hidden="1"/>
    <cellStyle name="Hyperlink" xfId="113" builtinId="8" hidden="1"/>
    <cellStyle name="Hyperlink" xfId="115" builtinId="8" hidden="1"/>
    <cellStyle name="Hyperlink" xfId="117" builtinId="8" hidden="1"/>
    <cellStyle name="Hyperlink" xfId="119" builtinId="8" hidden="1"/>
    <cellStyle name="Hyperlink" xfId="121" builtinId="8" hidden="1"/>
    <cellStyle name="Hyperlink" xfId="123" builtinId="8" hidden="1"/>
    <cellStyle name="Hyperlink" xfId="125" builtinId="8" hidden="1"/>
    <cellStyle name="Hyperlink" xfId="127" builtinId="8" hidden="1"/>
    <cellStyle name="Hyperlink" xfId="129" builtinId="8" hidden="1"/>
    <cellStyle name="Hyperlink" xfId="131" builtinId="8" hidden="1"/>
    <cellStyle name="Hyperlink" xfId="133" builtinId="8" hidden="1"/>
    <cellStyle name="Hyperlink" xfId="135" builtinId="8" hidden="1"/>
    <cellStyle name="Hyperlink" xfId="137" builtinId="8" hidden="1"/>
    <cellStyle name="Hyperlink" xfId="139" builtinId="8" hidden="1"/>
    <cellStyle name="Hyperlink" xfId="141" builtinId="8" hidden="1"/>
    <cellStyle name="Hyperlink" xfId="143" builtinId="8" hidden="1"/>
    <cellStyle name="Hyperlink" xfId="145" builtinId="8" hidden="1"/>
    <cellStyle name="Hyperlink" xfId="147" builtinId="8" hidden="1"/>
    <cellStyle name="Hyperlink" xfId="149" builtinId="8" hidden="1"/>
    <cellStyle name="Hyperlink" xfId="151" builtinId="8" hidden="1"/>
    <cellStyle name="Hyperlink" xfId="153" builtinId="8" hidden="1"/>
    <cellStyle name="Hyperlink" xfId="155" builtinId="8" hidden="1"/>
    <cellStyle name="Hyperlink" xfId="157" builtinId="8" hidden="1"/>
    <cellStyle name="Hyperlink" xfId="159" builtinId="8" hidden="1"/>
    <cellStyle name="Hyperlink" xfId="161" builtinId="8" hidden="1"/>
    <cellStyle name="Hyperlink" xfId="163" builtinId="8" hidden="1"/>
    <cellStyle name="Hyperlink" xfId="165" builtinId="8" hidden="1"/>
    <cellStyle name="Hyperlink" xfId="167" builtinId="8" hidden="1"/>
    <cellStyle name="Hyperlink" xfId="169" builtinId="8" hidden="1"/>
    <cellStyle name="Hyperlink" xfId="171" builtinId="8" hidden="1"/>
    <cellStyle name="Hyperlink" xfId="173" builtinId="8" hidden="1"/>
    <cellStyle name="Hyperlink" xfId="175" builtinId="8" hidden="1"/>
    <cellStyle name="Hyperlink" xfId="177" builtinId="8" hidden="1"/>
    <cellStyle name="Hyperlink" xfId="179" builtinId="8" hidden="1"/>
    <cellStyle name="Hyperlink" xfId="181" builtinId="8" hidden="1"/>
    <cellStyle name="Hyperlink" xfId="183" builtinId="8" hidden="1"/>
    <cellStyle name="Hyperlink" xfId="185" builtinId="8" hidden="1"/>
    <cellStyle name="Hyperlink" xfId="187" builtinId="8" hidden="1"/>
    <cellStyle name="Hyperlink" xfId="189" builtinId="8" hidden="1"/>
    <cellStyle name="Hyperlink" xfId="191" builtinId="8" hidden="1"/>
    <cellStyle name="Hyperlink" xfId="193" builtinId="8" hidden="1"/>
    <cellStyle name="Hyperlink" xfId="195" builtinId="8" hidden="1"/>
    <cellStyle name="Hyperlink" xfId="197" builtinId="8" hidden="1"/>
    <cellStyle name="Hyperlink" xfId="199" builtinId="8" hidden="1"/>
    <cellStyle name="Hyperlink" xfId="201" builtinId="8" hidden="1"/>
    <cellStyle name="Hyperlink" xfId="203" builtinId="8" hidden="1"/>
    <cellStyle name="Hyperlink" xfId="205" builtinId="8" hidden="1"/>
    <cellStyle name="Hyperlink" xfId="207" builtinId="8" hidden="1"/>
    <cellStyle name="Hyperlink" xfId="209" builtinId="8" hidden="1"/>
    <cellStyle name="Hyperlink" xfId="211" builtinId="8" hidden="1"/>
    <cellStyle name="Hyperlink" xfId="213" builtinId="8" hidden="1"/>
    <cellStyle name="Hyperlink" xfId="215" builtinId="8" hidden="1"/>
    <cellStyle name="Hyperlink" xfId="217" builtinId="8" hidden="1"/>
    <cellStyle name="Hyperlink" xfId="219" builtinId="8" hidden="1"/>
    <cellStyle name="Hyperlink" xfId="221" builtinId="8" hidden="1"/>
    <cellStyle name="Hyperlink" xfId="223" builtinId="8" hidden="1"/>
    <cellStyle name="Hyperlink" xfId="225" builtinId="8" hidden="1"/>
    <cellStyle name="Hyperlink" xfId="227" builtinId="8" hidden="1"/>
    <cellStyle name="Hyperlink" xfId="229" builtinId="8" hidden="1"/>
    <cellStyle name="Hyperlink" xfId="231" builtinId="8" hidden="1"/>
    <cellStyle name="Hyperlink" xfId="233" builtinId="8" hidden="1"/>
    <cellStyle name="Hyperlink" xfId="235" builtinId="8" hidden="1"/>
    <cellStyle name="Hyperlink" xfId="237" builtinId="8" hidden="1"/>
    <cellStyle name="Hyperlink" xfId="239" builtinId="8" hidden="1"/>
    <cellStyle name="Hyperlink" xfId="241" builtinId="8" hidden="1"/>
    <cellStyle name="Hyperlink" xfId="243" builtinId="8" hidden="1"/>
    <cellStyle name="Hyperlink" xfId="245" builtinId="8" hidden="1"/>
    <cellStyle name="Hyperlink" xfId="247" builtinId="8" hidden="1"/>
    <cellStyle name="Hyperlink" xfId="249" builtinId="8" hidden="1"/>
    <cellStyle name="Hyperlink" xfId="251" builtinId="8" hidden="1"/>
    <cellStyle name="Hyperlink" xfId="253" builtinId="8" hidden="1"/>
    <cellStyle name="Hyperlink" xfId="255" builtinId="8" hidden="1"/>
    <cellStyle name="Hyperlink" xfId="257" builtinId="8" hidden="1"/>
    <cellStyle name="Hyperlink" xfId="259" builtinId="8" hidden="1"/>
    <cellStyle name="Hyperlink" xfId="261" builtinId="8" hidden="1"/>
    <cellStyle name="Hyperlink" xfId="263" builtinId="8" hidden="1"/>
    <cellStyle name="Hyperlink" xfId="265" builtinId="8" hidden="1"/>
    <cellStyle name="Hyperlink" xfId="267" builtinId="8" hidden="1"/>
    <cellStyle name="Hyperlink" xfId="269" builtinId="8" hidden="1"/>
    <cellStyle name="Hyperlink" xfId="271" builtinId="8" hidden="1"/>
    <cellStyle name="Hyperlink" xfId="273" builtinId="8" hidden="1"/>
    <cellStyle name="Hyperlink" xfId="275" builtinId="8" hidden="1"/>
    <cellStyle name="Hyperlink" xfId="277" builtinId="8" hidden="1"/>
    <cellStyle name="Hyperlink" xfId="279" builtinId="8" hidden="1"/>
    <cellStyle name="Hyperlink" xfId="281" builtinId="8" hidden="1"/>
    <cellStyle name="Hyperlink" xfId="283" builtinId="8" hidden="1"/>
    <cellStyle name="Hyperlink" xfId="285" builtinId="8" hidden="1"/>
    <cellStyle name="Hyperlink" xfId="287" builtinId="8" hidden="1"/>
    <cellStyle name="Hyperlink" xfId="289" builtinId="8" hidden="1"/>
    <cellStyle name="Hyperlink" xfId="291" builtinId="8" hidden="1"/>
    <cellStyle name="Hyperlink" xfId="293" builtinId="8" hidden="1"/>
    <cellStyle name="Hyperlink" xfId="295" builtinId="8" hidden="1"/>
    <cellStyle name="Hyperlink" xfId="297" builtinId="8" hidden="1"/>
    <cellStyle name="Hyperlink" xfId="299" builtinId="8" hidden="1"/>
    <cellStyle name="Hyperlink" xfId="301" builtinId="8" hidden="1"/>
    <cellStyle name="Hyperlink" xfId="303" builtinId="8" hidden="1"/>
    <cellStyle name="Hyperlink" xfId="305" builtinId="8" hidden="1"/>
    <cellStyle name="Hyperlink" xfId="307" builtinId="8" hidden="1"/>
    <cellStyle name="Hyperlink" xfId="309" builtinId="8" hidden="1"/>
    <cellStyle name="Hyperlink" xfId="311" builtinId="8" hidden="1"/>
    <cellStyle name="Hyperlink" xfId="313" builtinId="8" hidden="1"/>
    <cellStyle name="Hyperlink" xfId="315" builtinId="8" hidden="1"/>
    <cellStyle name="Hyperlink" xfId="317" builtinId="8" hidden="1"/>
    <cellStyle name="Hyperlink" xfId="319" builtinId="8" hidden="1"/>
    <cellStyle name="Hyperlink" xfId="321" builtinId="8" hidden="1"/>
    <cellStyle name="Hyperlink" xfId="323" builtinId="8" hidden="1"/>
    <cellStyle name="Hyperlink" xfId="325" builtinId="8" hidden="1"/>
    <cellStyle name="Hyperlink" xfId="327" builtinId="8" hidden="1"/>
    <cellStyle name="Hyperlink" xfId="329" builtinId="8" hidden="1"/>
    <cellStyle name="Hyperlink" xfId="331" builtinId="8" hidden="1"/>
    <cellStyle name="Hyperlink" xfId="333" builtinId="8" hidden="1"/>
    <cellStyle name="Hyperlink" xfId="335" builtinId="8" hidden="1"/>
    <cellStyle name="Hyperlink" xfId="337" builtinId="8" hidden="1"/>
    <cellStyle name="Hyperlink" xfId="339" builtinId="8" hidden="1"/>
    <cellStyle name="Hyperlink" xfId="341" builtinId="8" hidden="1"/>
    <cellStyle name="Hyperlink" xfId="343" builtinId="8" hidden="1"/>
    <cellStyle name="Hyperlink" xfId="345" builtinId="8" hidden="1"/>
    <cellStyle name="Hyperlink" xfId="347" builtinId="8" hidden="1"/>
    <cellStyle name="Hyperlink" xfId="349" builtinId="8" hidden="1"/>
    <cellStyle name="Hyperlink" xfId="351" builtinId="8" hidden="1"/>
    <cellStyle name="Hyperlink" xfId="353" builtinId="8" hidden="1"/>
    <cellStyle name="Hyperlink" xfId="355" builtinId="8" hidden="1"/>
    <cellStyle name="Hyperlink" xfId="357" builtinId="8" hidden="1"/>
    <cellStyle name="Hyperlink" xfId="359" builtinId="8" hidden="1"/>
    <cellStyle name="Hyperlink" xfId="361" builtinId="8" hidden="1"/>
    <cellStyle name="Hyperlink" xfId="363" builtinId="8" hidden="1"/>
    <cellStyle name="Hyperlink" xfId="365" builtinId="8" hidden="1"/>
    <cellStyle name="Hyperlink" xfId="367" builtinId="8" hidden="1"/>
    <cellStyle name="Hyperlink" xfId="369" builtinId="8" hidden="1"/>
    <cellStyle name="Hyperlink" xfId="371" builtinId="8" hidden="1"/>
    <cellStyle name="Hyperlink" xfId="373" builtinId="8" hidden="1"/>
    <cellStyle name="Hyperlink" xfId="375" builtinId="8" hidden="1"/>
    <cellStyle name="Hyperlink" xfId="377" builtinId="8" hidden="1"/>
    <cellStyle name="Hyperlink" xfId="379" builtinId="8" hidden="1"/>
    <cellStyle name="Hyperlink" xfId="381" builtinId="8" hidden="1"/>
    <cellStyle name="Hyperlink" xfId="383" builtinId="8" hidden="1"/>
    <cellStyle name="Hyperlink" xfId="385" builtinId="8" hidden="1"/>
    <cellStyle name="Hyperlink" xfId="387" builtinId="8" hidden="1"/>
    <cellStyle name="Hyperlink" xfId="389" builtinId="8" hidden="1"/>
    <cellStyle name="Hyperlink" xfId="391" builtinId="8" hidden="1"/>
    <cellStyle name="Hyperlink" xfId="393" builtinId="8" hidden="1"/>
    <cellStyle name="Hyperlink" xfId="395" builtinId="8" hidden="1"/>
    <cellStyle name="Hyperlink" xfId="397" builtinId="8" hidden="1"/>
    <cellStyle name="Hyperlink" xfId="399" builtinId="8" hidden="1"/>
    <cellStyle name="Hyperlink" xfId="401" builtinId="8" hidden="1"/>
    <cellStyle name="Hyperlink" xfId="403" builtinId="8" hidden="1"/>
    <cellStyle name="Hyperlink" xfId="405" builtinId="8" hidden="1"/>
    <cellStyle name="Hyperlink" xfId="407" builtinId="8" hidden="1"/>
    <cellStyle name="Hyperlink" xfId="409" builtinId="8" hidden="1"/>
    <cellStyle name="Hyperlink" xfId="411" builtinId="8" hidden="1"/>
    <cellStyle name="Hyperlink" xfId="413" builtinId="8" hidden="1"/>
    <cellStyle name="Hyperlink" xfId="415" builtinId="8" hidden="1"/>
    <cellStyle name="Hyperlink" xfId="417" builtinId="8" hidden="1"/>
    <cellStyle name="Hyperlink" xfId="419" builtinId="8" hidden="1"/>
    <cellStyle name="Hyperlink" xfId="421" builtinId="8" hidden="1"/>
    <cellStyle name="Hyperlink" xfId="423" builtinId="8" hidden="1"/>
    <cellStyle name="Hyperlink" xfId="425" builtinId="8" hidden="1"/>
    <cellStyle name="Hyperlink" xfId="427" builtinId="8" hidden="1"/>
    <cellStyle name="Hyperlink" xfId="429" builtinId="8" hidden="1"/>
    <cellStyle name="Hyperlink" xfId="431" builtinId="8" hidden="1"/>
    <cellStyle name="Hyperlink" xfId="433" builtinId="8" hidden="1"/>
    <cellStyle name="Hyperlink" xfId="435" builtinId="8" hidden="1"/>
    <cellStyle name="Hyperlink" xfId="437" builtinId="8" hidden="1"/>
    <cellStyle name="Hyperlink" xfId="439" builtinId="8" hidden="1"/>
    <cellStyle name="Hyperlink" xfId="441" builtinId="8" hidden="1"/>
    <cellStyle name="Hyperlink" xfId="443" builtinId="8" hidden="1"/>
    <cellStyle name="Hyperlink" xfId="445" builtinId="8" hidden="1"/>
    <cellStyle name="Hyperlink" xfId="447" builtinId="8" hidden="1"/>
    <cellStyle name="Hyperlink" xfId="449" builtinId="8" hidden="1"/>
    <cellStyle name="Hyperlink" xfId="451" builtinId="8" hidden="1"/>
    <cellStyle name="Hyperlink" xfId="453" builtinId="8" hidden="1"/>
    <cellStyle name="Hyperlink" xfId="455" builtinId="8" hidden="1"/>
    <cellStyle name="Hyperlink" xfId="457" builtinId="8" hidden="1"/>
    <cellStyle name="Hyperlink" xfId="459" builtinId="8" hidden="1"/>
    <cellStyle name="Hyperlink" xfId="461" builtinId="8" hidden="1"/>
    <cellStyle name="Hyperlink" xfId="463" builtinId="8" hidden="1"/>
    <cellStyle name="Hyperlink" xfId="465" builtinId="8" hidden="1"/>
    <cellStyle name="Hyperlink" xfId="467" builtinId="8" hidden="1"/>
    <cellStyle name="Hyperlink" xfId="469" builtinId="8" hidden="1"/>
    <cellStyle name="Hyperlink" xfId="471" builtinId="8" hidden="1"/>
    <cellStyle name="Hyperlink" xfId="473" builtinId="8" hidden="1"/>
    <cellStyle name="Hyperlink" xfId="475" builtinId="8" hidden="1"/>
    <cellStyle name="Hyperlink" xfId="477" builtinId="8" hidden="1"/>
    <cellStyle name="Hyperlink" xfId="479" builtinId="8" hidden="1"/>
    <cellStyle name="Hyperlink" xfId="481" builtinId="8" hidden="1"/>
    <cellStyle name="Hyperlink" xfId="483" builtinId="8" hidden="1"/>
    <cellStyle name="Hyperlink" xfId="485" builtinId="8" hidden="1"/>
    <cellStyle name="Hyperlink" xfId="487" builtinId="8" hidden="1"/>
    <cellStyle name="Hyperlink" xfId="489" builtinId="8" hidden="1"/>
    <cellStyle name="Hyperlink" xfId="491" builtinId="8" hidden="1"/>
    <cellStyle name="Hyperlink" xfId="493" builtinId="8" hidden="1"/>
    <cellStyle name="Hyperlink" xfId="495" builtinId="8" hidden="1"/>
    <cellStyle name="Hyperlink" xfId="497" builtinId="8" hidden="1"/>
    <cellStyle name="Hyperlink" xfId="499" builtinId="8" hidden="1"/>
    <cellStyle name="Hyperlink" xfId="501" builtinId="8" hidden="1"/>
    <cellStyle name="Hyperlink" xfId="503" builtinId="8" hidden="1"/>
    <cellStyle name="Hyperlink" xfId="505" builtinId="8" hidden="1"/>
    <cellStyle name="Hyperlink" xfId="507" builtinId="8" hidden="1"/>
    <cellStyle name="Hyperlink" xfId="509" builtinId="8" hidden="1"/>
    <cellStyle name="Hyperlink" xfId="511" builtinId="8" hidden="1"/>
    <cellStyle name="Hyperlink" xfId="513" builtinId="8" hidden="1"/>
    <cellStyle name="Hyperlink" xfId="515" builtinId="8" hidden="1"/>
    <cellStyle name="Hyperlink" xfId="517" builtinId="8" hidden="1"/>
    <cellStyle name="Hyperlink" xfId="519" builtinId="8" hidden="1"/>
    <cellStyle name="Hyperlink" xfId="521" builtinId="8" hidden="1"/>
    <cellStyle name="Hyperlink" xfId="523" builtinId="8" hidden="1"/>
    <cellStyle name="Hyperlink" xfId="525" builtinId="8" hidden="1"/>
    <cellStyle name="Hyperlink" xfId="527" builtinId="8" hidden="1"/>
    <cellStyle name="Hyperlink" xfId="529" builtinId="8" hidden="1"/>
    <cellStyle name="Hyperlink" xfId="531" builtinId="8" hidden="1"/>
    <cellStyle name="Hyperlink" xfId="533" builtinId="8" hidden="1"/>
    <cellStyle name="Hyperlink" xfId="535" builtinId="8" hidden="1"/>
    <cellStyle name="Hyperlink" xfId="537" builtinId="8" hidden="1"/>
    <cellStyle name="Hyperlink" xfId="539" builtinId="8" hidden="1"/>
    <cellStyle name="Hyperlink" xfId="541" builtinId="8" hidden="1"/>
    <cellStyle name="Hyperlink" xfId="543" builtinId="8" hidden="1"/>
    <cellStyle name="Hyperlink" xfId="545" builtinId="8" hidden="1"/>
    <cellStyle name="Hyperlink" xfId="547" builtinId="8" hidden="1"/>
    <cellStyle name="Hyperlink" xfId="549" builtinId="8" hidden="1"/>
    <cellStyle name="Hyperlink" xfId="551" builtinId="8" hidden="1"/>
    <cellStyle name="Hyperlink" xfId="553" builtinId="8" hidden="1"/>
    <cellStyle name="Hyperlink" xfId="555" builtinId="8" hidden="1"/>
    <cellStyle name="Hyperlink" xfId="557" builtinId="8" hidden="1"/>
    <cellStyle name="Hyperlink" xfId="559" builtinId="8" hidden="1"/>
    <cellStyle name="Hyperlink" xfId="561" builtinId="8" hidden="1"/>
    <cellStyle name="Hyperlink" xfId="563" builtinId="8" hidden="1"/>
    <cellStyle name="Hyperlink" xfId="565" builtinId="8" hidden="1"/>
    <cellStyle name="Hyperlink" xfId="567" builtinId="8" hidden="1"/>
    <cellStyle name="Hyperlink" xfId="569" builtinId="8" hidden="1"/>
    <cellStyle name="Hyperlink" xfId="571" builtinId="8" hidden="1"/>
    <cellStyle name="Hyperlink" xfId="573" builtinId="8" hidden="1"/>
    <cellStyle name="Hyperlink" xfId="575" builtinId="8" hidden="1"/>
    <cellStyle name="Hyperlink" xfId="577" builtinId="8" hidden="1"/>
    <cellStyle name="Hyperlink" xfId="579" builtinId="8" hidden="1"/>
    <cellStyle name="Hyperlink" xfId="581" builtinId="8" hidden="1"/>
    <cellStyle name="Hyperlink" xfId="583" builtinId="8" hidden="1"/>
    <cellStyle name="Hyperlink" xfId="585" builtinId="8" hidden="1"/>
    <cellStyle name="Hyperlink" xfId="587" builtinId="8" hidden="1"/>
    <cellStyle name="Hyperlink" xfId="589" builtinId="8" hidden="1"/>
    <cellStyle name="Hyperlink" xfId="591" builtinId="8" hidden="1"/>
    <cellStyle name="Hyperlink" xfId="593" builtinId="8" hidden="1"/>
    <cellStyle name="Hyperlink" xfId="595" builtinId="8" hidden="1"/>
    <cellStyle name="Hyperlink" xfId="597" builtinId="8" hidden="1"/>
    <cellStyle name="Hyperlink" xfId="599" builtinId="8" hidden="1"/>
    <cellStyle name="Hyperlink" xfId="601" builtinId="8" hidden="1"/>
    <cellStyle name="Hyperlink" xfId="603" builtinId="8" hidden="1"/>
    <cellStyle name="Hyperlink" xfId="605" builtinId="8" hidden="1"/>
    <cellStyle name="Hyperlink" xfId="607" builtinId="8" hidden="1"/>
    <cellStyle name="Hyperlink" xfId="609" builtinId="8" hidden="1"/>
    <cellStyle name="Hyperlink" xfId="611" builtinId="8" hidden="1"/>
    <cellStyle name="Hyperlink" xfId="613" builtinId="8" hidden="1"/>
    <cellStyle name="Hyperlink" xfId="615" builtinId="8" hidden="1"/>
    <cellStyle name="Hyperlink" xfId="617" builtinId="8" hidden="1"/>
    <cellStyle name="Hyperlink" xfId="619" builtinId="8" hidden="1"/>
    <cellStyle name="Hyperlink" xfId="621" builtinId="8" hidden="1"/>
    <cellStyle name="Hyperlink" xfId="623" builtinId="8" hidden="1"/>
    <cellStyle name="Hyperlink" xfId="625" builtinId="8" hidden="1"/>
    <cellStyle name="Hyperlink" xfId="627" builtinId="8" hidden="1"/>
    <cellStyle name="Hyperlink" xfId="629" builtinId="8" hidden="1"/>
    <cellStyle name="Hyperlink" xfId="631" builtinId="8" hidden="1"/>
    <cellStyle name="Hyperlink" xfId="633" builtinId="8" hidden="1"/>
    <cellStyle name="Hyperlink" xfId="635" builtinId="8" hidden="1"/>
    <cellStyle name="Hyperlink" xfId="637" builtinId="8" hidden="1"/>
    <cellStyle name="Hyperlink" xfId="639" builtinId="8" hidden="1"/>
    <cellStyle name="Hyperlink" xfId="641" builtinId="8" hidden="1"/>
    <cellStyle name="Hyperlink" xfId="643" builtinId="8" hidden="1"/>
    <cellStyle name="Hyperlink" xfId="645" builtinId="8" hidden="1"/>
    <cellStyle name="Hyperlink" xfId="647" builtinId="8" hidden="1"/>
    <cellStyle name="Hyperlink" xfId="649" builtinId="8" hidden="1"/>
    <cellStyle name="Hyperlink" xfId="651" builtinId="8" hidden="1"/>
    <cellStyle name="Hyperlink" xfId="653" builtinId="8" hidden="1"/>
    <cellStyle name="Hyperlink" xfId="655" builtinId="8" hidden="1"/>
    <cellStyle name="Hyperlink" xfId="657" builtinId="8" hidden="1"/>
    <cellStyle name="Hyperlink" xfId="659" builtinId="8" hidden="1"/>
    <cellStyle name="Hyperlink" xfId="661" builtinId="8" hidden="1"/>
    <cellStyle name="Hyperlink" xfId="663" builtinId="8" hidden="1"/>
    <cellStyle name="Hyperlink" xfId="665" builtinId="8" hidden="1"/>
    <cellStyle name="Hyperlink" xfId="667" builtinId="8" hidden="1"/>
    <cellStyle name="Hyperlink" xfId="669" builtinId="8" hidden="1"/>
    <cellStyle name="Hyperlink" xfId="671" builtinId="8" hidden="1"/>
    <cellStyle name="Hyperlink" xfId="673" builtinId="8" hidden="1"/>
    <cellStyle name="Hyperlink" xfId="675" builtinId="8" hidden="1"/>
    <cellStyle name="Hyperlink" xfId="677" builtinId="8" hidden="1"/>
    <cellStyle name="Hyperlink" xfId="679" builtinId="8" hidden="1"/>
    <cellStyle name="Hyperlink" xfId="681" builtinId="8" hidden="1"/>
    <cellStyle name="Hyperlink" xfId="683" builtinId="8" hidden="1"/>
    <cellStyle name="Hyperlink" xfId="685" builtinId="8" hidden="1"/>
    <cellStyle name="Hyperlink" xfId="687" builtinId="8" hidden="1"/>
    <cellStyle name="Hyperlink" xfId="689" builtinId="8" hidden="1"/>
    <cellStyle name="Hyperlink" xfId="691" builtinId="8" hidden="1"/>
    <cellStyle name="Hyperlink" xfId="693" builtinId="8" hidden="1"/>
    <cellStyle name="Hyperlink" xfId="695" builtinId="8" hidden="1"/>
    <cellStyle name="Hyperlink" xfId="697" builtinId="8" hidden="1"/>
    <cellStyle name="Hyperlink" xfId="699" builtinId="8" hidden="1"/>
    <cellStyle name="Hyperlink" xfId="701" builtinId="8" hidden="1"/>
    <cellStyle name="Hyperlink" xfId="703" builtinId="8" hidden="1"/>
    <cellStyle name="Hyperlink" xfId="705" builtinId="8" hidden="1"/>
    <cellStyle name="Hyperlink" xfId="707" builtinId="8" hidden="1"/>
    <cellStyle name="Hyperlink" xfId="709" builtinId="8" hidden="1"/>
    <cellStyle name="Hyperlink" xfId="711" builtinId="8" hidden="1"/>
    <cellStyle name="Hyperlink" xfId="713" builtinId="8" hidden="1"/>
    <cellStyle name="Hyperlink" xfId="715" builtinId="8" hidden="1"/>
    <cellStyle name="Hyperlink" xfId="717" builtinId="8" hidden="1"/>
    <cellStyle name="Hyperlink" xfId="719" builtinId="8" hidden="1"/>
    <cellStyle name="Hyperlink" xfId="721" builtinId="8" hidden="1"/>
    <cellStyle name="Hyperlink" xfId="723" builtinId="8" hidden="1"/>
    <cellStyle name="Hyperlink" xfId="725" builtinId="8" hidden="1"/>
    <cellStyle name="Hyperlink" xfId="727" builtinId="8" hidden="1"/>
    <cellStyle name="Hyperlink" xfId="729" builtinId="8" hidden="1"/>
    <cellStyle name="Hyperlink" xfId="731" builtinId="8" hidden="1"/>
    <cellStyle name="Hyperlink" xfId="733" builtinId="8" hidden="1"/>
    <cellStyle name="Hyperlink" xfId="735" builtinId="8" hidden="1"/>
    <cellStyle name="Hyperlink" xfId="737" builtinId="8" hidden="1"/>
    <cellStyle name="Hyperlink" xfId="739" builtinId="8" hidden="1"/>
    <cellStyle name="Hyperlink" xfId="741" builtinId="8" hidden="1"/>
    <cellStyle name="Hyperlink" xfId="743" builtinId="8" hidden="1"/>
    <cellStyle name="Hyperlink" xfId="745" builtinId="8" hidden="1"/>
    <cellStyle name="Hyperlink" xfId="747" builtinId="8" hidden="1"/>
    <cellStyle name="Hyperlink" xfId="749" builtinId="8" hidden="1"/>
    <cellStyle name="Hyperlink" xfId="751" builtinId="8" hidden="1"/>
    <cellStyle name="Hyperlink" xfId="753" builtinId="8" hidden="1"/>
    <cellStyle name="Hyperlink" xfId="755" builtinId="8" hidden="1"/>
    <cellStyle name="Hyperlink" xfId="757" builtinId="8" hidden="1"/>
    <cellStyle name="Hyperlink" xfId="759" builtinId="8" hidden="1"/>
    <cellStyle name="Hyperlink" xfId="761" builtinId="8" hidden="1"/>
    <cellStyle name="Hyperlink" xfId="763" builtinId="8" hidden="1"/>
    <cellStyle name="Hyperlink" xfId="765" builtinId="8" hidden="1"/>
    <cellStyle name="Hyperlink" xfId="767" builtinId="8" hidden="1"/>
    <cellStyle name="Hyperlink" xfId="769" builtinId="8" hidden="1"/>
    <cellStyle name="Hyperlink" xfId="771" builtinId="8" hidden="1"/>
    <cellStyle name="Hyperlink" xfId="773" builtinId="8" hidden="1"/>
    <cellStyle name="Hyperlink" xfId="775" builtinId="8" hidden="1"/>
    <cellStyle name="Hyperlink" xfId="777" builtinId="8" hidden="1"/>
    <cellStyle name="Hyperlink" xfId="779" builtinId="8" hidden="1"/>
    <cellStyle name="Hyperlink" xfId="781" builtinId="8" hidden="1"/>
    <cellStyle name="Hyperlink" xfId="783" builtinId="8" hidden="1"/>
    <cellStyle name="Hyperlink" xfId="785" builtinId="8" hidden="1"/>
    <cellStyle name="Hyperlink" xfId="787" builtinId="8" hidden="1"/>
    <cellStyle name="Hyperlink" xfId="789" builtinId="8" hidden="1"/>
    <cellStyle name="Hyperlink" xfId="791" builtinId="8" hidden="1"/>
    <cellStyle name="Hyperlink" xfId="793" builtinId="8" hidden="1"/>
    <cellStyle name="Hyperlink" xfId="795" builtinId="8" hidden="1"/>
    <cellStyle name="Hyperlink" xfId="797" builtinId="8" hidden="1"/>
    <cellStyle name="Hyperlink" xfId="799" builtinId="8" hidden="1"/>
    <cellStyle name="Hyperlink" xfId="801" builtinId="8" hidden="1"/>
    <cellStyle name="Hyperlink" xfId="803" builtinId="8" hidden="1"/>
    <cellStyle name="Hyperlink" xfId="805" builtinId="8" hidden="1"/>
    <cellStyle name="Hyperlink" xfId="807" builtinId="8" hidden="1"/>
    <cellStyle name="Hyperlink" xfId="809" builtinId="8" hidden="1"/>
    <cellStyle name="Hyperlink" xfId="811" builtinId="8" hidden="1"/>
    <cellStyle name="Hyperlink" xfId="813" builtinId="8" hidden="1"/>
    <cellStyle name="Hyperlink" xfId="815" builtinId="8" hidden="1"/>
    <cellStyle name="Hyperlink" xfId="817" builtinId="8" hidden="1"/>
    <cellStyle name="Hyperlink" xfId="819" builtinId="8" hidden="1"/>
    <cellStyle name="Hyperlink" xfId="821" builtinId="8" hidden="1"/>
    <cellStyle name="Hyperlink" xfId="823" builtinId="8" hidden="1"/>
    <cellStyle name="Hyperlink" xfId="825" builtinId="8" hidden="1"/>
    <cellStyle name="Hyperlink" xfId="827" builtinId="8" hidden="1"/>
    <cellStyle name="Hyperlink" xfId="829" builtinId="8" hidden="1"/>
    <cellStyle name="Hyperlink" xfId="831" builtinId="8" hidden="1"/>
    <cellStyle name="Hyperlink" xfId="833" builtinId="8" hidden="1"/>
    <cellStyle name="Hyperlink" xfId="835" builtinId="8" hidden="1"/>
    <cellStyle name="Hyperlink" xfId="837" builtinId="8" hidden="1"/>
    <cellStyle name="Hyperlink" xfId="839" builtinId="8" hidden="1"/>
    <cellStyle name="Hyperlink" xfId="841" builtinId="8" hidden="1"/>
    <cellStyle name="Hyperlink" xfId="843" builtinId="8" hidden="1"/>
    <cellStyle name="Hyperlink" xfId="845" builtinId="8" hidden="1"/>
    <cellStyle name="Hyperlink" xfId="847" builtinId="8" hidden="1"/>
    <cellStyle name="Hyperlink" xfId="849" builtinId="8" hidden="1"/>
    <cellStyle name="Hyperlink" xfId="851" builtinId="8" hidden="1"/>
    <cellStyle name="Hyperlink" xfId="853" builtinId="8" hidden="1"/>
    <cellStyle name="Hyperlink" xfId="855" builtinId="8" hidden="1"/>
    <cellStyle name="Hyperlink" xfId="857" builtinId="8" hidden="1"/>
    <cellStyle name="Hyperlink" xfId="859" builtinId="8" hidden="1"/>
    <cellStyle name="Hyperlink" xfId="861" builtinId="8" hidden="1"/>
    <cellStyle name="Hyperlink" xfId="863" builtinId="8" hidden="1"/>
    <cellStyle name="Hyperlink" xfId="865" builtinId="8" hidden="1"/>
    <cellStyle name="Hyperlink" xfId="867" builtinId="8" hidden="1"/>
    <cellStyle name="Hyperlink" xfId="869" builtinId="8" hidden="1"/>
    <cellStyle name="Hyperlink" xfId="871" builtinId="8" hidden="1"/>
    <cellStyle name="Hyperlink" xfId="873" builtinId="8" hidden="1"/>
    <cellStyle name="Hyperlink" xfId="875" builtinId="8" hidden="1"/>
    <cellStyle name="Hyperlink" xfId="877" builtinId="8" hidden="1"/>
    <cellStyle name="Hyperlink" xfId="879" builtinId="8" hidden="1"/>
    <cellStyle name="Hyperlink" xfId="881" builtinId="8" hidden="1"/>
    <cellStyle name="Hyperlink" xfId="883" builtinId="8" hidden="1"/>
    <cellStyle name="Hyperlink" xfId="885" builtinId="8" hidden="1"/>
    <cellStyle name="Hyperlink" xfId="887" builtinId="8" hidden="1"/>
    <cellStyle name="Hyperlink" xfId="889" builtinId="8" hidden="1"/>
    <cellStyle name="Hyperlink" xfId="891" builtinId="8" hidden="1"/>
    <cellStyle name="Hyperlink" xfId="893" builtinId="8" hidden="1"/>
    <cellStyle name="Hyperlink" xfId="895" builtinId="8" hidden="1"/>
    <cellStyle name="Hyperlink" xfId="897" builtinId="8" hidden="1"/>
    <cellStyle name="Hyperlink" xfId="899" builtinId="8" hidden="1"/>
    <cellStyle name="Hyperlink" xfId="901" builtinId="8" hidden="1"/>
    <cellStyle name="Hyperlink" xfId="903" builtinId="8" hidden="1"/>
    <cellStyle name="Hyperlink" xfId="905" builtinId="8" hidden="1"/>
    <cellStyle name="Hyperlink" xfId="907" builtinId="8" hidden="1"/>
    <cellStyle name="Hyperlink" xfId="909" builtinId="8" hidden="1"/>
    <cellStyle name="Hyperlink" xfId="911" builtinId="8" hidden="1"/>
    <cellStyle name="Hyperlink" xfId="913" builtinId="8" hidden="1"/>
    <cellStyle name="Hyperlink" xfId="915" builtinId="8" hidden="1"/>
    <cellStyle name="Hyperlink" xfId="917" builtinId="8" hidden="1"/>
    <cellStyle name="Hyperlink" xfId="919" builtinId="8" hidden="1"/>
    <cellStyle name="Hyperlink" xfId="921" builtinId="8" hidden="1"/>
    <cellStyle name="Hyperlink" xfId="923" builtinId="8" hidden="1"/>
    <cellStyle name="Hyperlink" xfId="925" builtinId="8" hidden="1"/>
    <cellStyle name="Hyperlink" xfId="927" builtinId="8" hidden="1"/>
    <cellStyle name="Hyperlink" xfId="929" builtinId="8" hidden="1"/>
    <cellStyle name="Hyperlink" xfId="931" builtinId="8" hidden="1"/>
    <cellStyle name="Hyperlink" xfId="933" builtinId="8" hidden="1"/>
    <cellStyle name="Hyperlink" xfId="935" builtinId="8" hidden="1"/>
    <cellStyle name="Hyperlink" xfId="937" builtinId="8" hidden="1"/>
    <cellStyle name="Hyperlink" xfId="939" builtinId="8" hidden="1"/>
    <cellStyle name="Hyperlink" xfId="941" builtinId="8" hidden="1"/>
    <cellStyle name="Hyperlink" xfId="943" builtinId="8" hidden="1"/>
    <cellStyle name="Hyperlink" xfId="945" builtinId="8" hidden="1"/>
    <cellStyle name="Hyperlink" xfId="947" builtinId="8" hidden="1"/>
    <cellStyle name="Hyperlink" xfId="949" builtinId="8" hidden="1"/>
    <cellStyle name="Hyperlink" xfId="951" builtinId="8" hidden="1"/>
    <cellStyle name="Hyperlink" xfId="953" builtinId="8" hidden="1"/>
    <cellStyle name="Hyperlink" xfId="955" builtinId="8" hidden="1"/>
    <cellStyle name="Hyperlink" xfId="957" builtinId="8" hidden="1"/>
    <cellStyle name="Hyperlink" xfId="959" builtinId="8" hidden="1"/>
    <cellStyle name="Hyperlink" xfId="961" builtinId="8" hidden="1"/>
    <cellStyle name="Hyperlink" xfId="963" builtinId="8" hidden="1"/>
    <cellStyle name="Hyperlink" xfId="965" builtinId="8" hidden="1"/>
    <cellStyle name="Hyperlink" xfId="967" builtinId="8" hidden="1"/>
    <cellStyle name="Hyperlink" xfId="969" builtinId="8" hidden="1"/>
    <cellStyle name="Hyperlink" xfId="971" builtinId="8" hidden="1"/>
    <cellStyle name="Hyperlink" xfId="973" builtinId="8" hidden="1"/>
    <cellStyle name="Hyperlink" xfId="975" builtinId="8" hidden="1"/>
    <cellStyle name="Hyperlink" xfId="977" builtinId="8" hidden="1"/>
    <cellStyle name="Hyperlink" xfId="979" builtinId="8" hidden="1"/>
    <cellStyle name="Hyperlink" xfId="981" builtinId="8" hidden="1"/>
    <cellStyle name="Hyperlink" xfId="983" builtinId="8" hidden="1"/>
    <cellStyle name="Hyperlink" xfId="985" builtinId="8" hidden="1"/>
    <cellStyle name="Hyperlink" xfId="987" builtinId="8" hidden="1"/>
    <cellStyle name="Hyperlink" xfId="989" builtinId="8" hidden="1"/>
    <cellStyle name="Hyperlink" xfId="991" builtinId="8" hidden="1"/>
    <cellStyle name="Hyperlink" xfId="993" builtinId="8" hidden="1"/>
    <cellStyle name="Hyperlink" xfId="995" builtinId="8" hidden="1"/>
    <cellStyle name="Hyperlink" xfId="997" builtinId="8" hidden="1"/>
    <cellStyle name="Hyperlink" xfId="999" builtinId="8" hidden="1"/>
    <cellStyle name="Hyperlink" xfId="1001" builtinId="8" hidden="1"/>
    <cellStyle name="Hyperlink" xfId="1003" builtinId="8" hidden="1"/>
    <cellStyle name="Hyperlink" xfId="1005" builtinId="8" hidden="1"/>
    <cellStyle name="Hyperlink" xfId="1007" builtinId="8" hidden="1"/>
    <cellStyle name="Hyperlink" xfId="1009" builtinId="8" hidden="1"/>
    <cellStyle name="Hyperlink" xfId="1011" builtinId="8" hidden="1"/>
    <cellStyle name="Hyperlink" xfId="1013" builtinId="8" hidden="1"/>
    <cellStyle name="Hyperlink" xfId="1015" builtinId="8" hidden="1"/>
    <cellStyle name="Hyperlink" xfId="1017" builtinId="8" hidden="1"/>
    <cellStyle name="Hyperlink" xfId="1019" builtinId="8" hidden="1"/>
    <cellStyle name="Hyperlink" xfId="1021" builtinId="8" hidden="1"/>
    <cellStyle name="Hyperlink" xfId="1023" builtinId="8" hidden="1"/>
    <cellStyle name="Hyperlink" xfId="1025" builtinId="8" hidden="1"/>
    <cellStyle name="Hyperlink" xfId="1027" builtinId="8" hidden="1"/>
    <cellStyle name="Hyperlink" xfId="1029" builtinId="8" hidden="1"/>
    <cellStyle name="Hyperlink" xfId="1031" builtinId="8" hidden="1"/>
    <cellStyle name="Hyperlink" xfId="1033" builtinId="8" hidden="1"/>
    <cellStyle name="Hyperlink" xfId="1035" builtinId="8" hidden="1"/>
    <cellStyle name="Hyperlink" xfId="1037" builtinId="8" hidden="1"/>
    <cellStyle name="Hyperlink" xfId="1039" builtinId="8" hidden="1"/>
    <cellStyle name="Hyperlink" xfId="1041" builtinId="8" hidden="1"/>
    <cellStyle name="Hyperlink" xfId="1043" builtinId="8" hidden="1"/>
    <cellStyle name="Hyperlink" xfId="1045" builtinId="8" hidden="1"/>
    <cellStyle name="Hyperlink" xfId="1047" builtinId="8" hidden="1"/>
    <cellStyle name="Hyperlink" xfId="1049" builtinId="8" hidden="1"/>
    <cellStyle name="Hyperlink" xfId="1051" builtinId="8" hidden="1"/>
    <cellStyle name="Hyperlink" xfId="1053" builtinId="8" hidden="1"/>
    <cellStyle name="Hyperlink" xfId="1055" builtinId="8" hidden="1"/>
    <cellStyle name="Hyperlink" xfId="1057" builtinId="8" hidden="1"/>
    <cellStyle name="Hyperlink" xfId="1059" builtinId="8" hidden="1"/>
    <cellStyle name="Hyperlink" xfId="1061" builtinId="8" hidden="1"/>
    <cellStyle name="Hyperlink" xfId="1063" builtinId="8" hidden="1"/>
    <cellStyle name="Hyperlink" xfId="1065" builtinId="8" hidden="1"/>
    <cellStyle name="Hyperlink" xfId="1067" builtinId="8" hidden="1"/>
    <cellStyle name="Hyperlink" xfId="1069" builtinId="8" hidden="1"/>
    <cellStyle name="Hyperlink" xfId="1071" builtinId="8" hidden="1"/>
    <cellStyle name="Hyperlink" xfId="1073" builtinId="8" hidden="1"/>
    <cellStyle name="Hyperlink" xfId="1075" builtinId="8" hidden="1"/>
    <cellStyle name="Hyperlink" xfId="1077" builtinId="8" hidden="1"/>
    <cellStyle name="Hyperlink" xfId="1079" builtinId="8" hidden="1"/>
    <cellStyle name="Hyperlink" xfId="1081" builtinId="8" hidden="1"/>
    <cellStyle name="Hyperlink" xfId="1083" builtinId="8" hidden="1"/>
    <cellStyle name="Hyperlink" xfId="1085" builtinId="8" hidden="1"/>
    <cellStyle name="Hyperlink" xfId="1087" builtinId="8" hidden="1"/>
    <cellStyle name="Hyperlink" xfId="1089" builtinId="8" hidden="1"/>
    <cellStyle name="Hyperlink" xfId="1091" builtinId="8" hidden="1"/>
    <cellStyle name="Hyperlink" xfId="1093" builtinId="8" hidden="1"/>
    <cellStyle name="Hyperlink" xfId="1095" builtinId="8" hidden="1"/>
    <cellStyle name="Hyperlink" xfId="1097" builtinId="8" hidden="1"/>
    <cellStyle name="Hyperlink" xfId="1099" builtinId="8" hidden="1"/>
    <cellStyle name="Hyperlink" xfId="1101" builtinId="8" hidden="1"/>
    <cellStyle name="Hyperlink" xfId="1103" builtinId="8" hidden="1"/>
    <cellStyle name="Hyperlink" xfId="1105" builtinId="8" hidden="1"/>
    <cellStyle name="Hyperlink" xfId="1107" builtinId="8" hidden="1"/>
    <cellStyle name="Hyperlink" xfId="1109" builtinId="8" hidden="1"/>
    <cellStyle name="Hyperlink" xfId="1111" builtinId="8" hidden="1"/>
    <cellStyle name="Hyperlink" xfId="1113" builtinId="8" hidden="1"/>
    <cellStyle name="Hyperlink" xfId="1115" builtinId="8" hidden="1"/>
    <cellStyle name="Hyperlink" xfId="1117" builtinId="8" hidden="1"/>
    <cellStyle name="Hyperlink" xfId="1119" builtinId="8" hidden="1"/>
    <cellStyle name="Hyperlink" xfId="1121" builtinId="8" hidden="1"/>
    <cellStyle name="Hyperlink" xfId="1123" builtinId="8" hidden="1"/>
    <cellStyle name="Hyperlink" xfId="1125" builtinId="8" hidden="1"/>
    <cellStyle name="Hyperlink" xfId="1127" builtinId="8" hidden="1"/>
    <cellStyle name="Hyperlink" xfId="1129" builtinId="8" hidden="1"/>
    <cellStyle name="Hyperlink" xfId="1131" builtinId="8" hidden="1"/>
    <cellStyle name="Hyperlink" xfId="1133" builtinId="8" hidden="1"/>
    <cellStyle name="Hyperlink" xfId="1135" builtinId="8" hidden="1"/>
    <cellStyle name="Hyperlink" xfId="1137" builtinId="8" hidden="1"/>
    <cellStyle name="Hyperlink" xfId="1139" builtinId="8" hidden="1"/>
    <cellStyle name="Hyperlink" xfId="1141" builtinId="8" hidden="1"/>
    <cellStyle name="Hyperlink" xfId="1143" builtinId="8" hidden="1"/>
    <cellStyle name="Hyperlink" xfId="1145" builtinId="8" hidden="1"/>
    <cellStyle name="Hyperlink" xfId="1147" builtinId="8" hidden="1"/>
    <cellStyle name="Hyperlink" xfId="1149" builtinId="8" hidden="1"/>
    <cellStyle name="Hyperlink" xfId="1151" builtinId="8" hidden="1"/>
    <cellStyle name="Hyperlink" xfId="1153" builtinId="8" hidden="1"/>
    <cellStyle name="Hyperlink" xfId="1155" builtinId="8" hidden="1"/>
    <cellStyle name="Hyperlink" xfId="1157" builtinId="8" hidden="1"/>
    <cellStyle name="Hyperlink" xfId="1159" builtinId="8" hidden="1"/>
    <cellStyle name="Hyperlink" xfId="1161" builtinId="8" hidden="1"/>
    <cellStyle name="Hyperlink" xfId="1163" builtinId="8" hidden="1"/>
    <cellStyle name="Hyperlink" xfId="1165" builtinId="8" hidden="1"/>
    <cellStyle name="Hyperlink" xfId="1167" builtinId="8" hidden="1"/>
    <cellStyle name="Hyperlink" xfId="1169" builtinId="8" hidden="1"/>
    <cellStyle name="Hyperlink" xfId="1171" builtinId="8" hidden="1"/>
    <cellStyle name="Hyperlink" xfId="1173" builtinId="8" hidden="1"/>
    <cellStyle name="Hyperlink" xfId="1175" builtinId="8" hidden="1"/>
    <cellStyle name="Hyperlink" xfId="1177" builtinId="8" hidden="1"/>
    <cellStyle name="Hyperlink" xfId="1179" builtinId="8" hidden="1"/>
    <cellStyle name="Hyperlink" xfId="1181" builtinId="8" hidden="1"/>
    <cellStyle name="Hyperlink" xfId="1183" builtinId="8" hidden="1"/>
    <cellStyle name="Hyperlink" xfId="1185" builtinId="8" hidden="1"/>
    <cellStyle name="Hyperlink" xfId="1187" builtinId="8" hidden="1"/>
    <cellStyle name="Hyperlink" xfId="1189" builtinId="8" hidden="1"/>
    <cellStyle name="Hyperlink" xfId="1191" builtinId="8" hidden="1"/>
    <cellStyle name="Hyperlink" xfId="1193" builtinId="8" hidden="1"/>
    <cellStyle name="Hyperlink" xfId="1195" builtinId="8" hidden="1"/>
    <cellStyle name="Hyperlink" xfId="1197" builtinId="8" hidden="1"/>
    <cellStyle name="Hyperlink" xfId="1199" builtinId="8" hidden="1"/>
    <cellStyle name="Hyperlink" xfId="1201" builtinId="8" hidden="1"/>
    <cellStyle name="Hyperlink" xfId="1203" builtinId="8" hidden="1"/>
    <cellStyle name="Hyperlink" xfId="1205" builtinId="8" hidden="1"/>
    <cellStyle name="Hyperlink" xfId="1207" builtinId="8" hidden="1"/>
    <cellStyle name="Hyperlink" xfId="1209" builtinId="8" hidden="1"/>
    <cellStyle name="Hyperlink" xfId="1211" builtinId="8" hidden="1"/>
    <cellStyle name="Hyperlink" xfId="1213" builtinId="8" hidden="1"/>
    <cellStyle name="Hyperlink" xfId="1215" builtinId="8" hidden="1"/>
    <cellStyle name="Hyperlink" xfId="1217" builtinId="8" hidden="1"/>
    <cellStyle name="Hyperlink" xfId="1219" builtinId="8" hidden="1"/>
    <cellStyle name="Hyperlink" xfId="1221" builtinId="8" hidden="1"/>
    <cellStyle name="Hyperlink" xfId="1223" builtinId="8" hidden="1"/>
    <cellStyle name="Hyperlink" xfId="1225" builtinId="8" hidden="1"/>
    <cellStyle name="Hyperlink" xfId="1227" builtinId="8" hidden="1"/>
    <cellStyle name="Hyperlink" xfId="1229" builtinId="8" hidden="1"/>
    <cellStyle name="Hyperlink" xfId="1231" builtinId="8" hidden="1"/>
    <cellStyle name="Hyperlink" xfId="1233" builtinId="8" hidden="1"/>
    <cellStyle name="Hyperlink" xfId="1235" builtinId="8" hidden="1"/>
    <cellStyle name="Hyperlink" xfId="1237" builtinId="8" hidden="1"/>
    <cellStyle name="Hyperlink" xfId="1239" builtinId="8" hidden="1"/>
    <cellStyle name="Hyperlink" xfId="1241" builtinId="8" hidden="1"/>
    <cellStyle name="Hyperlink" xfId="1243" builtinId="8" hidden="1"/>
    <cellStyle name="Hyperlink" xfId="1245" builtinId="8" hidden="1"/>
    <cellStyle name="Hyperlink" xfId="1247" builtinId="8" hidden="1"/>
    <cellStyle name="Hyperlink" xfId="1249" builtinId="8" hidden="1"/>
    <cellStyle name="Hyperlink" xfId="1251" builtinId="8" hidden="1"/>
    <cellStyle name="Hyperlink" xfId="1253" builtinId="8" hidden="1"/>
    <cellStyle name="Hyperlink" xfId="1255" builtinId="8" hidden="1"/>
    <cellStyle name="Hyperlink" xfId="1257" builtinId="8" hidden="1"/>
    <cellStyle name="Hyperlink" xfId="1259" builtinId="8" hidden="1"/>
    <cellStyle name="Hyperlink" xfId="1261" builtinId="8" hidden="1"/>
    <cellStyle name="Hyperlink" xfId="1263" builtinId="8" hidden="1"/>
    <cellStyle name="Hyperlink" xfId="1265" builtinId="8" hidden="1"/>
    <cellStyle name="Hyperlink" xfId="1267" builtinId="8" hidden="1"/>
    <cellStyle name="Hyperlink" xfId="1269" builtinId="8" hidden="1"/>
    <cellStyle name="Hyperlink" xfId="1271" builtinId="8" hidden="1"/>
    <cellStyle name="Hyperlink" xfId="1273" builtinId="8" hidden="1"/>
    <cellStyle name="Hyperlink" xfId="1275" builtinId="8" hidden="1"/>
    <cellStyle name="Hyperlink" xfId="1277" builtinId="8" hidden="1"/>
    <cellStyle name="Hyperlink" xfId="1279" builtinId="8" hidden="1"/>
    <cellStyle name="Hyperlink" xfId="1281" builtinId="8" hidden="1"/>
    <cellStyle name="Hyperlink" xfId="1283" builtinId="8" hidden="1"/>
    <cellStyle name="Hyperlink" xfId="1285" builtinId="8" hidden="1"/>
    <cellStyle name="Hyperlink" xfId="1287" builtinId="8" hidden="1"/>
    <cellStyle name="Hyperlink" xfId="1289" builtinId="8" hidden="1"/>
    <cellStyle name="Hyperlink" xfId="1291" builtinId="8" hidden="1"/>
    <cellStyle name="Hyperlink" xfId="1293" builtinId="8" hidden="1"/>
    <cellStyle name="Hyperlink" xfId="1295" builtinId="8" hidden="1"/>
    <cellStyle name="Hyperlink" xfId="1297" builtinId="8" hidden="1"/>
    <cellStyle name="Hyperlink" xfId="1299" builtinId="8" hidden="1"/>
    <cellStyle name="Hyperlink" xfId="1301" builtinId="8" hidden="1"/>
    <cellStyle name="Hyperlink" xfId="1303" builtinId="8" hidden="1"/>
    <cellStyle name="Hyperlink" xfId="1305" builtinId="8" hidden="1"/>
    <cellStyle name="Hyperlink" xfId="1307" builtinId="8" hidden="1"/>
    <cellStyle name="Hyperlink" xfId="1309" builtinId="8" hidden="1"/>
    <cellStyle name="Hyperlink" xfId="1311" builtinId="8" hidden="1"/>
    <cellStyle name="Hyperlink" xfId="1313" builtinId="8" hidden="1"/>
    <cellStyle name="Hyperlink" xfId="1315" builtinId="8" hidden="1"/>
    <cellStyle name="Hyperlink" xfId="1317" builtinId="8" hidden="1"/>
    <cellStyle name="Hyperlink" xfId="1319" builtinId="8" hidden="1"/>
    <cellStyle name="Hyperlink" xfId="1321" builtinId="8" hidden="1"/>
    <cellStyle name="Hyperlink" xfId="1323" builtinId="8" hidden="1"/>
    <cellStyle name="Hyperlink" xfId="1325" builtinId="8" hidden="1"/>
    <cellStyle name="Hyperlink" xfId="1327" builtinId="8" hidden="1"/>
    <cellStyle name="Hyperlink" xfId="1329" builtinId="8" hidden="1"/>
    <cellStyle name="Hyperlink" xfId="1331" builtinId="8" hidden="1"/>
    <cellStyle name="Hyperlink" xfId="1333" builtinId="8" hidden="1"/>
    <cellStyle name="Hyperlink" xfId="1335" builtinId="8" hidden="1"/>
    <cellStyle name="Hyperlink" xfId="1337" builtinId="8" hidden="1"/>
    <cellStyle name="Hyperlink" xfId="1339" builtinId="8" hidden="1"/>
    <cellStyle name="Hyperlink" xfId="1341" builtinId="8" hidden="1"/>
    <cellStyle name="Hyperlink" xfId="1343" builtinId="8" hidden="1"/>
    <cellStyle name="Hyperlink" xfId="1345" builtinId="8" hidden="1"/>
    <cellStyle name="Hyperlink" xfId="1347" builtinId="8" hidden="1"/>
    <cellStyle name="Hyperlink" xfId="1349" builtinId="8" hidden="1"/>
    <cellStyle name="Hyperlink" xfId="1351" builtinId="8" hidden="1"/>
    <cellStyle name="Hyperlink" xfId="1353" builtinId="8" hidden="1"/>
    <cellStyle name="Hyperlink" xfId="1355" builtinId="8" hidden="1"/>
    <cellStyle name="Hyperlink" xfId="1357" builtinId="8" hidden="1"/>
    <cellStyle name="Hyperlink" xfId="1359" builtinId="8" hidden="1"/>
    <cellStyle name="Hyperlink" xfId="1361" builtinId="8" hidden="1"/>
    <cellStyle name="Hyperlink" xfId="1363" builtinId="8" hidden="1"/>
    <cellStyle name="Hyperlink" xfId="1365" builtinId="8" hidden="1"/>
    <cellStyle name="Hyperlink" xfId="1367" builtinId="8" hidden="1"/>
    <cellStyle name="Hyperlink" xfId="1369" builtinId="8" hidden="1"/>
    <cellStyle name="Hyperlink" xfId="1371" builtinId="8" hidden="1"/>
    <cellStyle name="Hyperlink" xfId="1373" builtinId="8" hidden="1"/>
    <cellStyle name="Hyperlink" xfId="1375" builtinId="8" hidden="1"/>
    <cellStyle name="Hyperlink" xfId="1377" builtinId="8" hidden="1"/>
    <cellStyle name="Hyperlink" xfId="1379" builtinId="8" hidden="1"/>
    <cellStyle name="Hyperlink" xfId="1381" builtinId="8" hidden="1"/>
    <cellStyle name="Hyperlink" xfId="1383" builtinId="8" hidden="1"/>
    <cellStyle name="Hyperlink" xfId="1385" builtinId="8" hidden="1"/>
    <cellStyle name="Hyperlink" xfId="1387" builtinId="8" hidden="1"/>
    <cellStyle name="Hyperlink" xfId="1389" builtinId="8" hidden="1"/>
    <cellStyle name="Hyperlink" xfId="1391" builtinId="8" hidden="1"/>
    <cellStyle name="Hyperlink" xfId="1393" builtinId="8" hidden="1"/>
    <cellStyle name="Hyperlink" xfId="1395" builtinId="8" hidden="1"/>
    <cellStyle name="Hyperlink" xfId="1397" builtinId="8" hidden="1"/>
    <cellStyle name="Hyperlink" xfId="1399" builtinId="8" hidden="1"/>
    <cellStyle name="Hyperlink" xfId="1401" builtinId="8" hidden="1"/>
    <cellStyle name="Hyperlink" xfId="1403" builtinId="8" hidden="1"/>
    <cellStyle name="Hyperlink" xfId="1405" builtinId="8" hidden="1"/>
    <cellStyle name="Hyperlink" xfId="1407" builtinId="8" hidden="1"/>
    <cellStyle name="Hyperlink" xfId="1409" builtinId="8" hidden="1"/>
    <cellStyle name="Hyperlink" xfId="1411" builtinId="8" hidden="1"/>
    <cellStyle name="Hyperlink" xfId="1413" builtinId="8" hidden="1"/>
    <cellStyle name="Hyperlink" xfId="1415" builtinId="8" hidden="1"/>
    <cellStyle name="Hyperlink" xfId="1417" builtinId="8" hidden="1"/>
    <cellStyle name="Hyperlink" xfId="1419" builtinId="8" hidden="1"/>
    <cellStyle name="Hyperlink" xfId="1421" builtinId="8" hidden="1"/>
    <cellStyle name="Hyperlink" xfId="1423" builtinId="8" hidden="1"/>
    <cellStyle name="Hyperlink" xfId="1425" builtinId="8" hidden="1"/>
    <cellStyle name="Hyperlink" xfId="1427" builtinId="8" hidden="1"/>
    <cellStyle name="Hyperlink" xfId="1429" builtinId="8" hidden="1"/>
    <cellStyle name="Hyperlink" xfId="1431" builtinId="8" hidden="1"/>
    <cellStyle name="Hyperlink" xfId="1433" builtinId="8" hidden="1"/>
    <cellStyle name="Hyperlink" xfId="1435" builtinId="8" hidden="1"/>
    <cellStyle name="Hyperlink" xfId="1437" builtinId="8" hidden="1"/>
    <cellStyle name="Hyperlink" xfId="1439" builtinId="8" hidden="1"/>
    <cellStyle name="Hyperlink" xfId="1441" builtinId="8" hidden="1"/>
    <cellStyle name="Hyperlink" xfId="1443" builtinId="8" hidden="1"/>
    <cellStyle name="Hyperlink" xfId="1445" builtinId="8" hidden="1"/>
    <cellStyle name="Hyperlink" xfId="1447" builtinId="8" hidden="1"/>
    <cellStyle name="Hyperlink" xfId="1449" builtinId="8" hidden="1"/>
    <cellStyle name="Hyperlink" xfId="1451" builtinId="8" hidden="1"/>
    <cellStyle name="Hyperlink" xfId="1453" builtinId="8" hidden="1"/>
    <cellStyle name="Hyperlink" xfId="1455" builtinId="8" hidden="1"/>
    <cellStyle name="Hyperlink" xfId="1457" builtinId="8" hidden="1"/>
    <cellStyle name="Hyperlink" xfId="1459" builtinId="8" hidden="1"/>
    <cellStyle name="Hyperlink" xfId="1461" builtinId="8" hidden="1"/>
    <cellStyle name="Hyperlink" xfId="1463" builtinId="8" hidden="1"/>
    <cellStyle name="Hyperlink" xfId="1465" builtinId="8" hidden="1"/>
    <cellStyle name="Hyperlink" xfId="1467" builtinId="8" hidden="1"/>
    <cellStyle name="Hyperlink" xfId="1469" builtinId="8" hidden="1"/>
    <cellStyle name="Hyperlink" xfId="1471" builtinId="8" hidden="1"/>
    <cellStyle name="Hyperlink" xfId="1473" builtinId="8" hidden="1"/>
    <cellStyle name="Hyperlink" xfId="1475" builtinId="8" hidden="1"/>
    <cellStyle name="Hyperlink" xfId="1477" builtinId="8" hidden="1"/>
    <cellStyle name="Hyperlink" xfId="1479" builtinId="8" hidden="1"/>
    <cellStyle name="Hyperlink" xfId="1481" builtinId="8" hidden="1"/>
    <cellStyle name="Hyperlink" xfId="1483" builtinId="8" hidden="1"/>
    <cellStyle name="Hyperlink" xfId="1485" builtinId="8" hidden="1"/>
    <cellStyle name="Hyperlink" xfId="1487" builtinId="8" hidden="1"/>
    <cellStyle name="Hyperlink" xfId="1489" builtinId="8" hidden="1"/>
    <cellStyle name="Hyperlink" xfId="1491" builtinId="8" hidden="1"/>
    <cellStyle name="Hyperlink" xfId="1493" builtinId="8" hidden="1"/>
    <cellStyle name="Hyperlink" xfId="1495" builtinId="8" hidden="1"/>
    <cellStyle name="Hyperlink" xfId="1497" builtinId="8" hidden="1"/>
    <cellStyle name="Hyperlink" xfId="1499" builtinId="8" hidden="1"/>
    <cellStyle name="Hyperlink" xfId="1501" builtinId="8" hidden="1"/>
    <cellStyle name="Hyperlink" xfId="1503" builtinId="8" hidden="1"/>
    <cellStyle name="Hyperlink" xfId="1505" builtinId="8" hidden="1"/>
    <cellStyle name="Hyperlink" xfId="1507" builtinId="8" hidden="1"/>
    <cellStyle name="Hyperlink" xfId="1509" builtinId="8" hidden="1"/>
    <cellStyle name="Hyperlink" xfId="1511" builtinId="8" hidden="1"/>
    <cellStyle name="Hyperlink" xfId="1513" builtinId="8" hidden="1"/>
    <cellStyle name="Hyperlink" xfId="1515" builtinId="8" hidden="1"/>
    <cellStyle name="Hyperlink" xfId="1517" builtinId="8" hidden="1"/>
    <cellStyle name="Hyperlink" xfId="1519" builtinId="8" hidden="1"/>
    <cellStyle name="Hyperlink" xfId="1521" builtinId="8" hidden="1"/>
    <cellStyle name="Hyperlink" xfId="1523" builtinId="8" hidden="1"/>
    <cellStyle name="Hyperlink" xfId="1525" builtinId="8" hidden="1"/>
    <cellStyle name="Hyperlink" xfId="1527" builtinId="8" hidden="1"/>
    <cellStyle name="Hyperlink" xfId="1529" builtinId="8" hidden="1"/>
    <cellStyle name="Hyperlink" xfId="1531" builtinId="8" hidden="1"/>
    <cellStyle name="Hyperlink" xfId="1533" builtinId="8" hidden="1"/>
    <cellStyle name="Hyperlink" xfId="1535" builtinId="8" hidden="1"/>
    <cellStyle name="Hyperlink" xfId="1537" builtinId="8" hidden="1"/>
    <cellStyle name="Hyperlink" xfId="1539" builtinId="8" hidden="1"/>
    <cellStyle name="Hyperlink" xfId="1541" builtinId="8" hidden="1"/>
    <cellStyle name="Hyperlink" xfId="1543" builtinId="8" hidden="1"/>
    <cellStyle name="Hyperlink" xfId="1545" builtinId="8" hidden="1"/>
    <cellStyle name="Hyperlink" xfId="1547" builtinId="8" hidden="1"/>
    <cellStyle name="Hyperlink" xfId="1549" builtinId="8" hidden="1"/>
    <cellStyle name="Hyperlink" xfId="1551" builtinId="8" hidden="1"/>
    <cellStyle name="Hyperlink" xfId="1553" builtinId="8" hidden="1"/>
    <cellStyle name="Hyperlink" xfId="1555" builtinId="8" hidden="1"/>
    <cellStyle name="Hyperlink" xfId="1557" builtinId="8" hidden="1"/>
    <cellStyle name="Hyperlink" xfId="1559" builtinId="8" hidden="1"/>
    <cellStyle name="Hyperlink" xfId="1561" builtinId="8" hidden="1"/>
    <cellStyle name="Hyperlink" xfId="1563" builtinId="8" hidden="1"/>
    <cellStyle name="Hyperlink" xfId="1565" builtinId="8" hidden="1"/>
    <cellStyle name="Hyperlink" xfId="1567" builtinId="8" hidden="1"/>
    <cellStyle name="Hyperlink" xfId="1569" builtinId="8" hidden="1"/>
    <cellStyle name="Hyperlink" xfId="1571" builtinId="8" hidden="1"/>
    <cellStyle name="Hyperlink" xfId="1573" builtinId="8" hidden="1"/>
    <cellStyle name="Hyperlink" xfId="1575" builtinId="8" hidden="1"/>
    <cellStyle name="Hyperlink" xfId="1577" builtinId="8" hidden="1"/>
    <cellStyle name="Hyperlink" xfId="1579" builtinId="8" hidden="1"/>
    <cellStyle name="Hyperlink" xfId="1581" builtinId="8" hidden="1"/>
    <cellStyle name="Hyperlink" xfId="1583" builtinId="8" hidden="1"/>
    <cellStyle name="Hyperlink" xfId="1585" builtinId="8" hidden="1"/>
    <cellStyle name="Hyperlink" xfId="1587" builtinId="8" hidden="1"/>
    <cellStyle name="Hyperlink" xfId="1589" builtinId="8" hidden="1"/>
    <cellStyle name="Hyperlink" xfId="1591" builtinId="8" hidden="1"/>
    <cellStyle name="Hyperlink" xfId="1593" builtinId="8" hidden="1"/>
    <cellStyle name="Hyperlink" xfId="1595" builtinId="8" hidden="1"/>
    <cellStyle name="Hyperlink" xfId="1597" builtinId="8" hidden="1"/>
    <cellStyle name="Hyperlink" xfId="1599" builtinId="8" hidden="1"/>
    <cellStyle name="Hyperlink" xfId="1601" builtinId="8" hidden="1"/>
    <cellStyle name="Hyperlink" xfId="1603" builtinId="8" hidden="1"/>
    <cellStyle name="Hyperlink" xfId="1605" builtinId="8" hidden="1"/>
    <cellStyle name="Hyperlink" xfId="1607" builtinId="8" hidden="1"/>
    <cellStyle name="Hyperlink" xfId="1609" builtinId="8" hidden="1"/>
    <cellStyle name="Hyperlink" xfId="1611" builtinId="8" hidden="1"/>
    <cellStyle name="Hyperlink" xfId="1613" builtinId="8" hidden="1"/>
    <cellStyle name="Hyperlink" xfId="1615" builtinId="8" hidden="1"/>
    <cellStyle name="Hyperlink" xfId="1617" builtinId="8" hidden="1"/>
    <cellStyle name="Hyperlink" xfId="1619" builtinId="8" hidden="1"/>
    <cellStyle name="Hyperlink" xfId="1621" builtinId="8" hidden="1"/>
    <cellStyle name="Hyperlink" xfId="1623" builtinId="8" hidden="1"/>
    <cellStyle name="Hyperlink" xfId="1625" builtinId="8" hidden="1"/>
    <cellStyle name="Hyperlink" xfId="1627" builtinId="8" hidden="1"/>
    <cellStyle name="Hyperlink" xfId="1629" builtinId="8" hidden="1"/>
    <cellStyle name="Hyperlink" xfId="1631" builtinId="8" hidden="1"/>
    <cellStyle name="Hyperlink" xfId="1633" builtinId="8" hidden="1"/>
    <cellStyle name="Hyperlink" xfId="1635" builtinId="8" hidden="1"/>
    <cellStyle name="Hyperlink" xfId="1637" builtinId="8" hidden="1"/>
    <cellStyle name="Hyperlink" xfId="1639" builtinId="8" hidden="1"/>
    <cellStyle name="Hyperlink" xfId="1641" builtinId="8" hidden="1"/>
    <cellStyle name="Hyperlink" xfId="1643" builtinId="8" hidden="1"/>
    <cellStyle name="Hyperlink" xfId="1645" builtinId="8" hidden="1"/>
    <cellStyle name="Hyperlink" xfId="1647" builtinId="8" hidden="1"/>
    <cellStyle name="Hyperlink" xfId="1649" builtinId="8" hidden="1"/>
    <cellStyle name="Hyperlink" xfId="1651" builtinId="8" hidden="1"/>
    <cellStyle name="Hyperlink" xfId="1653" builtinId="8" hidden="1"/>
    <cellStyle name="Hyperlink" xfId="1655" builtinId="8" hidden="1"/>
    <cellStyle name="Hyperlink" xfId="1657" builtinId="8" hidden="1"/>
    <cellStyle name="Hyperlink" xfId="1659" builtinId="8" hidden="1"/>
    <cellStyle name="Hyperlink" xfId="1661" builtinId="8" hidden="1"/>
    <cellStyle name="Hyperlink" xfId="1663" builtinId="8" hidden="1"/>
    <cellStyle name="Hyperlink" xfId="1665" builtinId="8" hidden="1"/>
    <cellStyle name="Hyperlink" xfId="1667" builtinId="8" hidden="1"/>
    <cellStyle name="Hyperlink" xfId="1669" builtinId="8" hidden="1"/>
    <cellStyle name="Hyperlink" xfId="1671" builtinId="8" hidden="1"/>
    <cellStyle name="Hyperlink" xfId="1673" builtinId="8" hidden="1"/>
    <cellStyle name="Hyperlink" xfId="1675" builtinId="8" hidden="1"/>
    <cellStyle name="Hyperlink" xfId="1677" builtinId="8" hidden="1"/>
    <cellStyle name="Hyperlink" xfId="1679" builtinId="8" hidden="1"/>
    <cellStyle name="Hyperlink" xfId="1681" builtinId="8" hidden="1"/>
    <cellStyle name="Hyperlink" xfId="1683" builtinId="8" hidden="1"/>
    <cellStyle name="Hyperlink" xfId="1685" builtinId="8" hidden="1"/>
    <cellStyle name="Hyperlink" xfId="1687" builtinId="8" hidden="1"/>
    <cellStyle name="Hyperlink" xfId="1689" builtinId="8" hidden="1"/>
    <cellStyle name="Hyperlink" xfId="1691" builtinId="8" hidden="1"/>
    <cellStyle name="Hyperlink" xfId="1693" builtinId="8" hidden="1"/>
    <cellStyle name="Hyperlink" xfId="1695" builtinId="8" hidden="1"/>
    <cellStyle name="Hyperlink" xfId="1697" builtinId="8" hidden="1"/>
    <cellStyle name="Hyperlink" xfId="1699" builtinId="8" hidden="1"/>
    <cellStyle name="Hyperlink" xfId="1701" builtinId="8" hidden="1"/>
    <cellStyle name="Hyperlink" xfId="1703" builtinId="8" hidden="1"/>
    <cellStyle name="Hyperlink" xfId="1705" builtinId="8" hidden="1"/>
    <cellStyle name="Hyperlink" xfId="1707" builtinId="8" hidden="1"/>
    <cellStyle name="Hyperlink" xfId="1709" builtinId="8" hidden="1"/>
    <cellStyle name="Hyperlink" xfId="1711" builtinId="8" hidden="1"/>
    <cellStyle name="Hyperlink" xfId="1713" builtinId="8" hidden="1"/>
    <cellStyle name="Hyperlink" xfId="1715" builtinId="8" hidden="1"/>
    <cellStyle name="Hyperlink" xfId="1717" builtinId="8" hidden="1"/>
    <cellStyle name="Hyperlink" xfId="1719" builtinId="8" hidden="1"/>
    <cellStyle name="Hyperlink" xfId="1721" builtinId="8" hidden="1"/>
    <cellStyle name="Hyperlink" xfId="1723" builtinId="8" hidden="1"/>
    <cellStyle name="Hyperlink" xfId="1725" builtinId="8" hidden="1"/>
    <cellStyle name="Hyperlink" xfId="1727" builtinId="8" hidden="1"/>
    <cellStyle name="Hyperlink" xfId="1729" builtinId="8" hidden="1"/>
    <cellStyle name="Hyperlink" xfId="1731" builtinId="8" hidden="1"/>
    <cellStyle name="Hyperlink" xfId="1733" builtinId="8" hidden="1"/>
    <cellStyle name="Hyperlink" xfId="1735" builtinId="8" hidden="1"/>
    <cellStyle name="Hyperlink" xfId="1737" builtinId="8" hidden="1"/>
    <cellStyle name="Hyperlink" xfId="1739" builtinId="8" hidden="1"/>
    <cellStyle name="Hyperlink" xfId="1741" builtinId="8" hidden="1"/>
    <cellStyle name="Hyperlink" xfId="1743" builtinId="8" hidden="1"/>
    <cellStyle name="Hyperlink" xfId="1745" builtinId="8" hidden="1"/>
    <cellStyle name="Hyperlink" xfId="1747" builtinId="8" hidden="1"/>
    <cellStyle name="Hyperlink" xfId="1749" builtinId="8" hidden="1"/>
    <cellStyle name="Hyperlink" xfId="1751" builtinId="8" hidden="1"/>
    <cellStyle name="Hyperlink" xfId="1753" builtinId="8" hidden="1"/>
    <cellStyle name="Hyperlink" xfId="1755" builtinId="8" hidden="1"/>
    <cellStyle name="Hyperlink" xfId="1757" builtinId="8" hidden="1"/>
    <cellStyle name="Hyperlink" xfId="1759" builtinId="8" hidden="1"/>
    <cellStyle name="Hyperlink" xfId="1761" builtinId="8" hidden="1"/>
    <cellStyle name="Hyperlink" xfId="1763" builtinId="8" hidden="1"/>
    <cellStyle name="Hyperlink" xfId="1765" builtinId="8" hidden="1"/>
    <cellStyle name="Hyperlink" xfId="1767" builtinId="8" hidden="1"/>
    <cellStyle name="Hyperlink" xfId="1769" builtinId="8" hidden="1"/>
    <cellStyle name="Hyperlink" xfId="1771" builtinId="8" hidden="1"/>
    <cellStyle name="Hyperlink" xfId="1773" builtinId="8" hidden="1"/>
    <cellStyle name="Hyperlink" xfId="1775" builtinId="8" hidden="1"/>
    <cellStyle name="Hyperlink" xfId="1777" builtinId="8" hidden="1"/>
    <cellStyle name="Hyperlink" xfId="1779" builtinId="8" hidden="1"/>
    <cellStyle name="Hyperlink" xfId="1781" builtinId="8" hidden="1"/>
    <cellStyle name="Hyperlink" xfId="1783" builtinId="8" hidden="1"/>
    <cellStyle name="Hyperlink" xfId="1785" builtinId="8" hidden="1"/>
    <cellStyle name="Hyperlink" xfId="1787" builtinId="8" hidden="1"/>
    <cellStyle name="Hyperlink" xfId="1789" builtinId="8" hidden="1"/>
    <cellStyle name="Hyperlink" xfId="1791" builtinId="8" hidden="1"/>
    <cellStyle name="Hyperlink" xfId="1793" builtinId="8" hidden="1"/>
    <cellStyle name="Hyperlink" xfId="1795" builtinId="8" hidden="1"/>
    <cellStyle name="Hyperlink" xfId="1797" builtinId="8" hidden="1"/>
    <cellStyle name="Hyperlink" xfId="1799" builtinId="8" hidden="1"/>
    <cellStyle name="Hyperlink" xfId="1801" builtinId="8" hidden="1"/>
    <cellStyle name="Hyperlink" xfId="1803" builtinId="8" hidden="1"/>
    <cellStyle name="Hyperlink" xfId="1805" builtinId="8" hidden="1"/>
    <cellStyle name="Hyperlink" xfId="1807" builtinId="8" hidden="1"/>
    <cellStyle name="Hyperlink" xfId="1809" builtinId="8" hidden="1"/>
    <cellStyle name="Hyperlink" xfId="1811" builtinId="8" hidden="1"/>
    <cellStyle name="Hyperlink" xfId="1813" builtinId="8" hidden="1"/>
    <cellStyle name="Hyperlink" xfId="1815" builtinId="8" hidden="1"/>
    <cellStyle name="Hyperlink" xfId="1817" builtinId="8" hidden="1"/>
    <cellStyle name="Hyperlink" xfId="1819" builtinId="8" hidden="1"/>
    <cellStyle name="Hyperlink" xfId="1821" builtinId="8" hidden="1"/>
    <cellStyle name="Hyperlink" xfId="1823" builtinId="8" hidden="1"/>
    <cellStyle name="Hyperlink" xfId="1825" builtinId="8" hidden="1"/>
    <cellStyle name="Hyperlink" xfId="1827" builtinId="8" hidden="1"/>
    <cellStyle name="Hyperlink" xfId="1829" builtinId="8" hidden="1"/>
    <cellStyle name="Hyperlink" xfId="1831" builtinId="8" hidden="1"/>
    <cellStyle name="Hyperlink" xfId="1833" builtinId="8" hidden="1"/>
    <cellStyle name="Hyperlink" xfId="1835" builtinId="8" hidden="1"/>
    <cellStyle name="Hyperlink" xfId="1837" builtinId="8" hidden="1"/>
    <cellStyle name="Hyperlink" xfId="1839" builtinId="8" hidden="1"/>
    <cellStyle name="Hyperlink" xfId="1841" builtinId="8" hidden="1"/>
    <cellStyle name="Hyperlink" xfId="1843" builtinId="8" hidden="1"/>
    <cellStyle name="Hyperlink" xfId="1845" builtinId="8" hidden="1"/>
    <cellStyle name="Hyperlink" xfId="1847" builtinId="8" hidden="1"/>
    <cellStyle name="Hyperlink" xfId="1849" builtinId="8" hidden="1"/>
    <cellStyle name="Hyperlink" xfId="1851" builtinId="8" hidden="1"/>
    <cellStyle name="Hyperlink" xfId="1853" builtinId="8" hidden="1"/>
    <cellStyle name="Hyperlink" xfId="1855" builtinId="8" hidden="1"/>
    <cellStyle name="Hyperlink" xfId="1857" builtinId="8" hidden="1"/>
    <cellStyle name="Hyperlink" xfId="1859" builtinId="8" hidden="1"/>
    <cellStyle name="Hyperlink" xfId="1863" builtinId="8" hidden="1"/>
    <cellStyle name="Hyperlink" xfId="1865" builtinId="8" hidden="1"/>
    <cellStyle name="Hyperlink" xfId="1867" builtinId="8" hidden="1"/>
    <cellStyle name="Hyperlink" xfId="1869" builtinId="8" hidden="1"/>
    <cellStyle name="Hyperlink" xfId="1871" builtinId="8" hidden="1"/>
    <cellStyle name="Hyperlink" xfId="1873" builtinId="8" hidden="1"/>
    <cellStyle name="Hyperlink" xfId="1875" builtinId="8" hidden="1"/>
    <cellStyle name="Hyperlink" xfId="1877" builtinId="8" hidden="1"/>
    <cellStyle name="Hyperlink" xfId="1879" builtinId="8" hidden="1"/>
    <cellStyle name="Hyperlink" xfId="1881" builtinId="8" hidden="1"/>
    <cellStyle name="Hyperlink" xfId="1883" builtinId="8" hidden="1"/>
    <cellStyle name="Hyperlink" xfId="1885" builtinId="8" hidden="1"/>
    <cellStyle name="Hyperlink" xfId="1887" builtinId="8" hidden="1"/>
    <cellStyle name="Hyperlink" xfId="1889" builtinId="8" hidden="1"/>
    <cellStyle name="Hyperlink" xfId="1891" builtinId="8" hidden="1"/>
    <cellStyle name="Hyperlink" xfId="1893" builtinId="8" hidden="1"/>
    <cellStyle name="Hyperlink" xfId="1895" builtinId="8" hidden="1"/>
    <cellStyle name="Hyperlink" xfId="1897" builtinId="8" hidden="1"/>
    <cellStyle name="Hyperlink" xfId="1899" builtinId="8" hidden="1"/>
    <cellStyle name="Hyperlink" xfId="1901" builtinId="8" hidden="1"/>
    <cellStyle name="Hyperlink" xfId="1903" builtinId="8" hidden="1"/>
    <cellStyle name="Hyperlink" xfId="1905" builtinId="8" hidden="1"/>
    <cellStyle name="Hyperlink" xfId="1907" builtinId="8" hidden="1"/>
    <cellStyle name="Hyperlink" xfId="1909" builtinId="8" hidden="1"/>
    <cellStyle name="Hyperlink" xfId="1911" builtinId="8" hidden="1"/>
    <cellStyle name="Hyperlink" xfId="1913" builtinId="8" hidden="1"/>
    <cellStyle name="Hyperlink" xfId="1915" builtinId="8" hidden="1"/>
    <cellStyle name="Hyperlink" xfId="1917" builtinId="8" hidden="1"/>
    <cellStyle name="Hyperlink" xfId="1919" builtinId="8" hidden="1"/>
    <cellStyle name="Hyperlink" xfId="1921" builtinId="8" hidden="1"/>
    <cellStyle name="Hyperlink" xfId="1923" builtinId="8" hidden="1"/>
    <cellStyle name="Hyperlink" xfId="1925" builtinId="8" hidden="1"/>
    <cellStyle name="Hyperlink" xfId="1927" builtinId="8" hidden="1"/>
    <cellStyle name="Hyperlink" xfId="1929" builtinId="8" hidden="1"/>
    <cellStyle name="Hyperlink" xfId="1931" builtinId="8" hidden="1"/>
    <cellStyle name="Hyperlink" xfId="1933" builtinId="8" hidden="1"/>
    <cellStyle name="Hyperlink" xfId="1935" builtinId="8" hidden="1"/>
    <cellStyle name="Hyperlink" xfId="1937" builtinId="8" hidden="1"/>
    <cellStyle name="Hyperlink" xfId="1939" builtinId="8" hidden="1"/>
    <cellStyle name="Hyperlink" xfId="1941" builtinId="8" hidden="1"/>
    <cellStyle name="Hyperlink" xfId="1943" builtinId="8" hidden="1"/>
    <cellStyle name="Hyperlink" xfId="1945" builtinId="8" hidden="1"/>
    <cellStyle name="Hyperlink" xfId="1947" builtinId="8" hidden="1"/>
    <cellStyle name="Hyperlink" xfId="1949" builtinId="8" hidden="1"/>
    <cellStyle name="Hyperlink" xfId="1951" builtinId="8" hidden="1"/>
    <cellStyle name="Hyperlink" xfId="1953" builtinId="8" hidden="1"/>
    <cellStyle name="Hyperlink" xfId="1955" builtinId="8" hidden="1"/>
    <cellStyle name="Hyperlink" xfId="1957" builtinId="8" hidden="1"/>
    <cellStyle name="Hyperlink" xfId="1959" builtinId="8" hidden="1"/>
    <cellStyle name="Hyperlink" xfId="1961" builtinId="8" hidden="1"/>
    <cellStyle name="Hyperlink" xfId="1963" builtinId="8" hidden="1"/>
    <cellStyle name="Hyperlink" xfId="1965" builtinId="8" hidden="1"/>
    <cellStyle name="Hyperlink" xfId="1967" builtinId="8" hidden="1"/>
    <cellStyle name="Hyperlink" xfId="1969" builtinId="8" hidden="1"/>
    <cellStyle name="Hyperlink" xfId="1971" builtinId="8" hidden="1"/>
    <cellStyle name="Hyperlink" xfId="1973" builtinId="8" hidden="1"/>
    <cellStyle name="Hyperlink" xfId="1975" builtinId="8" hidden="1"/>
    <cellStyle name="Hyperlink" xfId="1977" builtinId="8" hidden="1"/>
    <cellStyle name="Hyperlink" xfId="1979" builtinId="8" hidden="1"/>
    <cellStyle name="Hyperlink" xfId="1981" builtinId="8" hidden="1"/>
    <cellStyle name="Hyperlink" xfId="1983" builtinId="8" hidden="1"/>
    <cellStyle name="Hyperlink" xfId="1985" builtinId="8" hidden="1"/>
    <cellStyle name="Hyperlink" xfId="1987" builtinId="8" hidden="1"/>
    <cellStyle name="Hyperlink" xfId="1989" builtinId="8" hidden="1"/>
    <cellStyle name="Hyperlink" xfId="1991" builtinId="8" hidden="1"/>
    <cellStyle name="Hyperlink" xfId="1993" builtinId="8" hidden="1"/>
    <cellStyle name="Hyperlink" xfId="1995" builtinId="8" hidden="1"/>
    <cellStyle name="Hyperlink" xfId="1997" builtinId="8" hidden="1"/>
    <cellStyle name="Hyperlink" xfId="1999" builtinId="8" hidden="1"/>
    <cellStyle name="Hyperlink" xfId="2001" builtinId="8" hidden="1"/>
    <cellStyle name="Hyperlink" xfId="2003" builtinId="8" hidden="1"/>
    <cellStyle name="Hyperlink" xfId="2005" builtinId="8" hidden="1"/>
    <cellStyle name="Hyperlink" xfId="2007" builtinId="8" hidden="1"/>
    <cellStyle name="Hyperlink" xfId="2009" builtinId="8" hidden="1"/>
    <cellStyle name="Hyperlink" xfId="2011" builtinId="8" hidden="1"/>
    <cellStyle name="Hyperlink" xfId="2013" builtinId="8" hidden="1"/>
    <cellStyle name="Hyperlink" xfId="2015" builtinId="8" hidden="1"/>
    <cellStyle name="Hyperlink" xfId="2017" builtinId="8" hidden="1"/>
    <cellStyle name="Hyperlink" xfId="2019" builtinId="8" hidden="1"/>
    <cellStyle name="Hyperlink" xfId="2021" builtinId="8" hidden="1"/>
    <cellStyle name="Hyperlink" xfId="2023" builtinId="8" hidden="1"/>
    <cellStyle name="Hyperlink" xfId="2025" builtinId="8" hidden="1"/>
    <cellStyle name="Hyperlink" xfId="2027" builtinId="8" hidden="1"/>
    <cellStyle name="Hyperlink" xfId="2029" builtinId="8" hidden="1"/>
    <cellStyle name="Hyperlink" xfId="2031" builtinId="8" hidden="1"/>
    <cellStyle name="Hyperlink" xfId="2033" builtinId="8" hidden="1"/>
    <cellStyle name="Hyperlink" xfId="2035" builtinId="8" hidden="1"/>
    <cellStyle name="Hyperlink" xfId="2037" builtinId="8" hidden="1"/>
    <cellStyle name="Hyperlink" xfId="2039" builtinId="8" hidden="1"/>
    <cellStyle name="Hyperlink" xfId="2041" builtinId="8" hidden="1"/>
    <cellStyle name="Hyperlink" xfId="2043" builtinId="8" hidden="1"/>
    <cellStyle name="Hyperlink" xfId="2045" builtinId="8" hidden="1"/>
    <cellStyle name="Hyperlink" xfId="2047" builtinId="8" hidden="1"/>
    <cellStyle name="Hyperlink" xfId="2049" builtinId="8" hidden="1"/>
    <cellStyle name="Hyperlink" xfId="2051" builtinId="8" hidden="1"/>
    <cellStyle name="Hyperlink" xfId="2053" builtinId="8" hidden="1"/>
    <cellStyle name="Hyperlink" xfId="2055" builtinId="8" hidden="1"/>
    <cellStyle name="Hyperlink" xfId="2057" builtinId="8" hidden="1"/>
    <cellStyle name="Hyperlink" xfId="2059" builtinId="8" hidden="1"/>
    <cellStyle name="Hyperlink" xfId="2061" builtinId="8" hidden="1"/>
    <cellStyle name="Hyperlink" xfId="2063" builtinId="8" hidden="1"/>
    <cellStyle name="Hyperlink" xfId="2065" builtinId="8" hidden="1"/>
    <cellStyle name="Hyperlink" xfId="2067" builtinId="8" hidden="1"/>
    <cellStyle name="Hyperlink" xfId="2069" builtinId="8" hidden="1"/>
    <cellStyle name="Hyperlink" xfId="2071" builtinId="8" hidden="1"/>
    <cellStyle name="Hyperlink" xfId="2073" builtinId="8" hidden="1"/>
    <cellStyle name="Hyperlink" xfId="2075" builtinId="8" hidden="1"/>
    <cellStyle name="Hyperlink" xfId="2077" builtinId="8" hidden="1"/>
    <cellStyle name="Hyperlink" xfId="2079" builtinId="8" hidden="1"/>
    <cellStyle name="Hyperlink" xfId="2081" builtinId="8" hidden="1"/>
    <cellStyle name="Hyperlink" xfId="2083" builtinId="8" hidden="1"/>
    <cellStyle name="Hyperlink" xfId="2085" builtinId="8" hidden="1"/>
    <cellStyle name="Hyperlink" xfId="2087" builtinId="8" hidden="1"/>
    <cellStyle name="Hyperlink" xfId="2089" builtinId="8" hidden="1"/>
    <cellStyle name="Hyperlink" xfId="2091" builtinId="8" hidden="1"/>
    <cellStyle name="Hyperlink" xfId="2093" builtinId="8" hidden="1"/>
    <cellStyle name="Hyperlink" xfId="2095" builtinId="8" hidden="1"/>
    <cellStyle name="Hyperlink" xfId="2097" builtinId="8" hidden="1"/>
    <cellStyle name="Hyperlink" xfId="2099" builtinId="8" hidden="1"/>
    <cellStyle name="Hyperlink" xfId="2101" builtinId="8" hidden="1"/>
    <cellStyle name="Hyperlink" xfId="2103" builtinId="8" hidden="1"/>
    <cellStyle name="Hyperlink" xfId="2105" builtinId="8" hidden="1"/>
    <cellStyle name="Hyperlink" xfId="2107" builtinId="8" hidden="1"/>
    <cellStyle name="Hyperlink" xfId="2109" builtinId="8" hidden="1"/>
    <cellStyle name="Hyperlink" xfId="2111" builtinId="8" hidden="1"/>
    <cellStyle name="Hyperlink" xfId="2113" builtinId="8" hidden="1"/>
    <cellStyle name="Hyperlink" xfId="2115" builtinId="8" hidden="1"/>
    <cellStyle name="Hyperlink" xfId="2117" builtinId="8" hidden="1"/>
    <cellStyle name="Hyperlink" xfId="2119" builtinId="8" hidden="1"/>
    <cellStyle name="Hyperlink" xfId="2121" builtinId="8" hidden="1"/>
    <cellStyle name="Hyperlink" xfId="2123" builtinId="8" hidden="1"/>
    <cellStyle name="Hyperlink" xfId="2125" builtinId="8" hidden="1"/>
    <cellStyle name="Hyperlink" xfId="2127" builtinId="8" hidden="1"/>
    <cellStyle name="Hyperlink" xfId="2129" builtinId="8" hidden="1"/>
    <cellStyle name="Hyperlink" xfId="2131" builtinId="8" hidden="1"/>
    <cellStyle name="Hyperlink" xfId="2133" builtinId="8" hidden="1"/>
    <cellStyle name="Hyperlink" xfId="2135" builtinId="8" hidden="1"/>
    <cellStyle name="Hyperlink" xfId="2137" builtinId="8" hidden="1"/>
    <cellStyle name="Hyperlink" xfId="2139" builtinId="8" hidden="1"/>
    <cellStyle name="Hyperlink" xfId="2141" builtinId="8" hidden="1"/>
    <cellStyle name="Hyperlink" xfId="2143" builtinId="8" hidden="1"/>
    <cellStyle name="Hyperlink" xfId="2145" builtinId="8" hidden="1"/>
    <cellStyle name="Hyperlink" xfId="2147" builtinId="8" hidden="1"/>
    <cellStyle name="Hyperlink" xfId="2149" builtinId="8" hidden="1"/>
    <cellStyle name="Hyperlink" xfId="2151" builtinId="8" hidden="1"/>
    <cellStyle name="Hyperlink" xfId="2153" builtinId="8" hidden="1"/>
    <cellStyle name="Hyperlink" xfId="2155" builtinId="8" hidden="1"/>
    <cellStyle name="Hyperlink" xfId="2157" builtinId="8" hidden="1"/>
    <cellStyle name="Hyperlink" xfId="2159" builtinId="8" hidden="1"/>
    <cellStyle name="Hyperlink" xfId="2161" builtinId="8" hidden="1"/>
    <cellStyle name="Hyperlink" xfId="2163" builtinId="8" hidden="1"/>
    <cellStyle name="Hyperlink" xfId="2165" builtinId="8" hidden="1"/>
    <cellStyle name="Hyperlink" xfId="2167" builtinId="8" hidden="1"/>
    <cellStyle name="Hyperlink" xfId="2169" builtinId="8" hidden="1"/>
    <cellStyle name="Hyperlink" xfId="2171" builtinId="8" hidden="1"/>
    <cellStyle name="Hyperlink" xfId="2173" builtinId="8" hidden="1"/>
    <cellStyle name="Hyperlink" xfId="2175" builtinId="8" hidden="1"/>
    <cellStyle name="Hyperlink" xfId="2177" builtinId="8" hidden="1"/>
    <cellStyle name="Hyperlink" xfId="2179" builtinId="8" hidden="1"/>
    <cellStyle name="Hyperlink" xfId="2181" builtinId="8" hidden="1"/>
    <cellStyle name="Hyperlink" xfId="2183" builtinId="8" hidden="1"/>
    <cellStyle name="Hyperlink" xfId="2185" builtinId="8" hidden="1"/>
    <cellStyle name="Hyperlink" xfId="2187" builtinId="8" hidden="1"/>
    <cellStyle name="Hyperlink" xfId="2189" builtinId="8" hidden="1"/>
    <cellStyle name="Hyperlink" xfId="2191" builtinId="8" hidden="1"/>
    <cellStyle name="Hyperlink" xfId="2193" builtinId="8" hidden="1"/>
    <cellStyle name="Hyperlink" xfId="2195" builtinId="8" hidden="1"/>
    <cellStyle name="Hyperlink" xfId="2197" builtinId="8" hidden="1"/>
    <cellStyle name="Hyperlink" xfId="2199" builtinId="8" hidden="1"/>
    <cellStyle name="Hyperlink" xfId="2201" builtinId="8" hidden="1"/>
    <cellStyle name="Hyperlink" xfId="2203" builtinId="8" hidden="1"/>
    <cellStyle name="Hyperlink" xfId="2205" builtinId="8" hidden="1"/>
    <cellStyle name="Hyperlink" xfId="2207" builtinId="8" hidden="1"/>
    <cellStyle name="Hyperlink" xfId="2209" builtinId="8" hidden="1"/>
    <cellStyle name="Hyperlink" xfId="2211" builtinId="8" hidden="1"/>
    <cellStyle name="Hyperlink" xfId="2213" builtinId="8" hidden="1"/>
    <cellStyle name="Hyperlink" xfId="2215" builtinId="8" hidden="1"/>
    <cellStyle name="Hyperlink" xfId="2217" builtinId="8" hidden="1"/>
    <cellStyle name="Hyperlink" xfId="2219" builtinId="8" hidden="1"/>
    <cellStyle name="Hyperlink" xfId="2221" builtinId="8" hidden="1"/>
    <cellStyle name="Hyperlink" xfId="2223" builtinId="8" hidden="1"/>
    <cellStyle name="Hyperlink" xfId="2225" builtinId="8" hidden="1"/>
    <cellStyle name="Hyperlink" xfId="2227" builtinId="8" hidden="1"/>
    <cellStyle name="Hyperlink" xfId="2229" builtinId="8" hidden="1"/>
    <cellStyle name="Hyperlink" xfId="2231" builtinId="8" hidden="1"/>
    <cellStyle name="Hyperlink" xfId="2233" builtinId="8" hidden="1"/>
    <cellStyle name="Hyperlink" xfId="2235" builtinId="8" hidden="1"/>
    <cellStyle name="Hyperlink" xfId="2237" builtinId="8" hidden="1"/>
    <cellStyle name="Hyperlink" xfId="2239" builtinId="8" hidden="1"/>
    <cellStyle name="Hyperlink" xfId="2241" builtinId="8" hidden="1"/>
    <cellStyle name="Hyperlink" xfId="2243" builtinId="8" hidden="1"/>
    <cellStyle name="Hyperlink" xfId="2245" builtinId="8" hidden="1"/>
    <cellStyle name="Hyperlink" xfId="2247" builtinId="8" hidden="1"/>
    <cellStyle name="Hyperlink" xfId="2249" builtinId="8" hidden="1"/>
    <cellStyle name="Hyperlink" xfId="2251" builtinId="8" hidden="1"/>
    <cellStyle name="Hyperlink" xfId="2253" builtinId="8" hidden="1"/>
    <cellStyle name="Hyperlink" xfId="2255" builtinId="8" hidden="1"/>
    <cellStyle name="Hyperlink" xfId="2257" builtinId="8" hidden="1"/>
    <cellStyle name="Hyperlink" xfId="2259" builtinId="8" hidden="1"/>
    <cellStyle name="Hyperlink" xfId="2261" builtinId="8" hidden="1"/>
    <cellStyle name="Hyperlink" xfId="2263" builtinId="8" hidden="1"/>
    <cellStyle name="Hyperlink" xfId="2265" builtinId="8" hidden="1"/>
    <cellStyle name="Hyperlink" xfId="2267" builtinId="8" hidden="1"/>
    <cellStyle name="Hyperlink" xfId="2269" builtinId="8" hidden="1"/>
    <cellStyle name="Hyperlink" xfId="2271" builtinId="8" hidden="1"/>
    <cellStyle name="Hyperlink" xfId="2273" builtinId="8" hidden="1"/>
    <cellStyle name="Hyperlink" xfId="2275" builtinId="8" hidden="1"/>
    <cellStyle name="Hyperlink" xfId="2277" builtinId="8" hidden="1"/>
    <cellStyle name="Hyperlink" xfId="2279" builtinId="8" hidden="1"/>
    <cellStyle name="Hyperlink" xfId="2281" builtinId="8" hidden="1"/>
    <cellStyle name="Hyperlink" xfId="2283" builtinId="8" hidden="1"/>
    <cellStyle name="Hyperlink" xfId="2285" builtinId="8" hidden="1"/>
    <cellStyle name="Hyperlink" xfId="2287" builtinId="8" hidden="1"/>
    <cellStyle name="Hyperlink" xfId="2289" builtinId="8" hidden="1"/>
    <cellStyle name="Hyperlink" xfId="2291" builtinId="8" hidden="1"/>
    <cellStyle name="Hyperlink" xfId="2293" builtinId="8" hidden="1"/>
    <cellStyle name="Hyperlink" xfId="2295" builtinId="8" hidden="1"/>
    <cellStyle name="Hyperlink" xfId="2297" builtinId="8" hidden="1"/>
    <cellStyle name="Hyperlink" xfId="2299" builtinId="8" hidden="1"/>
    <cellStyle name="Hyperlink" xfId="2301" builtinId="8" hidden="1"/>
    <cellStyle name="Hyperlink" xfId="2303" builtinId="8" hidden="1"/>
    <cellStyle name="Hyperlink" xfId="2305" builtinId="8" hidden="1"/>
    <cellStyle name="Hyperlink" xfId="2307" builtinId="8" hidden="1"/>
    <cellStyle name="Hyperlink" xfId="2309" builtinId="8" hidden="1"/>
    <cellStyle name="Hyperlink" xfId="2311" builtinId="8" hidden="1"/>
    <cellStyle name="Hyperlink" xfId="2313" builtinId="8" hidden="1"/>
    <cellStyle name="Hyperlink" xfId="2315" builtinId="8" hidden="1"/>
    <cellStyle name="Hyperlink" xfId="2317" builtinId="8" hidden="1"/>
    <cellStyle name="Hyperlink" xfId="2319" builtinId="8" hidden="1"/>
    <cellStyle name="Hyperlink" xfId="2321" builtinId="8" hidden="1"/>
    <cellStyle name="Hyperlink" xfId="2323" builtinId="8" hidden="1"/>
    <cellStyle name="Hyperlink" xfId="2325" builtinId="8" hidden="1"/>
    <cellStyle name="Hyperlink" xfId="2327" builtinId="8" hidden="1"/>
    <cellStyle name="Hyperlink" xfId="2329" builtinId="8" hidden="1"/>
    <cellStyle name="Hyperlink" xfId="2331" builtinId="8" hidden="1"/>
    <cellStyle name="Hyperlink" xfId="2333" builtinId="8" hidden="1"/>
    <cellStyle name="Hyperlink" xfId="2335" builtinId="8" hidden="1"/>
    <cellStyle name="Hyperlink" xfId="2337" builtinId="8" hidden="1"/>
    <cellStyle name="Hyperlink" xfId="2339" builtinId="8" hidden="1"/>
    <cellStyle name="Hyperlink" xfId="2341" builtinId="8" hidden="1"/>
    <cellStyle name="Hyperlink" xfId="2343" builtinId="8" hidden="1"/>
    <cellStyle name="Hyperlink" xfId="2345" builtinId="8" hidden="1"/>
    <cellStyle name="Hyperlink" xfId="2347" builtinId="8" hidden="1"/>
    <cellStyle name="Hyperlink" xfId="2349" builtinId="8" hidden="1"/>
    <cellStyle name="Hyperlink" xfId="2351" builtinId="8" hidden="1"/>
    <cellStyle name="Hyperlink" xfId="2353" builtinId="8" hidden="1"/>
    <cellStyle name="Hyperlink" xfId="2355" builtinId="8" hidden="1"/>
    <cellStyle name="Hyperlink" xfId="2357" builtinId="8" hidden="1"/>
    <cellStyle name="Hyperlink" xfId="2359" builtinId="8" hidden="1"/>
    <cellStyle name="Hyperlink" xfId="2361" builtinId="8" hidden="1"/>
    <cellStyle name="Hyperlink" xfId="2363" builtinId="8" hidden="1"/>
    <cellStyle name="Hyperlink" xfId="2365" builtinId="8" hidden="1"/>
    <cellStyle name="Hyperlink" xfId="2367" builtinId="8" hidden="1"/>
    <cellStyle name="Hyperlink" xfId="2369" builtinId="8" hidden="1"/>
    <cellStyle name="Hyperlink" xfId="2371" builtinId="8" hidden="1"/>
    <cellStyle name="Hyperlink" xfId="2373" builtinId="8" hidden="1"/>
    <cellStyle name="Hyperlink" xfId="2375" builtinId="8" hidden="1"/>
    <cellStyle name="Hyperlink" xfId="2377" builtinId="8" hidden="1"/>
    <cellStyle name="Hyperlink" xfId="2379" builtinId="8" hidden="1"/>
    <cellStyle name="Hyperlink" xfId="2381" builtinId="8" hidden="1"/>
    <cellStyle name="Hyperlink" xfId="2383" builtinId="8" hidden="1"/>
    <cellStyle name="Hyperlink" xfId="2385" builtinId="8" hidden="1"/>
    <cellStyle name="Hyperlink" xfId="2387" builtinId="8" hidden="1"/>
    <cellStyle name="Hyperlink" xfId="2389" builtinId="8" hidden="1"/>
    <cellStyle name="Hyperlink" xfId="2391" builtinId="8" hidden="1"/>
    <cellStyle name="Hyperlink" xfId="2393" builtinId="8" hidden="1"/>
    <cellStyle name="Hyperlink" xfId="2395" builtinId="8" hidden="1"/>
    <cellStyle name="Hyperlink" xfId="2397" builtinId="8" hidden="1"/>
    <cellStyle name="Hyperlink" xfId="2399" builtinId="8" hidden="1"/>
    <cellStyle name="Hyperlink" xfId="2401" builtinId="8" hidden="1"/>
    <cellStyle name="Hyperlink" xfId="2403" builtinId="8" hidden="1"/>
    <cellStyle name="Hyperlink" xfId="2405" builtinId="8" hidden="1"/>
    <cellStyle name="Hyperlink" xfId="2407" builtinId="8" hidden="1"/>
    <cellStyle name="Hyperlink" xfId="2409" builtinId="8" hidden="1"/>
    <cellStyle name="Hyperlink" xfId="2411" builtinId="8" hidden="1"/>
    <cellStyle name="Hyperlink" xfId="2413" builtinId="8" hidden="1"/>
    <cellStyle name="Hyperlink" xfId="2415" builtinId="8" hidden="1"/>
    <cellStyle name="Hyperlink" xfId="2417" builtinId="8" hidden="1"/>
    <cellStyle name="Hyperlink" xfId="2419" builtinId="8" hidden="1"/>
    <cellStyle name="Hyperlink" xfId="2421" builtinId="8" hidden="1"/>
    <cellStyle name="Hyperlink" xfId="2423" builtinId="8" hidden="1"/>
    <cellStyle name="Hyperlink" xfId="2425" builtinId="8" hidden="1"/>
    <cellStyle name="Hyperlink" xfId="2427" builtinId="8" hidden="1"/>
    <cellStyle name="Hyperlink" xfId="2429" builtinId="8" hidden="1"/>
    <cellStyle name="Hyperlink" xfId="2431" builtinId="8" hidden="1"/>
    <cellStyle name="Hyperlink" xfId="2433" builtinId="8" hidden="1"/>
    <cellStyle name="Hyperlink" xfId="2435" builtinId="8" hidden="1"/>
    <cellStyle name="Hyperlink" xfId="2437" builtinId="8" hidden="1"/>
    <cellStyle name="Hyperlink" xfId="2439" builtinId="8" hidden="1"/>
    <cellStyle name="Hyperlink" xfId="2441" builtinId="8" hidden="1"/>
    <cellStyle name="Hyperlink" xfId="2443" builtinId="8" hidden="1"/>
    <cellStyle name="Hyperlink" xfId="2445" builtinId="8" hidden="1"/>
    <cellStyle name="Hyperlink" xfId="2447" builtinId="8" hidden="1"/>
    <cellStyle name="Hyperlink" xfId="2449" builtinId="8" hidden="1"/>
    <cellStyle name="Hyperlink" xfId="2451" builtinId="8" hidden="1"/>
    <cellStyle name="Hyperlink" xfId="2453" builtinId="8" hidden="1"/>
    <cellStyle name="Hyperlink" xfId="2455" builtinId="8" hidden="1"/>
    <cellStyle name="Hyperlink" xfId="2457" builtinId="8" hidden="1"/>
    <cellStyle name="Hyperlink" xfId="2459" builtinId="8" hidden="1"/>
    <cellStyle name="Hyperlink" xfId="2461" builtinId="8" hidden="1"/>
    <cellStyle name="Hyperlink" xfId="2463" builtinId="8" hidden="1"/>
    <cellStyle name="Hyperlink" xfId="2465" builtinId="8" hidden="1"/>
    <cellStyle name="Hyperlink" xfId="2467" builtinId="8" hidden="1"/>
    <cellStyle name="Hyperlink" xfId="2469" builtinId="8" hidden="1"/>
    <cellStyle name="Hyperlink" xfId="2471" builtinId="8" hidden="1"/>
    <cellStyle name="Hyperlink" xfId="2473" builtinId="8" hidden="1"/>
    <cellStyle name="Hyperlink" xfId="2475" builtinId="8" hidden="1"/>
    <cellStyle name="Hyperlink" xfId="2477" builtinId="8" hidden="1"/>
    <cellStyle name="Hyperlink" xfId="2479" builtinId="8" hidden="1"/>
    <cellStyle name="Hyperlink" xfId="2481" builtinId="8" hidden="1"/>
    <cellStyle name="Hyperlink" xfId="2483" builtinId="8" hidden="1"/>
    <cellStyle name="Hyperlink" xfId="2485" builtinId="8" hidden="1"/>
    <cellStyle name="Hyperlink" xfId="2487" builtinId="8" hidden="1"/>
    <cellStyle name="Hyperlink" xfId="2489" builtinId="8" hidden="1"/>
    <cellStyle name="Hyperlink" xfId="2491" builtinId="8" hidden="1"/>
    <cellStyle name="Hyperlink" xfId="2493" builtinId="8" hidden="1"/>
    <cellStyle name="Hyperlink" xfId="2495" builtinId="8" hidden="1"/>
    <cellStyle name="Hyperlink" xfId="2497" builtinId="8" hidden="1"/>
    <cellStyle name="Hyperlink" xfId="2499" builtinId="8" hidden="1"/>
    <cellStyle name="Hyperlink" xfId="2501" builtinId="8" hidden="1"/>
    <cellStyle name="Hyperlink" xfId="2503" builtinId="8" hidden="1"/>
    <cellStyle name="Hyperlink" xfId="2505" builtinId="8" hidden="1"/>
    <cellStyle name="Hyperlink" xfId="2507" builtinId="8" hidden="1"/>
    <cellStyle name="Hyperlink" xfId="2509" builtinId="8" hidden="1"/>
    <cellStyle name="Hyperlink" xfId="2511" builtinId="8" hidden="1"/>
    <cellStyle name="Hyperlink" xfId="2513" builtinId="8" hidden="1"/>
    <cellStyle name="Hyperlink" xfId="2515" builtinId="8" hidden="1"/>
    <cellStyle name="Hyperlink" xfId="2517" builtinId="8" hidden="1"/>
    <cellStyle name="Hyperlink" xfId="2519" builtinId="8" hidden="1"/>
    <cellStyle name="Hyperlink" xfId="2521" builtinId="8" hidden="1"/>
    <cellStyle name="Hyperlink" xfId="2523" builtinId="8" hidden="1"/>
    <cellStyle name="Hyperlink" xfId="2525" builtinId="8" hidden="1"/>
    <cellStyle name="Hyperlink" xfId="2527" builtinId="8" hidden="1"/>
    <cellStyle name="Hyperlink" xfId="2529" builtinId="8" hidden="1"/>
    <cellStyle name="Hyperlink" xfId="2531" builtinId="8" hidden="1"/>
    <cellStyle name="Hyperlink" xfId="2533" builtinId="8" hidden="1"/>
    <cellStyle name="Hyperlink" xfId="2535" builtinId="8" hidden="1"/>
    <cellStyle name="Hyperlink" xfId="2537" builtinId="8" hidden="1"/>
    <cellStyle name="Hyperlink" xfId="2539" builtinId="8" hidden="1"/>
    <cellStyle name="Hyperlink" xfId="2541" builtinId="8" hidden="1"/>
    <cellStyle name="Hyperlink" xfId="2543" builtinId="8" hidden="1"/>
    <cellStyle name="Hyperlink" xfId="2545" builtinId="8" hidden="1"/>
    <cellStyle name="Hyperlink" xfId="2547" builtinId="8" hidden="1"/>
    <cellStyle name="Hyperlink" xfId="2549" builtinId="8" hidden="1"/>
    <cellStyle name="Hyperlink" xfId="2551" builtinId="8" hidden="1"/>
    <cellStyle name="Hyperlink" xfId="2553" builtinId="8" hidden="1"/>
    <cellStyle name="Hyperlink" xfId="2555" builtinId="8" hidden="1"/>
    <cellStyle name="Hyperlink" xfId="2557" builtinId="8" hidden="1"/>
    <cellStyle name="Hyperlink" xfId="2559" builtinId="8" hidden="1"/>
    <cellStyle name="Hyperlink" xfId="2561" builtinId="8" hidden="1"/>
    <cellStyle name="Hyperlink" xfId="2563" builtinId="8" hidden="1"/>
    <cellStyle name="Hyperlink" xfId="2565" builtinId="8" hidden="1"/>
    <cellStyle name="Hyperlink" xfId="2567" builtinId="8" hidden="1"/>
    <cellStyle name="Hyperlink" xfId="2569" builtinId="8" hidden="1"/>
    <cellStyle name="Hyperlink" xfId="2571" builtinId="8" hidden="1"/>
    <cellStyle name="Hyperlink" xfId="2573" builtinId="8" hidden="1"/>
    <cellStyle name="Hyperlink" xfId="2575" builtinId="8" hidden="1"/>
    <cellStyle name="Hyperlink" xfId="2577" builtinId="8" hidden="1"/>
    <cellStyle name="Hyperlink" xfId="2579" builtinId="8" hidden="1"/>
    <cellStyle name="Hyperlink" xfId="2583" builtinId="8" hidden="1"/>
    <cellStyle name="Hyperlink" xfId="2585" builtinId="8" hidden="1"/>
    <cellStyle name="Hyperlink" xfId="2587" builtinId="8" hidden="1"/>
    <cellStyle name="Hyperlink" xfId="2589" builtinId="8" hidden="1"/>
    <cellStyle name="Hyperlink" xfId="2591" builtinId="8" hidden="1"/>
    <cellStyle name="Hyperlink" xfId="2593" builtinId="8" hidden="1"/>
    <cellStyle name="Hyperlink" xfId="2595" builtinId="8" hidden="1"/>
    <cellStyle name="Hyperlink" xfId="2597" builtinId="8" hidden="1"/>
    <cellStyle name="Hyperlink" xfId="2599" builtinId="8" hidden="1"/>
    <cellStyle name="Hyperlink" xfId="2601" builtinId="8" hidden="1"/>
    <cellStyle name="Hyperlink" xfId="2603" builtinId="8" hidden="1"/>
    <cellStyle name="Hyperlink" xfId="2605" builtinId="8" hidden="1"/>
    <cellStyle name="Hyperlink" xfId="2607" builtinId="8" hidden="1"/>
    <cellStyle name="Hyperlink" xfId="2609" builtinId="8" hidden="1"/>
    <cellStyle name="Hyperlink" xfId="2611" builtinId="8" hidden="1"/>
    <cellStyle name="Hyperlink" xfId="2613" builtinId="8" hidden="1"/>
    <cellStyle name="Hyperlink" xfId="2615" builtinId="8" hidden="1"/>
    <cellStyle name="Hyperlink" xfId="2617" builtinId="8" hidden="1"/>
    <cellStyle name="Hyperlink" xfId="2619" builtinId="8" hidden="1"/>
    <cellStyle name="Hyperlink" xfId="2621" builtinId="8" hidden="1"/>
    <cellStyle name="Hyperlink" xfId="2623" builtinId="8" hidden="1"/>
    <cellStyle name="Hyperlink" xfId="2625" builtinId="8" hidden="1"/>
    <cellStyle name="Hyperlink" xfId="2627" builtinId="8" hidden="1"/>
    <cellStyle name="Hyperlink" xfId="2629" builtinId="8" hidden="1"/>
    <cellStyle name="Hyperlink" xfId="2631" builtinId="8" hidden="1"/>
    <cellStyle name="Hyperlink" xfId="2633" builtinId="8" hidden="1"/>
    <cellStyle name="Hyperlink" xfId="2635" builtinId="8" hidden="1"/>
    <cellStyle name="Hyperlink" xfId="2637" builtinId="8" hidden="1"/>
    <cellStyle name="Hyperlink" xfId="2639" builtinId="8" hidden="1"/>
    <cellStyle name="Hyperlink" xfId="2641" builtinId="8" hidden="1"/>
    <cellStyle name="Hyperlink" xfId="2643" builtinId="8" hidden="1"/>
    <cellStyle name="Hyperlink" xfId="2645" builtinId="8" hidden="1"/>
    <cellStyle name="Normal" xfId="0" builtinId="0"/>
  </cellStyles>
  <dxfs count="0"/>
  <tableStyles count="0" defaultTableStyle="TableStyleMedium9" defaultPivotStyle="PivotStyleMedium4"/>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1" Type="http://schemas.openxmlformats.org/officeDocument/2006/relationships/worksheet" Target="worksheets/sheet11.xml"/><Relationship Id="rId12" Type="http://schemas.openxmlformats.org/officeDocument/2006/relationships/worksheet" Target="worksheets/sheet12.xml"/><Relationship Id="rId13" Type="http://schemas.openxmlformats.org/officeDocument/2006/relationships/externalLink" Target="externalLinks/externalLink1.xml"/><Relationship Id="rId14" Type="http://schemas.openxmlformats.org/officeDocument/2006/relationships/externalLink" Target="externalLinks/externalLink2.xml"/><Relationship Id="rId15" Type="http://schemas.openxmlformats.org/officeDocument/2006/relationships/externalLink" Target="externalLinks/externalLink3.xml"/><Relationship Id="rId16" Type="http://schemas.openxmlformats.org/officeDocument/2006/relationships/theme" Target="theme/theme1.xml"/><Relationship Id="rId17" Type="http://schemas.openxmlformats.org/officeDocument/2006/relationships/styles" Target="styles.xml"/><Relationship Id="rId18" Type="http://schemas.openxmlformats.org/officeDocument/2006/relationships/sharedStrings" Target="sharedStrings.xml"/><Relationship Id="rId19" Type="http://schemas.openxmlformats.org/officeDocument/2006/relationships/calcChain" Target="calcChain.xml"/><Relationship Id="rId1" Type="http://schemas.openxmlformats.org/officeDocument/2006/relationships/worksheet" Target="worksheets/sheet1.xml"/><Relationship Id="rId2" Type="http://schemas.openxmlformats.org/officeDocument/2006/relationships/worksheet" Target="worksheets/sheet2.xml"/><Relationship Id="rId3" Type="http://schemas.openxmlformats.org/officeDocument/2006/relationships/worksheet" Target="worksheets/sheet3.xml"/><Relationship Id="rId4" Type="http://schemas.openxmlformats.org/officeDocument/2006/relationships/worksheet" Target="worksheets/sheet4.xml"/><Relationship Id="rId5" Type="http://schemas.openxmlformats.org/officeDocument/2006/relationships/worksheet" Target="worksheets/sheet5.xml"/><Relationship Id="rId6" Type="http://schemas.openxmlformats.org/officeDocument/2006/relationships/worksheet" Target="worksheets/sheet6.xml"/><Relationship Id="rId7" Type="http://schemas.openxmlformats.org/officeDocument/2006/relationships/worksheet" Target="worksheets/sheet7.xml"/><Relationship Id="rId8" Type="http://schemas.openxmlformats.org/officeDocument/2006/relationships/worksheet" Target="worksheets/sheet8.xml"/><Relationship Id="rId9" Type="http://schemas.openxmlformats.org/officeDocument/2006/relationships/worksheet" Target="worksheets/sheet9.xml"/><Relationship Id="rId10" Type="http://schemas.openxmlformats.org/officeDocument/2006/relationships/worksheet" Target="worksheets/sheet10.xml"/></Relationships>
</file>

<file path=xl/drawings/_rels/drawing1.xml.rels><?xml version="1.0" encoding="UTF-8" standalone="yes"?>
<Relationships xmlns="http://schemas.openxmlformats.org/package/2006/relationships"><Relationship Id="rId3" Type="http://schemas.openxmlformats.org/officeDocument/2006/relationships/image" Target="../media/image3.png"/><Relationship Id="rId4" Type="http://schemas.openxmlformats.org/officeDocument/2006/relationships/image" Target="../media/image4.png"/><Relationship Id="rId1" Type="http://schemas.openxmlformats.org/officeDocument/2006/relationships/image" Target="../media/image1.png"/><Relationship Id="rId2" Type="http://schemas.openxmlformats.org/officeDocument/2006/relationships/image" Target="../media/image2.png"/></Relationships>
</file>

<file path=xl/drawings/_rels/drawing2.xml.rels><?xml version="1.0" encoding="UTF-8" standalone="yes"?>
<Relationships xmlns="http://schemas.openxmlformats.org/package/2006/relationships"><Relationship Id="rId1" Type="http://schemas.openxmlformats.org/officeDocument/2006/relationships/image" Target="../media/image5.png"/><Relationship Id="rId2" Type="http://schemas.openxmlformats.org/officeDocument/2006/relationships/image" Target="../media/image6.png"/></Relationships>
</file>

<file path=xl/drawings/_rels/drawing3.xml.rels><?xml version="1.0" encoding="UTF-8" standalone="yes"?>
<Relationships xmlns="http://schemas.openxmlformats.org/package/2006/relationships"><Relationship Id="rId1" Type="http://schemas.openxmlformats.org/officeDocument/2006/relationships/image" Target="../media/image5.png"/><Relationship Id="rId2" Type="http://schemas.openxmlformats.org/officeDocument/2006/relationships/image" Target="../media/image6.png"/><Relationship Id="rId3" Type="http://schemas.openxmlformats.org/officeDocument/2006/relationships/image" Target="../media/image7.png"/></Relationships>
</file>

<file path=xl/drawings/_rels/drawing4.xml.rels><?xml version="1.0" encoding="UTF-8" standalone="yes"?>
<Relationships xmlns="http://schemas.openxmlformats.org/package/2006/relationships"><Relationship Id="rId1" Type="http://schemas.openxmlformats.org/officeDocument/2006/relationships/image" Target="../media/image8.tif"/></Relationships>
</file>

<file path=xl/drawings/_rels/drawing5.xml.rels><?xml version="1.0" encoding="UTF-8" standalone="yes"?>
<Relationships xmlns="http://schemas.openxmlformats.org/package/2006/relationships"><Relationship Id="rId3" Type="http://schemas.openxmlformats.org/officeDocument/2006/relationships/image" Target="../media/image11.tif"/><Relationship Id="rId4" Type="http://schemas.openxmlformats.org/officeDocument/2006/relationships/image" Target="../media/image12.tif"/><Relationship Id="rId5" Type="http://schemas.openxmlformats.org/officeDocument/2006/relationships/image" Target="../media/image13.tif"/><Relationship Id="rId6" Type="http://schemas.openxmlformats.org/officeDocument/2006/relationships/image" Target="../media/image14.tif"/><Relationship Id="rId7" Type="http://schemas.openxmlformats.org/officeDocument/2006/relationships/image" Target="../media/image15.tif"/><Relationship Id="rId8" Type="http://schemas.openxmlformats.org/officeDocument/2006/relationships/image" Target="../media/image16.tif"/><Relationship Id="rId1" Type="http://schemas.openxmlformats.org/officeDocument/2006/relationships/image" Target="../media/image9.tif"/><Relationship Id="rId2" Type="http://schemas.openxmlformats.org/officeDocument/2006/relationships/image" Target="../media/image10.tif"/></Relationships>
</file>

<file path=xl/drawings/_rels/drawing6.xml.rels><?xml version="1.0" encoding="UTF-8" standalone="yes"?>
<Relationships xmlns="http://schemas.openxmlformats.org/package/2006/relationships"><Relationship Id="rId1" Type="http://schemas.openxmlformats.org/officeDocument/2006/relationships/image" Target="../media/image7.png"/></Relationships>
</file>

<file path=xl/drawings/_rels/drawing7.xml.rels><?xml version="1.0" encoding="UTF-8" standalone="yes"?>
<Relationships xmlns="http://schemas.openxmlformats.org/package/2006/relationships"><Relationship Id="rId1" Type="http://schemas.openxmlformats.org/officeDocument/2006/relationships/image" Target="../media/image5.png"/><Relationship Id="rId2" Type="http://schemas.openxmlformats.org/officeDocument/2006/relationships/image" Target="../media/image6.png"/><Relationship Id="rId3" Type="http://schemas.openxmlformats.org/officeDocument/2006/relationships/image" Target="../media/image7.png"/></Relationships>
</file>

<file path=xl/drawings/_rels/drawing8.xml.rels><?xml version="1.0" encoding="UTF-8" standalone="yes"?>
<Relationships xmlns="http://schemas.openxmlformats.org/package/2006/relationships"><Relationship Id="rId1" Type="http://schemas.openxmlformats.org/officeDocument/2006/relationships/image" Target="../media/image17.JPG"/><Relationship Id="rId2" Type="http://schemas.openxmlformats.org/officeDocument/2006/relationships/image" Target="../media/image18.JPG"/></Relationships>
</file>

<file path=xl/drawings/drawing1.xml><?xml version="1.0" encoding="utf-8"?>
<xdr:wsDr xmlns:xdr="http://schemas.openxmlformats.org/drawingml/2006/spreadsheetDrawing" xmlns:a="http://schemas.openxmlformats.org/drawingml/2006/main">
  <xdr:twoCellAnchor editAs="oneCell">
    <xdr:from>
      <xdr:col>18</xdr:col>
      <xdr:colOff>342900</xdr:colOff>
      <xdr:row>26</xdr:row>
      <xdr:rowOff>139349</xdr:rowOff>
    </xdr:from>
    <xdr:to>
      <xdr:col>22</xdr:col>
      <xdr:colOff>495299</xdr:colOff>
      <xdr:row>39</xdr:row>
      <xdr:rowOff>228599</xdr:rowOff>
    </xdr:to>
    <xdr:pic>
      <xdr:nvPicPr>
        <xdr:cNvPr id="2" name="Picture 1" descr="Hal-ost-RR-32-count.png"/>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8808700" y="5511449"/>
          <a:ext cx="3505199" cy="2972150"/>
        </a:xfrm>
        <a:prstGeom prst="rect">
          <a:avLst/>
        </a:prstGeom>
      </xdr:spPr>
    </xdr:pic>
    <xdr:clientData/>
  </xdr:twoCellAnchor>
  <xdr:twoCellAnchor editAs="oneCell">
    <xdr:from>
      <xdr:col>13</xdr:col>
      <xdr:colOff>622300</xdr:colOff>
      <xdr:row>26</xdr:row>
      <xdr:rowOff>131556</xdr:rowOff>
    </xdr:from>
    <xdr:to>
      <xdr:col>18</xdr:col>
      <xdr:colOff>77880</xdr:colOff>
      <xdr:row>39</xdr:row>
      <xdr:rowOff>165100</xdr:rowOff>
    </xdr:to>
    <xdr:pic>
      <xdr:nvPicPr>
        <xdr:cNvPr id="4" name="Picture 3" descr="Hal-ost-RR-32.png"/>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4897100" y="5503656"/>
          <a:ext cx="3646580" cy="2916444"/>
        </a:xfrm>
        <a:prstGeom prst="rect">
          <a:avLst/>
        </a:prstGeom>
      </xdr:spPr>
    </xdr:pic>
    <xdr:clientData/>
  </xdr:twoCellAnchor>
  <xdr:twoCellAnchor editAs="oneCell">
    <xdr:from>
      <xdr:col>13</xdr:col>
      <xdr:colOff>657630</xdr:colOff>
      <xdr:row>39</xdr:row>
      <xdr:rowOff>241300</xdr:rowOff>
    </xdr:from>
    <xdr:to>
      <xdr:col>17</xdr:col>
      <xdr:colOff>826448</xdr:colOff>
      <xdr:row>50</xdr:row>
      <xdr:rowOff>162202</xdr:rowOff>
    </xdr:to>
    <xdr:pic>
      <xdr:nvPicPr>
        <xdr:cNvPr id="6" name="Picture 5" descr="Hal-ost-RR-02.png"/>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4932430" y="8496300"/>
          <a:ext cx="3521618" cy="2816502"/>
        </a:xfrm>
        <a:prstGeom prst="rect">
          <a:avLst/>
        </a:prstGeom>
      </xdr:spPr>
    </xdr:pic>
    <xdr:clientData/>
  </xdr:twoCellAnchor>
  <xdr:twoCellAnchor editAs="oneCell">
    <xdr:from>
      <xdr:col>18</xdr:col>
      <xdr:colOff>165100</xdr:colOff>
      <xdr:row>39</xdr:row>
      <xdr:rowOff>126960</xdr:rowOff>
    </xdr:from>
    <xdr:to>
      <xdr:col>22</xdr:col>
      <xdr:colOff>279400</xdr:colOff>
      <xdr:row>50</xdr:row>
      <xdr:rowOff>179465</xdr:rowOff>
    </xdr:to>
    <xdr:pic>
      <xdr:nvPicPr>
        <xdr:cNvPr id="7" name="Picture 6" descr="Hal-ost-RR-02-count.png"/>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8630900" y="8381960"/>
          <a:ext cx="3467100" cy="2948105"/>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12</xdr:col>
      <xdr:colOff>38100</xdr:colOff>
      <xdr:row>5</xdr:row>
      <xdr:rowOff>568713</xdr:rowOff>
    </xdr:from>
    <xdr:to>
      <xdr:col>16</xdr:col>
      <xdr:colOff>610549</xdr:colOff>
      <xdr:row>17</xdr:row>
      <xdr:rowOff>35201</xdr:rowOff>
    </xdr:to>
    <xdr:pic>
      <xdr:nvPicPr>
        <xdr:cNvPr id="4" name="Picture 3" descr="Hal-ost-RR-14.png"/>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629900" y="1953013"/>
          <a:ext cx="3874449" cy="3098688"/>
        </a:xfrm>
        <a:prstGeom prst="rect">
          <a:avLst/>
        </a:prstGeom>
      </xdr:spPr>
    </xdr:pic>
    <xdr:clientData/>
  </xdr:twoCellAnchor>
  <xdr:twoCellAnchor editAs="oneCell">
    <xdr:from>
      <xdr:col>12</xdr:col>
      <xdr:colOff>38100</xdr:colOff>
      <xdr:row>17</xdr:row>
      <xdr:rowOff>142055</xdr:rowOff>
    </xdr:from>
    <xdr:to>
      <xdr:col>16</xdr:col>
      <xdr:colOff>591865</xdr:colOff>
      <xdr:row>28</xdr:row>
      <xdr:rowOff>177800</xdr:rowOff>
    </xdr:to>
    <xdr:pic>
      <xdr:nvPicPr>
        <xdr:cNvPr id="5" name="Picture 4" descr="Hal-ost-RR-34.png"/>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0629900" y="5158555"/>
          <a:ext cx="3855765" cy="3083745"/>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12</xdr:col>
      <xdr:colOff>749300</xdr:colOff>
      <xdr:row>29</xdr:row>
      <xdr:rowOff>76200</xdr:rowOff>
    </xdr:from>
    <xdr:to>
      <xdr:col>17</xdr:col>
      <xdr:colOff>432749</xdr:colOff>
      <xdr:row>44</xdr:row>
      <xdr:rowOff>126888</xdr:rowOff>
    </xdr:to>
    <xdr:pic>
      <xdr:nvPicPr>
        <xdr:cNvPr id="3" name="Picture 2" descr="Hal-ost-RR-14.png"/>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3703300" y="5816600"/>
          <a:ext cx="3874449" cy="3098688"/>
        </a:xfrm>
        <a:prstGeom prst="rect">
          <a:avLst/>
        </a:prstGeom>
      </xdr:spPr>
    </xdr:pic>
    <xdr:clientData/>
  </xdr:twoCellAnchor>
  <xdr:twoCellAnchor editAs="oneCell">
    <xdr:from>
      <xdr:col>13</xdr:col>
      <xdr:colOff>0</xdr:colOff>
      <xdr:row>49</xdr:row>
      <xdr:rowOff>114300</xdr:rowOff>
    </xdr:from>
    <xdr:to>
      <xdr:col>17</xdr:col>
      <xdr:colOff>502965</xdr:colOff>
      <xdr:row>65</xdr:row>
      <xdr:rowOff>150045</xdr:rowOff>
    </xdr:to>
    <xdr:pic>
      <xdr:nvPicPr>
        <xdr:cNvPr id="4" name="Picture 3" descr="Hal-ost-RR-34.png"/>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3792200" y="10045700"/>
          <a:ext cx="3855765" cy="3083745"/>
        </a:xfrm>
        <a:prstGeom prst="rect">
          <a:avLst/>
        </a:prstGeom>
      </xdr:spPr>
    </xdr:pic>
    <xdr:clientData/>
  </xdr:twoCellAnchor>
  <xdr:twoCellAnchor editAs="oneCell">
    <xdr:from>
      <xdr:col>14</xdr:col>
      <xdr:colOff>0</xdr:colOff>
      <xdr:row>94</xdr:row>
      <xdr:rowOff>0</xdr:rowOff>
    </xdr:from>
    <xdr:to>
      <xdr:col>19</xdr:col>
      <xdr:colOff>43618</xdr:colOff>
      <xdr:row>110</xdr:row>
      <xdr:rowOff>144127</xdr:rowOff>
    </xdr:to>
    <xdr:pic>
      <xdr:nvPicPr>
        <xdr:cNvPr id="5" name="Picture 4" descr="Hal-cho-RR-10.png"/>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4630400" y="18503900"/>
          <a:ext cx="4234618" cy="3382627"/>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7</xdr:col>
      <xdr:colOff>406400</xdr:colOff>
      <xdr:row>29</xdr:row>
      <xdr:rowOff>71120</xdr:rowOff>
    </xdr:from>
    <xdr:to>
      <xdr:col>10</xdr:col>
      <xdr:colOff>469899</xdr:colOff>
      <xdr:row>42</xdr:row>
      <xdr:rowOff>63499</xdr:rowOff>
    </xdr:to>
    <xdr:pic>
      <xdr:nvPicPr>
        <xdr:cNvPr id="2" name="Picture 1" descr="Hal-ost-RR-17.tif"/>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7962900" y="6624320"/>
          <a:ext cx="3594099" cy="2875279"/>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5</xdr:col>
      <xdr:colOff>774700</xdr:colOff>
      <xdr:row>5</xdr:row>
      <xdr:rowOff>76200</xdr:rowOff>
    </xdr:from>
    <xdr:to>
      <xdr:col>7</xdr:col>
      <xdr:colOff>609600</xdr:colOff>
      <xdr:row>14</xdr:row>
      <xdr:rowOff>88900</xdr:rowOff>
    </xdr:to>
    <xdr:pic>
      <xdr:nvPicPr>
        <xdr:cNvPr id="2" name="Picture 1" descr="Hal-RR-cho-C-03.tif"/>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6540500" y="1028700"/>
          <a:ext cx="2159000" cy="1727200"/>
        </a:xfrm>
        <a:prstGeom prst="rect">
          <a:avLst/>
        </a:prstGeom>
      </xdr:spPr>
    </xdr:pic>
    <xdr:clientData/>
  </xdr:twoCellAnchor>
  <xdr:twoCellAnchor editAs="oneCell">
    <xdr:from>
      <xdr:col>7</xdr:col>
      <xdr:colOff>736600</xdr:colOff>
      <xdr:row>5</xdr:row>
      <xdr:rowOff>76200</xdr:rowOff>
    </xdr:from>
    <xdr:to>
      <xdr:col>9</xdr:col>
      <xdr:colOff>825500</xdr:colOff>
      <xdr:row>14</xdr:row>
      <xdr:rowOff>88900</xdr:rowOff>
    </xdr:to>
    <xdr:pic>
      <xdr:nvPicPr>
        <xdr:cNvPr id="3" name="Picture 2" descr="Hal-cho-RR-06.tif"/>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8826500" y="1028700"/>
          <a:ext cx="2159000" cy="1727200"/>
        </a:xfrm>
        <a:prstGeom prst="rect">
          <a:avLst/>
        </a:prstGeom>
      </xdr:spPr>
    </xdr:pic>
    <xdr:clientData/>
  </xdr:twoCellAnchor>
  <xdr:twoCellAnchor editAs="oneCell">
    <xdr:from>
      <xdr:col>15</xdr:col>
      <xdr:colOff>279400</xdr:colOff>
      <xdr:row>25</xdr:row>
      <xdr:rowOff>165100</xdr:rowOff>
    </xdr:from>
    <xdr:to>
      <xdr:col>16</xdr:col>
      <xdr:colOff>1136650</xdr:colOff>
      <xdr:row>31</xdr:row>
      <xdr:rowOff>50800</xdr:rowOff>
    </xdr:to>
    <xdr:pic>
      <xdr:nvPicPr>
        <xdr:cNvPr id="4" name="Picture 3" descr="Hal-cho-RR-05.tif"/>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7233900" y="6667500"/>
          <a:ext cx="2000250" cy="1600200"/>
        </a:xfrm>
        <a:prstGeom prst="rect">
          <a:avLst/>
        </a:prstGeom>
      </xdr:spPr>
    </xdr:pic>
    <xdr:clientData/>
  </xdr:twoCellAnchor>
  <xdr:twoCellAnchor editAs="oneCell">
    <xdr:from>
      <xdr:col>16</xdr:col>
      <xdr:colOff>1206500</xdr:colOff>
      <xdr:row>29</xdr:row>
      <xdr:rowOff>7620</xdr:rowOff>
    </xdr:from>
    <xdr:to>
      <xdr:col>18</xdr:col>
      <xdr:colOff>622300</xdr:colOff>
      <xdr:row>36</xdr:row>
      <xdr:rowOff>127000</xdr:rowOff>
    </xdr:to>
    <xdr:pic>
      <xdr:nvPicPr>
        <xdr:cNvPr id="5" name="Picture 4" descr="Hal-cho-RR-06.tif"/>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9304000" y="7843520"/>
          <a:ext cx="1816100" cy="1452880"/>
        </a:xfrm>
        <a:prstGeom prst="rect">
          <a:avLst/>
        </a:prstGeom>
      </xdr:spPr>
    </xdr:pic>
    <xdr:clientData/>
  </xdr:twoCellAnchor>
  <xdr:twoCellAnchor editAs="oneCell">
    <xdr:from>
      <xdr:col>15</xdr:col>
      <xdr:colOff>215900</xdr:colOff>
      <xdr:row>34</xdr:row>
      <xdr:rowOff>175260</xdr:rowOff>
    </xdr:from>
    <xdr:to>
      <xdr:col>16</xdr:col>
      <xdr:colOff>647700</xdr:colOff>
      <xdr:row>41</xdr:row>
      <xdr:rowOff>101600</xdr:rowOff>
    </xdr:to>
    <xdr:pic>
      <xdr:nvPicPr>
        <xdr:cNvPr id="6" name="Picture 5" descr="Hal-ost-RR-23.tif"/>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170400" y="8963660"/>
          <a:ext cx="1574800" cy="1259840"/>
        </a:xfrm>
        <a:prstGeom prst="rect">
          <a:avLst/>
        </a:prstGeom>
      </xdr:spPr>
    </xdr:pic>
    <xdr:clientData/>
  </xdr:twoCellAnchor>
  <xdr:twoCellAnchor editAs="oneCell">
    <xdr:from>
      <xdr:col>16</xdr:col>
      <xdr:colOff>787400</xdr:colOff>
      <xdr:row>38</xdr:row>
      <xdr:rowOff>147320</xdr:rowOff>
    </xdr:from>
    <xdr:to>
      <xdr:col>18</xdr:col>
      <xdr:colOff>520700</xdr:colOff>
      <xdr:row>47</xdr:row>
      <xdr:rowOff>139700</xdr:rowOff>
    </xdr:to>
    <xdr:pic>
      <xdr:nvPicPr>
        <xdr:cNvPr id="7" name="Picture 6" descr="Hal-ost-RR-25.tif"/>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8884900" y="9697720"/>
          <a:ext cx="2133600" cy="1706880"/>
        </a:xfrm>
        <a:prstGeom prst="rect">
          <a:avLst/>
        </a:prstGeom>
      </xdr:spPr>
    </xdr:pic>
    <xdr:clientData/>
  </xdr:twoCellAnchor>
  <xdr:twoCellAnchor editAs="oneCell">
    <xdr:from>
      <xdr:col>15</xdr:col>
      <xdr:colOff>215900</xdr:colOff>
      <xdr:row>47</xdr:row>
      <xdr:rowOff>0</xdr:rowOff>
    </xdr:from>
    <xdr:to>
      <xdr:col>16</xdr:col>
      <xdr:colOff>1231900</xdr:colOff>
      <xdr:row>56</xdr:row>
      <xdr:rowOff>12700</xdr:rowOff>
    </xdr:to>
    <xdr:pic>
      <xdr:nvPicPr>
        <xdr:cNvPr id="21" name="Picture 20" descr="Hal-RR-cho-C-03.tif"/>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7170400" y="11264900"/>
          <a:ext cx="2159000" cy="1727200"/>
        </a:xfrm>
        <a:prstGeom prst="rect">
          <a:avLst/>
        </a:prstGeom>
      </xdr:spPr>
    </xdr:pic>
    <xdr:clientData/>
  </xdr:twoCellAnchor>
  <xdr:twoCellAnchor editAs="oneCell">
    <xdr:from>
      <xdr:col>15</xdr:col>
      <xdr:colOff>165100</xdr:colOff>
      <xdr:row>56</xdr:row>
      <xdr:rowOff>81280</xdr:rowOff>
    </xdr:from>
    <xdr:to>
      <xdr:col>16</xdr:col>
      <xdr:colOff>1016000</xdr:colOff>
      <xdr:row>64</xdr:row>
      <xdr:rowOff>152400</xdr:rowOff>
    </xdr:to>
    <xdr:pic>
      <xdr:nvPicPr>
        <xdr:cNvPr id="8" name="Picture 7" descr="Hal-ost-RR-20.tif"/>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7119600" y="13060680"/>
          <a:ext cx="1993900" cy="1595120"/>
        </a:xfrm>
        <a:prstGeom prst="rect">
          <a:avLst/>
        </a:prstGeom>
      </xdr:spPr>
    </xdr:pic>
    <xdr:clientData/>
  </xdr:twoCellAnchor>
  <xdr:twoCellAnchor editAs="oneCell">
    <xdr:from>
      <xdr:col>16</xdr:col>
      <xdr:colOff>1130300</xdr:colOff>
      <xdr:row>56</xdr:row>
      <xdr:rowOff>76200</xdr:rowOff>
    </xdr:from>
    <xdr:to>
      <xdr:col>18</xdr:col>
      <xdr:colOff>762000</xdr:colOff>
      <xdr:row>64</xdr:row>
      <xdr:rowOff>177800</xdr:rowOff>
    </xdr:to>
    <xdr:pic>
      <xdr:nvPicPr>
        <xdr:cNvPr id="9" name="Picture 8" descr="Hal-ost-RR-22.tif"/>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9227800" y="13055600"/>
          <a:ext cx="2032000" cy="1625600"/>
        </a:xfrm>
        <a:prstGeom prst="rect">
          <a:avLst/>
        </a:prstGeom>
      </xdr:spPr>
    </xdr:pic>
    <xdr:clientData/>
  </xdr:twoCellAnchor>
  <xdr:twoCellAnchor editAs="oneCell">
    <xdr:from>
      <xdr:col>18</xdr:col>
      <xdr:colOff>901700</xdr:colOff>
      <xdr:row>56</xdr:row>
      <xdr:rowOff>76200</xdr:rowOff>
    </xdr:from>
    <xdr:to>
      <xdr:col>20</xdr:col>
      <xdr:colOff>596899</xdr:colOff>
      <xdr:row>65</xdr:row>
      <xdr:rowOff>38099</xdr:rowOff>
    </xdr:to>
    <xdr:pic>
      <xdr:nvPicPr>
        <xdr:cNvPr id="10" name="Picture 9" descr="Hal-RR-cho-C-02.tif"/>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21399500" y="13055600"/>
          <a:ext cx="2095499" cy="1676399"/>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9</xdr:col>
      <xdr:colOff>596900</xdr:colOff>
      <xdr:row>17</xdr:row>
      <xdr:rowOff>38100</xdr:rowOff>
    </xdr:from>
    <xdr:to>
      <xdr:col>14</xdr:col>
      <xdr:colOff>640518</xdr:colOff>
      <xdr:row>34</xdr:row>
      <xdr:rowOff>182227</xdr:rowOff>
    </xdr:to>
    <xdr:pic>
      <xdr:nvPicPr>
        <xdr:cNvPr id="4" name="Picture 3" descr="Hal-cho-RR-10.png"/>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9029700" y="5156200"/>
          <a:ext cx="4234618" cy="3382627"/>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13</xdr:col>
      <xdr:colOff>0</xdr:colOff>
      <xdr:row>37</xdr:row>
      <xdr:rowOff>0</xdr:rowOff>
    </xdr:from>
    <xdr:to>
      <xdr:col>17</xdr:col>
      <xdr:colOff>216849</xdr:colOff>
      <xdr:row>53</xdr:row>
      <xdr:rowOff>50688</xdr:rowOff>
    </xdr:to>
    <xdr:pic>
      <xdr:nvPicPr>
        <xdr:cNvPr id="3" name="Picture 2" descr="Hal-ost-RR-14.png"/>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1188700" y="7823200"/>
          <a:ext cx="3874449" cy="3098688"/>
        </a:xfrm>
        <a:prstGeom prst="rect">
          <a:avLst/>
        </a:prstGeom>
      </xdr:spPr>
    </xdr:pic>
    <xdr:clientData/>
  </xdr:twoCellAnchor>
  <xdr:twoCellAnchor editAs="oneCell">
    <xdr:from>
      <xdr:col>13</xdr:col>
      <xdr:colOff>241300</xdr:colOff>
      <xdr:row>61</xdr:row>
      <xdr:rowOff>215900</xdr:rowOff>
    </xdr:from>
    <xdr:to>
      <xdr:col>17</xdr:col>
      <xdr:colOff>439465</xdr:colOff>
      <xdr:row>76</xdr:row>
      <xdr:rowOff>61145</xdr:rowOff>
    </xdr:to>
    <xdr:pic>
      <xdr:nvPicPr>
        <xdr:cNvPr id="4" name="Picture 3" descr="Hal-ost-RR-34.png"/>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1430000" y="12611100"/>
          <a:ext cx="3855765" cy="3083745"/>
        </a:xfrm>
        <a:prstGeom prst="rect">
          <a:avLst/>
        </a:prstGeom>
      </xdr:spPr>
    </xdr:pic>
    <xdr:clientData/>
  </xdr:twoCellAnchor>
  <xdr:twoCellAnchor editAs="oneCell">
    <xdr:from>
      <xdr:col>12</xdr:col>
      <xdr:colOff>812800</xdr:colOff>
      <xdr:row>95</xdr:row>
      <xdr:rowOff>125260</xdr:rowOff>
    </xdr:from>
    <xdr:to>
      <xdr:col>17</xdr:col>
      <xdr:colOff>564318</xdr:colOff>
      <xdr:row>111</xdr:row>
      <xdr:rowOff>78887</xdr:rowOff>
    </xdr:to>
    <xdr:pic>
      <xdr:nvPicPr>
        <xdr:cNvPr id="2" name="Picture 1" descr="Hal-cho-RR-10.png"/>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1176000" y="19378460"/>
          <a:ext cx="4234618" cy="3382627"/>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7</xdr:col>
      <xdr:colOff>50800</xdr:colOff>
      <xdr:row>2</xdr:row>
      <xdr:rowOff>92076</xdr:rowOff>
    </xdr:from>
    <xdr:to>
      <xdr:col>10</xdr:col>
      <xdr:colOff>634998</xdr:colOff>
      <xdr:row>14</xdr:row>
      <xdr:rowOff>101600</xdr:rowOff>
    </xdr:to>
    <xdr:pic>
      <xdr:nvPicPr>
        <xdr:cNvPr id="2" name="Picture 1" descr="P1060204.JPG"/>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5956300" y="473076"/>
          <a:ext cx="3060698" cy="2295524"/>
        </a:xfrm>
        <a:prstGeom prst="rect">
          <a:avLst/>
        </a:prstGeom>
      </xdr:spPr>
    </xdr:pic>
    <xdr:clientData/>
  </xdr:twoCellAnchor>
  <xdr:twoCellAnchor editAs="oneCell">
    <xdr:from>
      <xdr:col>11</xdr:col>
      <xdr:colOff>114299</xdr:colOff>
      <xdr:row>2</xdr:row>
      <xdr:rowOff>69850</xdr:rowOff>
    </xdr:from>
    <xdr:to>
      <xdr:col>14</xdr:col>
      <xdr:colOff>711199</xdr:colOff>
      <xdr:row>14</xdr:row>
      <xdr:rowOff>88900</xdr:rowOff>
    </xdr:to>
    <xdr:pic>
      <xdr:nvPicPr>
        <xdr:cNvPr id="3" name="Picture 2" descr="P1060616.JPG"/>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9321799" y="450850"/>
          <a:ext cx="3073400" cy="2305050"/>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Users/danielleludeman/Documents/MSc/Paper-Cost%20of%20Filtration/Morphometric%20summaries.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Users/danielleludeman/Documents/MSc/SEM%20photos/Cliona%20delitrix/Cliona%20-%20Measurements%20of%20canal%20system-v1.xlsx"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Users/danielleludeman/Documents/MSc/Measurements%20of%20AV%20canal%20system-2011-09-191.xlsx" TargetMode="External"/></Relationships>
</file>

<file path=xl/externalLinks/externalLink1.xml><?xml version="1.0" encoding="utf-8"?>
<externalLink xmlns="http://schemas.openxmlformats.org/spreadsheetml/2006/main">
  <externalBook xmlns:r="http://schemas.openxmlformats.org/officeDocument/2006/relationships" r:id="rId1">
    <sheetNames>
      <sheetName val="Neopetrosia"/>
      <sheetName val="Haliclona"/>
      <sheetName val="Tethya"/>
      <sheetName val="Callyspongia"/>
      <sheetName val="Cliona"/>
      <sheetName val="Table 1"/>
      <sheetName val="Table 2"/>
      <sheetName val="Graphs"/>
      <sheetName val="Comparison"/>
      <sheetName val="Velocities from Karen"/>
    </sheetNames>
    <sheetDataSet>
      <sheetData sheetId="0">
        <row r="15">
          <cell r="B15" t="str">
            <v xml:space="preserve">Excurrent velocity (m/s) </v>
          </cell>
        </row>
      </sheetData>
      <sheetData sheetId="1">
        <row r="1">
          <cell r="B1"/>
        </row>
        <row r="13">
          <cell r="C13"/>
        </row>
        <row r="17">
          <cell r="C17">
            <v>48.587799054395688</v>
          </cell>
          <cell r="H17"/>
          <cell r="K17" t="str">
            <v># chambers in 1mm3</v>
          </cell>
        </row>
        <row r="18">
          <cell r="C18">
            <v>2668</v>
          </cell>
          <cell r="H18"/>
          <cell r="K18" t="str">
            <v># chambers/sponge</v>
          </cell>
        </row>
        <row r="19">
          <cell r="C19"/>
          <cell r="H19"/>
          <cell r="K19" t="str">
            <v>Est # collars per chamber</v>
          </cell>
        </row>
        <row r="22">
          <cell r="C22" t="str">
            <v>Diameter (um)</v>
          </cell>
          <cell r="H22" t="str">
            <v>XS area (mm2) of aquiferous system in 1mm3  pieces</v>
          </cell>
          <cell r="K22" t="str">
            <v xml:space="preserve">Velocity (per opening, m/s) </v>
          </cell>
        </row>
        <row r="23">
          <cell r="C23">
            <v>14.283964285714285</v>
          </cell>
          <cell r="H23">
            <v>4.4375139943068874E-2</v>
          </cell>
          <cell r="K23">
            <v>2.2617817404644979E-3</v>
          </cell>
        </row>
        <row r="24">
          <cell r="C24">
            <v>94.965272727272747</v>
          </cell>
          <cell r="H24">
            <v>1.0960936952266178</v>
          </cell>
          <cell r="K24">
            <v>9.1567793602753174E-5</v>
          </cell>
        </row>
        <row r="25">
          <cell r="C25">
            <v>332.62233333333336</v>
          </cell>
          <cell r="H25">
            <v>0.1442814522431346</v>
          </cell>
          <cell r="K25">
            <v>1.408656007956114E-4</v>
          </cell>
        </row>
        <row r="26">
          <cell r="C26">
            <v>140.34078571428572</v>
          </cell>
          <cell r="H26">
            <v>3.2127633202596567E-2</v>
          </cell>
          <cell r="K26">
            <v>6.3261097777504043E-4</v>
          </cell>
        </row>
        <row r="27">
          <cell r="C27">
            <v>51.276387668918915</v>
          </cell>
          <cell r="H27">
            <v>4.1574365485735044E-2</v>
          </cell>
          <cell r="K27">
            <v>4.8886599269605492E-4</v>
          </cell>
        </row>
        <row r="30">
          <cell r="C30">
            <v>0.16566666666666663</v>
          </cell>
          <cell r="H30">
            <v>5.4551985641710203</v>
          </cell>
          <cell r="K30">
            <v>3.7256743663520482E-6</v>
          </cell>
        </row>
        <row r="31">
          <cell r="C31">
            <v>3.2782142857142857</v>
          </cell>
          <cell r="H31">
            <v>4.050291487139388</v>
          </cell>
          <cell r="K31">
            <v>5.0179829077553552E-6</v>
          </cell>
        </row>
      </sheetData>
      <sheetData sheetId="2"/>
      <sheetData sheetId="3"/>
      <sheetData sheetId="4"/>
      <sheetData sheetId="5"/>
      <sheetData sheetId="6"/>
      <sheetData sheetId="7"/>
      <sheetData sheetId="8"/>
      <sheetData sheetId="9"/>
    </sheetDataSet>
  </externalBook>
</externalLink>
</file>

<file path=xl/externalLinks/externalLink2.xml><?xml version="1.0" encoding="utf-8"?>
<externalLink xmlns="http://schemas.openxmlformats.org/spreadsheetml/2006/main">
  <externalBook xmlns:r="http://schemas.openxmlformats.org/officeDocument/2006/relationships" r:id="rId1">
    <sheetNames>
      <sheetName val="Summary"/>
      <sheetName val="Ostia"/>
      <sheetName val="Subdermal space"/>
      <sheetName val="Canals"/>
      <sheetName val="Prosopyles"/>
      <sheetName val="Collars"/>
      <sheetName val="Choanocyte Chambers"/>
      <sheetName val="Apopyle"/>
      <sheetName val="Osculum"/>
      <sheetName val="Sponge Volume"/>
      <sheetName val="Comparison table"/>
    </sheetNames>
    <sheetDataSet>
      <sheetData sheetId="0"/>
      <sheetData sheetId="1"/>
      <sheetData sheetId="2"/>
      <sheetData sheetId="3"/>
      <sheetData sheetId="4"/>
      <sheetData sheetId="5"/>
      <sheetData sheetId="6"/>
      <sheetData sheetId="7"/>
      <sheetData sheetId="8"/>
      <sheetData sheetId="9"/>
      <sheetData sheetId="10"/>
    </sheetDataSet>
  </externalBook>
</externalLink>
</file>

<file path=xl/externalLinks/externalLink3.xml><?xml version="1.0" encoding="utf-8"?>
<externalLink xmlns="http://schemas.openxmlformats.org/spreadsheetml/2006/main">
  <externalBook xmlns:r="http://schemas.openxmlformats.org/officeDocument/2006/relationships" r:id="rId1">
    <sheetNames>
      <sheetName val="Summary"/>
      <sheetName val="Summary (2)"/>
      <sheetName val="Table 1."/>
      <sheetName val="Table 3. Predicted passive"/>
      <sheetName val="Sup. Table 2. Sponge sizes"/>
      <sheetName val="Active pumping"/>
      <sheetName val="Ostia"/>
      <sheetName val="Subdermal space"/>
      <sheetName val="incurrent canals"/>
      <sheetName val="prosopyle"/>
      <sheetName val="collars "/>
      <sheetName val="Flagellated chambers"/>
      <sheetName val="excurrent canals"/>
      <sheetName val="Table 1. for sigma plot"/>
      <sheetName val="Recalc of mesh DH"/>
      <sheetName val="Comparison table for paper"/>
    </sheetNames>
    <sheetDataSet>
      <sheetData sheetId="0"/>
      <sheetData sheetId="1"/>
      <sheetData sheetId="2"/>
      <sheetData sheetId="3"/>
      <sheetData sheetId="4">
        <row r="17">
          <cell r="E17">
            <v>4.4733679854839021</v>
          </cell>
          <cell r="F17">
            <v>0.30442857142857138</v>
          </cell>
        </row>
      </sheetData>
      <sheetData sheetId="5"/>
      <sheetData sheetId="6"/>
      <sheetData sheetId="7"/>
      <sheetData sheetId="8"/>
      <sheetData sheetId="9"/>
      <sheetData sheetId="10"/>
      <sheetData sheetId="11"/>
      <sheetData sheetId="12"/>
      <sheetData sheetId="13"/>
      <sheetData sheetId="14"/>
      <sheetData sheetId="15"/>
    </sheetDataSet>
  </externalBook>
</externalLink>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tint val="100000"/>
                <a:shade val="100000"/>
                <a:satMod val="130000"/>
              </a:schemeClr>
            </a:gs>
            <a:gs pos="100000">
              <a:schemeClr val="phClr">
                <a:tint val="50000"/>
                <a:shade val="100000"/>
                <a:satMod val="350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spDef>
      <a:spPr/>
      <a:bodyPr/>
      <a:lstStyle/>
      <a:style>
        <a:lnRef idx="1">
          <a:schemeClr val="accent1"/>
        </a:lnRef>
        <a:fillRef idx="3">
          <a:schemeClr val="accent1"/>
        </a:fillRef>
        <a:effectRef idx="2">
          <a:schemeClr val="accent1"/>
        </a:effectRef>
        <a:fontRef idx="minor">
          <a:schemeClr val="lt1"/>
        </a:fontRef>
      </a:style>
    </a:spDef>
    <a:lnDef>
      <a:spPr/>
      <a:bodyPr/>
      <a:lstStyle/>
      <a:style>
        <a:lnRef idx="2">
          <a:schemeClr val="accent1"/>
        </a:lnRef>
        <a:fillRef idx="0">
          <a:schemeClr val="accent1"/>
        </a:fillRef>
        <a:effectRef idx="1">
          <a:schemeClr val="accent1"/>
        </a:effectRef>
        <a:fontRef idx="minor">
          <a:schemeClr val="tx1"/>
        </a:fontRef>
      </a:style>
    </a:lnDef>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vmlDrawing" Target="../drawings/vmlDrawing1.vml"/><Relationship Id="rId2" Type="http://schemas.openxmlformats.org/officeDocument/2006/relationships/comments" Target="../comments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 Id="rId2" Type="http://schemas.openxmlformats.org/officeDocument/2006/relationships/vmlDrawing" Target="../drawings/vmlDrawing2.vml"/><Relationship Id="rId3" Type="http://schemas.openxmlformats.org/officeDocument/2006/relationships/comments" Target="../comments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 Id="rId2" Type="http://schemas.openxmlformats.org/officeDocument/2006/relationships/vmlDrawing" Target="../drawings/vmlDrawing3.vml"/><Relationship Id="rId3" Type="http://schemas.openxmlformats.org/officeDocument/2006/relationships/comments" Target="../comments3.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3.xml"/><Relationship Id="rId2" Type="http://schemas.openxmlformats.org/officeDocument/2006/relationships/vmlDrawing" Target="../drawings/vmlDrawing4.vml"/><Relationship Id="rId3" Type="http://schemas.openxmlformats.org/officeDocument/2006/relationships/comments" Target="../comments4.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5.xml"/><Relationship Id="rId2" Type="http://schemas.openxmlformats.org/officeDocument/2006/relationships/vmlDrawing" Target="../drawings/vmlDrawing5.vml"/><Relationship Id="rId3" Type="http://schemas.openxmlformats.org/officeDocument/2006/relationships/comments" Target="../comments5.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6.xml"/><Relationship Id="rId2" Type="http://schemas.openxmlformats.org/officeDocument/2006/relationships/vmlDrawing" Target="../drawings/vmlDrawing6.vml"/><Relationship Id="rId3" Type="http://schemas.openxmlformats.org/officeDocument/2006/relationships/comments" Target="../comments6.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 Id="rId2" Type="http://schemas.openxmlformats.org/officeDocument/2006/relationships/vmlDrawing" Target="../drawings/vmlDrawing7.vml"/><Relationship Id="rId3" Type="http://schemas.openxmlformats.org/officeDocument/2006/relationships/comments" Target="../comments7.xml"/></Relationships>
</file>

<file path=xl/worksheets/_rels/sheet10.xml.rels><?xml version="1.0" encoding="UTF-8" standalone="yes"?>
<Relationships xmlns="http://schemas.openxmlformats.org/package/2006/relationships"><Relationship Id="rId1" Type="http://schemas.openxmlformats.org/officeDocument/2006/relationships/vmlDrawing" Target="../drawings/vmlDrawing8.vml"/><Relationship Id="rId2" Type="http://schemas.openxmlformats.org/officeDocument/2006/relationships/comments" Target="../comments8.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2.xml.rels><?xml version="1.0" encoding="UTF-8" standalone="yes"?>
<Relationships xmlns="http://schemas.openxmlformats.org/package/2006/relationships"><Relationship Id="rId1" Type="http://schemas.openxmlformats.org/officeDocument/2006/relationships/vmlDrawing" Target="../drawings/vmlDrawing9.vml"/><Relationship Id="rId2" Type="http://schemas.openxmlformats.org/officeDocument/2006/relationships/comments" Target="../comments9.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1:AD54"/>
  <sheetViews>
    <sheetView tabSelected="1" topLeftCell="G21" workbookViewId="0">
      <selection activeCell="L22" sqref="L22:N38"/>
    </sheetView>
  </sheetViews>
  <sheetFormatPr baseColWidth="10" defaultColWidth="11" defaultRowHeight="15" x14ac:dyDescent="0"/>
  <cols>
    <col min="1" max="1" width="27.83203125" customWidth="1"/>
    <col min="2" max="2" width="21.1640625" customWidth="1"/>
    <col min="3" max="3" width="12.1640625" bestFit="1" customWidth="1"/>
    <col min="8" max="8" width="12.1640625" bestFit="1" customWidth="1"/>
    <col min="10" max="10" width="18.83203125" customWidth="1"/>
    <col min="11" max="11" width="17.5" customWidth="1"/>
    <col min="12" max="12" width="12.1640625" bestFit="1" customWidth="1"/>
    <col min="13" max="13" width="12.5" customWidth="1"/>
    <col min="14" max="14" width="14.33203125" customWidth="1"/>
    <col min="16" max="16" width="13" customWidth="1"/>
    <col min="18" max="18" width="12.1640625" bestFit="1" customWidth="1"/>
    <col min="19" max="19" width="12.1640625" customWidth="1"/>
    <col min="21" max="21" width="16.83203125" bestFit="1" customWidth="1"/>
    <col min="22" max="22" width="13.5" customWidth="1"/>
    <col min="25" max="25" width="12.1640625" bestFit="1" customWidth="1"/>
    <col min="28" max="28" width="11.1640625" bestFit="1" customWidth="1"/>
  </cols>
  <sheetData>
    <row r="1" spans="1:15" ht="20">
      <c r="A1" s="204" t="s">
        <v>322</v>
      </c>
      <c r="B1" s="15"/>
      <c r="C1" s="15"/>
    </row>
    <row r="2" spans="1:15">
      <c r="A2" s="28"/>
      <c r="B2" s="15"/>
      <c r="C2" s="15"/>
    </row>
    <row r="3" spans="1:15">
      <c r="A3" s="28" t="s">
        <v>323</v>
      </c>
      <c r="C3" s="9"/>
    </row>
    <row r="4" spans="1:15">
      <c r="A4" s="205" t="s">
        <v>324</v>
      </c>
      <c r="C4" s="9"/>
    </row>
    <row r="5" spans="1:15">
      <c r="A5" s="205" t="s">
        <v>325</v>
      </c>
      <c r="C5" s="9"/>
    </row>
    <row r="6" spans="1:15">
      <c r="A6" s="205" t="s">
        <v>326</v>
      </c>
      <c r="C6" s="9"/>
    </row>
    <row r="7" spans="1:15">
      <c r="A7" s="205"/>
      <c r="B7" s="15"/>
      <c r="C7" s="15"/>
    </row>
    <row r="8" spans="1:15">
      <c r="A8" s="205" t="s">
        <v>327</v>
      </c>
      <c r="B8" s="15"/>
      <c r="C8" s="15"/>
    </row>
    <row r="9" spans="1:15">
      <c r="A9" s="28"/>
      <c r="C9" s="9"/>
    </row>
    <row r="10" spans="1:15">
      <c r="A10" s="205" t="s">
        <v>328</v>
      </c>
      <c r="C10" s="9"/>
    </row>
    <row r="11" spans="1:15">
      <c r="A11" s="28" t="s">
        <v>329</v>
      </c>
      <c r="C11" s="9"/>
    </row>
    <row r="12" spans="1:15">
      <c r="A12" s="28" t="s">
        <v>330</v>
      </c>
      <c r="C12" s="9"/>
    </row>
    <row r="13" spans="1:15">
      <c r="C13" s="9"/>
    </row>
    <row r="15" spans="1:15" ht="70">
      <c r="A15" s="146" t="s">
        <v>226</v>
      </c>
      <c r="B15" s="147" t="s">
        <v>227</v>
      </c>
      <c r="C15" s="147" t="s">
        <v>228</v>
      </c>
      <c r="D15" s="148" t="s">
        <v>229</v>
      </c>
      <c r="E15" s="149" t="s">
        <v>230</v>
      </c>
      <c r="F15" s="149" t="s">
        <v>231</v>
      </c>
      <c r="G15" s="150" t="s">
        <v>232</v>
      </c>
      <c r="H15" s="148" t="s">
        <v>233</v>
      </c>
      <c r="I15" s="148" t="s">
        <v>234</v>
      </c>
      <c r="J15" s="151" t="s">
        <v>235</v>
      </c>
      <c r="K15" s="152" t="s">
        <v>236</v>
      </c>
      <c r="L15" s="153" t="s">
        <v>237</v>
      </c>
      <c r="M15" s="154" t="s">
        <v>238</v>
      </c>
      <c r="N15" s="155"/>
      <c r="O15" s="15"/>
    </row>
    <row r="16" spans="1:15">
      <c r="A16" s="156">
        <f>'Sponge Volume'!C24</f>
        <v>20.845476226525268</v>
      </c>
      <c r="B16" s="157">
        <f>Osculum!M18</f>
        <v>3.0442925199999998E-2</v>
      </c>
      <c r="C16" s="158">
        <f>Osculum!N18</f>
        <v>0.80979665090659481</v>
      </c>
      <c r="D16" s="159">
        <v>20.25</v>
      </c>
      <c r="E16" s="160">
        <v>1024</v>
      </c>
      <c r="F16" s="161">
        <v>9.8066499999999994</v>
      </c>
      <c r="G16" s="162">
        <f>E16*9.81</f>
        <v>10045.44</v>
      </c>
      <c r="H16" s="163">
        <v>1.3504000000000001E-3</v>
      </c>
      <c r="I16" s="164"/>
      <c r="J16" s="165">
        <f>'Sponge Volume'!B24</f>
        <v>15.314227572253452</v>
      </c>
      <c r="K16" s="166">
        <f>C16*60/J16</f>
        <v>3.17272280467007</v>
      </c>
      <c r="L16" s="166">
        <f>K16/60</f>
        <v>5.287871341116783E-2</v>
      </c>
      <c r="M16" s="167">
        <f>(C16*3600*1000000)/(L18*L19*L20)</f>
        <v>1.2633426649821599E-2</v>
      </c>
      <c r="N16" s="168"/>
      <c r="O16" s="15"/>
    </row>
    <row r="17" spans="1:30">
      <c r="A17" s="169"/>
      <c r="B17" s="170">
        <v>18.596356545454547</v>
      </c>
      <c r="C17" s="171">
        <f>C16*60</f>
        <v>48.587799054395688</v>
      </c>
      <c r="D17" s="169"/>
      <c r="E17" s="169"/>
      <c r="G17" s="172"/>
      <c r="H17" s="169"/>
      <c r="I17" s="169"/>
      <c r="J17" s="169"/>
      <c r="K17" s="173" t="s">
        <v>239</v>
      </c>
      <c r="L17" s="174">
        <f>Collars!K17</f>
        <v>2684.4549619863928</v>
      </c>
      <c r="M17" s="169"/>
    </row>
    <row r="18" spans="1:30">
      <c r="A18" s="169"/>
      <c r="C18" s="175"/>
      <c r="D18" s="172"/>
      <c r="E18" s="169"/>
      <c r="G18" s="172"/>
      <c r="H18" s="169"/>
      <c r="I18" s="169"/>
      <c r="J18" s="169"/>
      <c r="K18" s="176" t="s">
        <v>240</v>
      </c>
      <c r="L18" s="177">
        <f>L17*(J16*1000)</f>
        <v>41110354.195324607</v>
      </c>
      <c r="M18" s="169"/>
      <c r="R18" s="15"/>
      <c r="S18" s="15"/>
    </row>
    <row r="19" spans="1:30">
      <c r="A19" s="169"/>
      <c r="B19" s="169"/>
      <c r="C19" s="169"/>
      <c r="D19" s="172"/>
      <c r="E19" s="169"/>
      <c r="G19" s="172"/>
      <c r="H19" s="169"/>
      <c r="I19" s="169"/>
      <c r="J19" s="169"/>
      <c r="K19" s="176" t="s">
        <v>241</v>
      </c>
      <c r="L19" s="178">
        <f>Collars!I17</f>
        <v>139.33333333333334</v>
      </c>
      <c r="M19" s="179"/>
      <c r="R19" s="15"/>
      <c r="S19" s="15"/>
    </row>
    <row r="20" spans="1:30">
      <c r="K20" s="180" t="s">
        <v>242</v>
      </c>
      <c r="L20" s="181">
        <f>Collars!B17</f>
        <v>40.285714285714285</v>
      </c>
      <c r="R20" s="15"/>
      <c r="S20" s="15"/>
      <c r="T20" s="9"/>
      <c r="U20" s="9"/>
      <c r="V20" s="9"/>
      <c r="W20" s="9"/>
      <c r="X20" s="9"/>
      <c r="Y20" s="9"/>
      <c r="Z20" s="9"/>
      <c r="AA20" s="9"/>
      <c r="AB20" s="9"/>
      <c r="AC20" s="9"/>
      <c r="AD20" s="9"/>
    </row>
    <row r="21" spans="1:30">
      <c r="R21" s="15"/>
      <c r="S21" s="15"/>
      <c r="T21" s="9"/>
      <c r="U21" s="9"/>
      <c r="V21" s="9"/>
      <c r="W21" s="9"/>
      <c r="X21" s="9"/>
      <c r="Y21" s="9"/>
      <c r="Z21" s="9"/>
      <c r="AA21" s="9"/>
      <c r="AB21" s="9"/>
      <c r="AC21" s="9"/>
      <c r="AD21" s="9"/>
    </row>
    <row r="22" spans="1:30" s="184" customFormat="1" ht="60">
      <c r="A22" s="182" t="s">
        <v>243</v>
      </c>
      <c r="B22" s="183" t="s">
        <v>244</v>
      </c>
      <c r="C22" s="183" t="s">
        <v>42</v>
      </c>
      <c r="D22" s="183" t="s">
        <v>245</v>
      </c>
      <c r="E22" s="183" t="s">
        <v>246</v>
      </c>
      <c r="F22" s="183" t="s">
        <v>247</v>
      </c>
      <c r="G22" s="183" t="s">
        <v>248</v>
      </c>
      <c r="H22" s="183" t="s">
        <v>249</v>
      </c>
      <c r="I22" s="183" t="s">
        <v>250</v>
      </c>
      <c r="J22" s="183" t="s">
        <v>251</v>
      </c>
      <c r="K22" s="183" t="s">
        <v>252</v>
      </c>
      <c r="L22" s="229" t="s">
        <v>143</v>
      </c>
      <c r="M22" s="230" t="s">
        <v>340</v>
      </c>
      <c r="N22" s="231" t="s">
        <v>341</v>
      </c>
      <c r="O22" s="219" t="s">
        <v>306</v>
      </c>
      <c r="P22" s="220" t="s">
        <v>311</v>
      </c>
      <c r="Q22" s="220" t="s">
        <v>143</v>
      </c>
      <c r="R22" s="220" t="s">
        <v>304</v>
      </c>
      <c r="S22" s="220" t="s">
        <v>305</v>
      </c>
      <c r="T22" s="220"/>
      <c r="U22" s="220"/>
      <c r="V22" s="220"/>
      <c r="W22" s="220"/>
      <c r="X22" s="221"/>
    </row>
    <row r="23" spans="1:30">
      <c r="A23" s="185" t="s">
        <v>12</v>
      </c>
      <c r="B23" s="186" t="s">
        <v>253</v>
      </c>
      <c r="C23" s="82">
        <f>(Ostia!B24)</f>
        <v>14.283964285714285</v>
      </c>
      <c r="D23" s="82">
        <v>0.5</v>
      </c>
      <c r="E23" s="82">
        <v>0</v>
      </c>
      <c r="F23" s="82">
        <f t="shared" ref="F23:F37" si="0">E23/$E$37</f>
        <v>0</v>
      </c>
      <c r="G23" s="82">
        <f t="shared" ref="G23:G37" si="1">F23*100</f>
        <v>0</v>
      </c>
      <c r="H23" s="82">
        <f>Ostia!J24</f>
        <v>4.4375139943068874E-2</v>
      </c>
      <c r="I23" s="82">
        <f>H23*$D$16</f>
        <v>0.89859658384714469</v>
      </c>
      <c r="J23" s="82">
        <f t="shared" ref="J23:J37" si="2">I23/$D$16*100</f>
        <v>4.4375139943068875</v>
      </c>
      <c r="K23" s="82">
        <f t="shared" ref="K23:K36" si="3">$K$37/(J23/$J$37)</f>
        <v>3.8996236904560305E-3</v>
      </c>
      <c r="L23" s="232">
        <f>K23*1000</f>
        <v>3.8996236904560306</v>
      </c>
      <c r="M23" s="233">
        <f>(8*Viscosity*L23*($D23/1000))/($F$16*(($C23/1000/2)^2))</f>
        <v>4.2110163257563837E-2</v>
      </c>
      <c r="N23" s="234">
        <f>M23*1000</f>
        <v>42.11016325756384</v>
      </c>
      <c r="O23" s="222" t="s">
        <v>307</v>
      </c>
      <c r="P23" s="217">
        <v>15</v>
      </c>
      <c r="Q23" s="217">
        <f>K23*1000</f>
        <v>3.8996236904560306</v>
      </c>
      <c r="R23" s="217">
        <f>(6*PI()*Viscosity*Q23)/($F$16*(C23/1000))</f>
        <v>0.70862557307912577</v>
      </c>
      <c r="S23" s="218">
        <f>R23*1000</f>
        <v>708.62557307912573</v>
      </c>
      <c r="T23" s="217"/>
      <c r="U23" s="217"/>
      <c r="V23" s="217"/>
      <c r="W23" s="217"/>
      <c r="X23" s="223"/>
    </row>
    <row r="24" spans="1:30">
      <c r="A24" s="185" t="s">
        <v>64</v>
      </c>
      <c r="B24" s="187" t="s">
        <v>64</v>
      </c>
      <c r="C24" s="82">
        <f>'Subdermal space'!C7</f>
        <v>94.965272727272747</v>
      </c>
      <c r="D24" s="82">
        <f>'Subdermal space'!B7</f>
        <v>50.645272727272733</v>
      </c>
      <c r="E24" s="82">
        <f>D23</f>
        <v>0.5</v>
      </c>
      <c r="F24" s="82">
        <f t="shared" si="0"/>
        <v>1.362778639883862E-4</v>
      </c>
      <c r="G24" s="82">
        <f t="shared" si="1"/>
        <v>1.3627786398838619E-2</v>
      </c>
      <c r="H24" s="82">
        <f>'Subdermal space'!D7</f>
        <v>1.0960936952266178</v>
      </c>
      <c r="I24" s="82">
        <f>H24*$D$16</f>
        <v>22.195897328339012</v>
      </c>
      <c r="J24" s="82">
        <f t="shared" si="2"/>
        <v>109.60936952266178</v>
      </c>
      <c r="K24" s="82">
        <f t="shared" si="3"/>
        <v>1.5787550621164341E-4</v>
      </c>
      <c r="L24" s="232">
        <f t="shared" ref="L24:L37" si="4">K24*1000</f>
        <v>0.1578755062116434</v>
      </c>
      <c r="M24" s="233">
        <f>(8*Viscosity*L24*($D24/1000))/($F$16*(($C24/1000/2)^2))</f>
        <v>3.9067512758703083E-3</v>
      </c>
      <c r="N24" s="234">
        <f t="shared" ref="N24:N37" si="5">M24*1000</f>
        <v>3.9067512758703082</v>
      </c>
      <c r="O24" s="222" t="s">
        <v>308</v>
      </c>
      <c r="P24" s="217">
        <v>21</v>
      </c>
      <c r="Q24" s="217">
        <f>K24*1000</f>
        <v>0.1578755062116434</v>
      </c>
      <c r="R24" s="217">
        <f>(12*Viscosity*Q23*(C24/1000))/($F$16*(D24/1000)^2)</f>
        <v>0.23857926225855772</v>
      </c>
      <c r="S24" s="218">
        <f t="shared" ref="S24:S37" si="6">R24*1000</f>
        <v>238.57926225855772</v>
      </c>
      <c r="T24" s="217"/>
      <c r="U24" s="217"/>
      <c r="V24" s="217"/>
      <c r="W24" s="217"/>
      <c r="X24" s="224"/>
    </row>
    <row r="25" spans="1:30">
      <c r="A25" s="185" t="s">
        <v>254</v>
      </c>
      <c r="B25" s="186" t="s">
        <v>255</v>
      </c>
      <c r="C25" s="82">
        <f>'Incurrent Canals'!C26</f>
        <v>332.62233333333336</v>
      </c>
      <c r="D25" s="82">
        <f>'Incurrent Canals'!Q21</f>
        <v>930.02700000000004</v>
      </c>
      <c r="E25" s="82">
        <f t="shared" ref="E25:E37" si="7">E24+D24</f>
        <v>51.145272727272733</v>
      </c>
      <c r="F25" s="82">
        <f t="shared" si="0"/>
        <v>1.3939937040752384E-2</v>
      </c>
      <c r="G25" s="82">
        <f t="shared" si="1"/>
        <v>1.3939937040752384</v>
      </c>
      <c r="H25" s="82">
        <f>'Incurrent Canals'!K26</f>
        <v>0.1442814522431346</v>
      </c>
      <c r="I25" s="82">
        <f>H25*100</f>
        <v>14.428145224313461</v>
      </c>
      <c r="J25" s="82">
        <f t="shared" si="2"/>
        <v>71.250099873152891</v>
      </c>
      <c r="K25" s="82">
        <f t="shared" si="3"/>
        <v>2.4287172550967482E-4</v>
      </c>
      <c r="L25" s="232">
        <f t="shared" si="4"/>
        <v>0.24287172550967481</v>
      </c>
      <c r="M25" s="233">
        <f>(8*Viscosity*L25*($D25/1000))/($F$16*(($C25/1000/2)^2))</f>
        <v>8.9962483425968139E-3</v>
      </c>
      <c r="N25" s="234">
        <f t="shared" si="5"/>
        <v>8.9962483425968145</v>
      </c>
      <c r="O25" s="222" t="s">
        <v>308</v>
      </c>
      <c r="P25" s="217">
        <v>19</v>
      </c>
      <c r="Q25" s="217">
        <f>K25*1000</f>
        <v>0.24287172550967481</v>
      </c>
      <c r="R25" s="217">
        <f>(8*Viscosity*Q24*(D25/1000))/($F$16*((C25/1000/2)^2))</f>
        <v>5.8478905196255662E-3</v>
      </c>
      <c r="S25" s="218">
        <f t="shared" si="6"/>
        <v>5.8478905196255662</v>
      </c>
      <c r="T25" s="217"/>
      <c r="U25" s="217"/>
      <c r="V25" s="217"/>
      <c r="W25" s="217"/>
      <c r="X25" s="224"/>
    </row>
    <row r="26" spans="1:30">
      <c r="A26" s="185"/>
      <c r="B26" s="186" t="s">
        <v>256</v>
      </c>
      <c r="C26" s="82">
        <f>'Incurrent Canals'!C27</f>
        <v>140.34078571428572</v>
      </c>
      <c r="D26" s="82">
        <f>'Incurrent Canals'!R21</f>
        <v>833.95499999999993</v>
      </c>
      <c r="E26" s="82">
        <f t="shared" si="7"/>
        <v>981.1722727272728</v>
      </c>
      <c r="F26" s="82">
        <f t="shared" si="0"/>
        <v>0.26742412306380614</v>
      </c>
      <c r="G26" s="82">
        <f t="shared" si="1"/>
        <v>26.742412306380615</v>
      </c>
      <c r="H26" s="82">
        <f>'Incurrent Canals'!K27</f>
        <v>3.2127633202596567E-2</v>
      </c>
      <c r="I26" s="82">
        <f>H26*100</f>
        <v>3.2127633202596568</v>
      </c>
      <c r="J26" s="82">
        <f t="shared" si="2"/>
        <v>15.865497877825465</v>
      </c>
      <c r="K26" s="82">
        <f t="shared" si="3"/>
        <v>1.0907085823707594E-3</v>
      </c>
      <c r="L26" s="232">
        <f t="shared" si="4"/>
        <v>1.0907085823707594</v>
      </c>
      <c r="M26" s="233">
        <f>(8*Viscosity*L26*($D26/1000))/($F$16*(($C26/1000/2)^2))</f>
        <v>0.20350508807995121</v>
      </c>
      <c r="N26" s="234">
        <f t="shared" si="5"/>
        <v>203.50508807995121</v>
      </c>
      <c r="O26" s="222" t="s">
        <v>308</v>
      </c>
      <c r="P26" s="217">
        <v>19</v>
      </c>
      <c r="Q26" s="217">
        <f>K26*1000</f>
        <v>1.0907085823707594</v>
      </c>
      <c r="R26" s="217">
        <f>(8*Viscosity*Q25*(D26/1000))/($F$16*((C26/1000/2)^2))</f>
        <v>4.5315158137423629E-2</v>
      </c>
      <c r="S26" s="218">
        <f t="shared" si="6"/>
        <v>45.31515813742363</v>
      </c>
      <c r="T26" s="217"/>
      <c r="U26" s="217" t="s">
        <v>320</v>
      </c>
      <c r="V26" s="217"/>
      <c r="W26" s="217"/>
      <c r="X26" s="224"/>
    </row>
    <row r="27" spans="1:30">
      <c r="A27" s="185"/>
      <c r="B27" s="186" t="s">
        <v>257</v>
      </c>
      <c r="C27" s="82">
        <f>'Incurrent Canals'!C28</f>
        <v>51.276387668918915</v>
      </c>
      <c r="D27" s="82">
        <f>'Incurrent Canals'!S21</f>
        <v>151.863</v>
      </c>
      <c r="E27" s="82">
        <f t="shared" si="7"/>
        <v>1815.1272727272726</v>
      </c>
      <c r="F27" s="82">
        <f t="shared" si="0"/>
        <v>0.49472333518867534</v>
      </c>
      <c r="G27" s="82">
        <f t="shared" si="1"/>
        <v>49.472333518867536</v>
      </c>
      <c r="H27" s="82">
        <f>'Incurrent Canals'!K28</f>
        <v>4.1574365485735044E-2</v>
      </c>
      <c r="I27" s="82">
        <f>'Incurrent Canals'!M28</f>
        <v>4.1574365485735045</v>
      </c>
      <c r="J27" s="82">
        <f t="shared" si="2"/>
        <v>20.530550857153109</v>
      </c>
      <c r="K27" s="82">
        <f t="shared" si="3"/>
        <v>8.4287240120009478E-4</v>
      </c>
      <c r="L27" s="232">
        <f t="shared" si="4"/>
        <v>0.84287240120009477</v>
      </c>
      <c r="M27" s="233">
        <f>(8*Viscosity*L27*($D27/1000))/($F$16*(($C27/1000/2)^2))</f>
        <v>0.21452143627436984</v>
      </c>
      <c r="N27" s="234">
        <f t="shared" si="5"/>
        <v>214.52143627436985</v>
      </c>
      <c r="O27" s="222" t="s">
        <v>308</v>
      </c>
      <c r="P27" s="217">
        <v>19</v>
      </c>
      <c r="Q27" s="217">
        <f>K27*1000</f>
        <v>0.84287240120009477</v>
      </c>
      <c r="R27" s="217">
        <f>(8*Viscosity*Q26*(D27/1000))/($F$16*((C27/1000/2)^2))</f>
        <v>0.27759880536343617</v>
      </c>
      <c r="S27" s="218">
        <f t="shared" si="6"/>
        <v>277.59880536343616</v>
      </c>
      <c r="T27" s="217"/>
      <c r="U27" s="217" t="s">
        <v>318</v>
      </c>
      <c r="V27" s="217">
        <f>(Collars!C17/1000)</f>
        <v>1.002E-4</v>
      </c>
      <c r="W27" s="217" t="s">
        <v>331</v>
      </c>
      <c r="X27" s="224"/>
    </row>
    <row r="28" spans="1:30">
      <c r="A28" s="185" t="s">
        <v>43</v>
      </c>
      <c r="B28" s="186" t="s">
        <v>258</v>
      </c>
      <c r="C28" s="82">
        <f>(Prosopyles!B16+Prosopyles!C16)/2</f>
        <v>2.3719999999999999</v>
      </c>
      <c r="D28" s="82">
        <f>0.5</f>
        <v>0.5</v>
      </c>
      <c r="E28" s="82">
        <f t="shared" si="7"/>
        <v>1966.9902727272727</v>
      </c>
      <c r="F28" s="82">
        <f t="shared" si="0"/>
        <v>0.53611446570641197</v>
      </c>
      <c r="G28" s="82">
        <f t="shared" si="1"/>
        <v>53.611446570641199</v>
      </c>
      <c r="H28" s="83">
        <f>Prosopyles!E24</f>
        <v>3.4581399320581636</v>
      </c>
      <c r="I28" s="82">
        <f t="shared" ref="I28:I37" si="8">H28*100</f>
        <v>345.81399320581636</v>
      </c>
      <c r="J28" s="82">
        <f t="shared" si="2"/>
        <v>1707.7234232385995</v>
      </c>
      <c r="K28" s="82">
        <f t="shared" si="3"/>
        <v>1.0133160009079257E-5</v>
      </c>
      <c r="L28" s="232">
        <f>K28*1000</f>
        <v>1.0133160009079257E-2</v>
      </c>
      <c r="M28" s="233">
        <f>(8*Viscosity*L28*($D28/1000))/($F$16*(($C28/1000/2)^2))</f>
        <v>3.9680512020403482E-3</v>
      </c>
      <c r="N28" s="234">
        <f t="shared" si="5"/>
        <v>3.968051202040348</v>
      </c>
      <c r="O28" s="222" t="s">
        <v>307</v>
      </c>
      <c r="P28" s="217">
        <v>15</v>
      </c>
      <c r="Q28" s="217">
        <f>K28*1000</f>
        <v>1.0133160009079257E-2</v>
      </c>
      <c r="R28" s="217">
        <f>(6*PI()*(Viscosity*1000)*K27)/($F$16*(C28/1000))</f>
        <v>0.92233783847827977</v>
      </c>
      <c r="S28" s="218">
        <f t="shared" si="6"/>
        <v>922.33783847827976</v>
      </c>
      <c r="T28" s="217"/>
      <c r="U28" s="217" t="s">
        <v>316</v>
      </c>
      <c r="V28" s="217">
        <f>(Collars!D17/1000)</f>
        <v>1.0960000000000001E-4</v>
      </c>
      <c r="W28" s="217" t="s">
        <v>332</v>
      </c>
      <c r="X28" s="224"/>
    </row>
    <row r="29" spans="1:30">
      <c r="A29" s="188" t="s">
        <v>259</v>
      </c>
      <c r="B29" s="189" t="s">
        <v>67</v>
      </c>
      <c r="C29" s="190">
        <f>Collars!B23</f>
        <v>5.7110000000000003</v>
      </c>
      <c r="D29" s="85">
        <f>Collars!C23</f>
        <v>3.63</v>
      </c>
      <c r="E29" s="85">
        <f t="shared" si="7"/>
        <v>1967.4902727272727</v>
      </c>
      <c r="F29" s="85">
        <f t="shared" si="0"/>
        <v>0.53625074357040026</v>
      </c>
      <c r="G29" s="85">
        <f t="shared" si="1"/>
        <v>53.625074357040027</v>
      </c>
      <c r="H29" s="191">
        <f>Collars!G23</f>
        <v>7.7540738747762328</v>
      </c>
      <c r="I29" s="85">
        <f t="shared" si="8"/>
        <v>775.40738747762327</v>
      </c>
      <c r="J29" s="85">
        <f t="shared" si="2"/>
        <v>3829.1722838401151</v>
      </c>
      <c r="K29" s="85">
        <f t="shared" si="3"/>
        <v>4.5191580363094081E-6</v>
      </c>
      <c r="L29" s="232">
        <f t="shared" si="4"/>
        <v>4.5191580363094083E-3</v>
      </c>
      <c r="M29" s="233">
        <f>(8*Viscosity*L29*($D29/1000))/($F$16*(($C29/1000/2)^2))</f>
        <v>2.2163154080980145E-3</v>
      </c>
      <c r="N29" s="234">
        <f t="shared" si="5"/>
        <v>2.2163154080980147</v>
      </c>
      <c r="O29" s="222" t="s">
        <v>308</v>
      </c>
      <c r="P29" s="217">
        <v>19</v>
      </c>
      <c r="Q29" s="217">
        <f>K29*1000</f>
        <v>4.5191580363094083E-3</v>
      </c>
      <c r="R29" s="217">
        <f>(8*Viscosity*Q28*(D29/1000))/($F$16*((C29/1000/2)^2))</f>
        <v>4.9695714291031149E-3</v>
      </c>
      <c r="S29" s="218">
        <f t="shared" si="6"/>
        <v>4.969571429103115</v>
      </c>
      <c r="T29" s="217"/>
      <c r="U29" s="217" t="s">
        <v>317</v>
      </c>
      <c r="V29" s="217">
        <f>(Collars!F17/1000)</f>
        <v>1.6566666666666664E-4</v>
      </c>
      <c r="W29" s="217" t="s">
        <v>333</v>
      </c>
      <c r="X29" s="224"/>
    </row>
    <row r="30" spans="1:30">
      <c r="A30" s="192"/>
      <c r="B30" s="193" t="s">
        <v>260</v>
      </c>
      <c r="C30" s="194">
        <f>Collars!F17</f>
        <v>0.16566666666666663</v>
      </c>
      <c r="D30" s="86">
        <f>Collars!C17</f>
        <v>0.1002</v>
      </c>
      <c r="E30" s="86">
        <f t="shared" si="7"/>
        <v>1971.1202727272728</v>
      </c>
      <c r="F30" s="86">
        <f t="shared" si="0"/>
        <v>0.53724012086295603</v>
      </c>
      <c r="G30" s="86">
        <f t="shared" si="1"/>
        <v>53.724012086295602</v>
      </c>
      <c r="H30" s="86">
        <f>Collars!M17</f>
        <v>5.4551985641710203</v>
      </c>
      <c r="I30" s="86">
        <f t="shared" si="8"/>
        <v>545.51985641710201</v>
      </c>
      <c r="J30" s="86">
        <f t="shared" si="2"/>
        <v>2693.9252168745779</v>
      </c>
      <c r="K30" s="86">
        <f t="shared" si="3"/>
        <v>6.4235764937104285E-6</v>
      </c>
      <c r="L30" s="232">
        <f t="shared" si="4"/>
        <v>6.4235764937104287E-3</v>
      </c>
      <c r="M30" s="233">
        <f>(8*Viscosity*L30*($D30/1000))/($F$16*(($C30/1000/2)^2))</f>
        <v>0.10333943570635727</v>
      </c>
      <c r="N30" s="234">
        <f t="shared" si="5"/>
        <v>103.33943570635728</v>
      </c>
      <c r="O30" s="222" t="s">
        <v>309</v>
      </c>
      <c r="P30" s="217">
        <v>17</v>
      </c>
      <c r="Q30" s="217">
        <f>K30*1000</f>
        <v>6.4235764937104287E-3</v>
      </c>
      <c r="R30" s="217">
        <f>(V30*Viscosity*Q29)/(F16*V33)</f>
        <v>0.47094630367243345</v>
      </c>
      <c r="S30" s="218">
        <f t="shared" si="6"/>
        <v>470.94630367243343</v>
      </c>
      <c r="T30" s="217"/>
      <c r="U30" s="217" t="s">
        <v>312</v>
      </c>
      <c r="V30" s="217">
        <f>(8*PI())/(1-2*LN(V31)+((V31^2)/6))</f>
        <v>49.918804304068132</v>
      </c>
      <c r="W30" s="217"/>
      <c r="X30" s="224"/>
    </row>
    <row r="31" spans="1:30">
      <c r="A31" s="195"/>
      <c r="B31" s="196" t="s">
        <v>70</v>
      </c>
      <c r="C31" s="197">
        <f>Collars!B24</f>
        <v>3.2782142857142857</v>
      </c>
      <c r="D31" s="87">
        <f>Collars!C24</f>
        <v>3.3032222222222223</v>
      </c>
      <c r="E31" s="87">
        <f t="shared" si="7"/>
        <v>1971.2204727272729</v>
      </c>
      <c r="F31" s="87">
        <f t="shared" si="0"/>
        <v>0.53726743094689933</v>
      </c>
      <c r="G31" s="87">
        <f t="shared" si="1"/>
        <v>53.72674309468993</v>
      </c>
      <c r="H31" s="198">
        <f>Collars!G24</f>
        <v>4.050291487139388</v>
      </c>
      <c r="I31" s="87">
        <f t="shared" si="8"/>
        <v>405.02914871393881</v>
      </c>
      <c r="J31" s="87">
        <f t="shared" si="2"/>
        <v>2000.1439442663645</v>
      </c>
      <c r="K31" s="87">
        <f t="shared" si="3"/>
        <v>8.6516946685437158E-6</v>
      </c>
      <c r="L31" s="232">
        <f t="shared" si="4"/>
        <v>8.6516946685437166E-3</v>
      </c>
      <c r="M31" s="233">
        <f>(8*Viscosity*L31*($D31/1000))/($F$16*(($C31/1000/2)^2))</f>
        <v>1.1718068453113547E-2</v>
      </c>
      <c r="N31" s="234">
        <f t="shared" si="5"/>
        <v>11.718068453113547</v>
      </c>
      <c r="O31" s="222" t="s">
        <v>308</v>
      </c>
      <c r="P31" s="217">
        <v>19</v>
      </c>
      <c r="Q31" s="217">
        <f>K31*1000</f>
        <v>8.6516946685437166E-3</v>
      </c>
      <c r="R31" s="217">
        <f>(8*Viscosity*Q30*(D31/1000))/($F$16*((C31/1000/2)^2))</f>
        <v>8.7002502920944993E-3</v>
      </c>
      <c r="S31" s="218">
        <f t="shared" si="6"/>
        <v>8.7002502920944984</v>
      </c>
      <c r="T31" s="217"/>
      <c r="U31" s="217" t="s">
        <v>313</v>
      </c>
      <c r="V31" s="217">
        <f>(PI()*V27)/V32</f>
        <v>3.4437947803332949</v>
      </c>
      <c r="W31" s="217"/>
      <c r="X31" s="224"/>
    </row>
    <row r="32" spans="1:30">
      <c r="A32" s="185" t="s">
        <v>261</v>
      </c>
      <c r="B32" s="186" t="s">
        <v>262</v>
      </c>
      <c r="C32" s="82">
        <f>'Choanocyte Chambers'!D13</f>
        <v>28.518047169811318</v>
      </c>
      <c r="D32" s="82">
        <f>C32</f>
        <v>28.518047169811318</v>
      </c>
      <c r="E32" s="82">
        <f t="shared" si="7"/>
        <v>1974.5236949494952</v>
      </c>
      <c r="F32" s="82">
        <f t="shared" si="0"/>
        <v>0.53816774308434612</v>
      </c>
      <c r="G32" s="82">
        <f t="shared" si="1"/>
        <v>53.81677430843461</v>
      </c>
      <c r="H32" s="82">
        <f>'Choanocyte Chambers'!J13</f>
        <v>1.7148565296513061</v>
      </c>
      <c r="I32" s="82">
        <f t="shared" si="8"/>
        <v>171.48565296513061</v>
      </c>
      <c r="J32" s="82">
        <f t="shared" si="2"/>
        <v>846.8427306920031</v>
      </c>
      <c r="K32" s="82">
        <f t="shared" si="3"/>
        <v>2.0434295615655471E-5</v>
      </c>
      <c r="L32" s="232">
        <f t="shared" si="4"/>
        <v>2.0434295615655469E-2</v>
      </c>
      <c r="M32" s="233">
        <f>(8*Viscosity*L32*($D32/1000))/($F$16*(($C32/1000/2)^2))</f>
        <v>3.1574146585346091E-3</v>
      </c>
      <c r="N32" s="234">
        <f t="shared" si="5"/>
        <v>3.1574146585346092</v>
      </c>
      <c r="O32" s="222" t="s">
        <v>308</v>
      </c>
      <c r="P32" s="217">
        <v>19</v>
      </c>
      <c r="Q32" s="217">
        <f>K32*1000</f>
        <v>2.0434295615655469E-2</v>
      </c>
      <c r="R32" s="217">
        <f>(8*Viscosity*Q31*(D32/1000))/($F$16*((C32/1000/2)^2))</f>
        <v>1.3368206118490869E-3</v>
      </c>
      <c r="S32" s="218">
        <f t="shared" si="6"/>
        <v>1.3368206118490868</v>
      </c>
      <c r="T32" s="217"/>
      <c r="U32" s="217" t="s">
        <v>314</v>
      </c>
      <c r="V32" s="217">
        <f>(V28*V29)/(SQRT((V28^2)+(V29^2)))</f>
        <v>9.1407184216485654E-5</v>
      </c>
      <c r="W32" s="217"/>
      <c r="X32" s="224"/>
    </row>
    <row r="33" spans="1:30">
      <c r="A33" s="185" t="s">
        <v>263</v>
      </c>
      <c r="B33" s="186" t="s">
        <v>264</v>
      </c>
      <c r="C33" s="83">
        <f>Apopyle!C14</f>
        <v>14.094890873015876</v>
      </c>
      <c r="D33" s="82">
        <v>0.5</v>
      </c>
      <c r="E33" s="82">
        <f t="shared" si="7"/>
        <v>2003.0417421193065</v>
      </c>
      <c r="F33" s="82">
        <f t="shared" si="0"/>
        <v>0.54594050019119</v>
      </c>
      <c r="G33" s="82">
        <f t="shared" si="1"/>
        <v>54.594050019119003</v>
      </c>
      <c r="H33" s="83">
        <f>Apopyle!G14</f>
        <v>0.44571886137536126</v>
      </c>
      <c r="I33" s="82">
        <f t="shared" si="8"/>
        <v>44.571886137536126</v>
      </c>
      <c r="J33" s="82">
        <f t="shared" si="2"/>
        <v>220.1080796915364</v>
      </c>
      <c r="K33" s="82">
        <f t="shared" si="3"/>
        <v>7.8618807284041304E-5</v>
      </c>
      <c r="L33" s="232">
        <f t="shared" si="4"/>
        <v>7.8618807284041303E-2</v>
      </c>
      <c r="M33" s="233">
        <f>(8*Viscosity*L33*($D33/1000))/($F$16*(($C33/1000/2)^2))</f>
        <v>8.718961334174026E-4</v>
      </c>
      <c r="N33" s="234">
        <f t="shared" si="5"/>
        <v>0.87189613341740257</v>
      </c>
      <c r="O33" s="222" t="s">
        <v>307</v>
      </c>
      <c r="P33" s="217">
        <v>15</v>
      </c>
      <c r="Q33" s="217">
        <f>K33*1000</f>
        <v>7.8618807284041303E-2</v>
      </c>
      <c r="R33" s="217">
        <f>(6*PI()*(Viscosity*1000)*K32)/($F$16*(C33/1000))</f>
        <v>3.7630572957785026E-3</v>
      </c>
      <c r="S33" s="218">
        <f t="shared" si="6"/>
        <v>3.7630572957785025</v>
      </c>
      <c r="T33" s="217"/>
      <c r="U33" s="217" t="s">
        <v>315</v>
      </c>
      <c r="V33" s="217">
        <f>(V28*V29)/(V28+V29)</f>
        <v>6.5961734076047454E-5</v>
      </c>
      <c r="W33" s="217"/>
      <c r="X33" s="224"/>
    </row>
    <row r="34" spans="1:30">
      <c r="A34" s="185" t="s">
        <v>265</v>
      </c>
      <c r="B34" s="186" t="s">
        <v>266</v>
      </c>
      <c r="C34" s="82">
        <f>('Excurrent Canals'!C30+'Excurrent Canals'!D30)/2</f>
        <v>51.887600659769078</v>
      </c>
      <c r="D34" s="82">
        <f>'Excurrent Canals'!S21</f>
        <v>189.08420000000001</v>
      </c>
      <c r="E34" s="82">
        <f t="shared" si="7"/>
        <v>2003.5417421193065</v>
      </c>
      <c r="F34" s="82">
        <f t="shared" si="0"/>
        <v>0.5460767780551784</v>
      </c>
      <c r="G34" s="82">
        <f t="shared" si="1"/>
        <v>54.607677805517838</v>
      </c>
      <c r="H34" s="82">
        <f>'Excurrent Canals'!K30</f>
        <v>6.7850297889605463E-2</v>
      </c>
      <c r="I34" s="82">
        <f t="shared" si="8"/>
        <v>6.7850297889605464</v>
      </c>
      <c r="J34" s="82">
        <f t="shared" si="2"/>
        <v>33.506319945484179</v>
      </c>
      <c r="K34" s="82">
        <f t="shared" si="3"/>
        <v>5.1645882708350197E-4</v>
      </c>
      <c r="L34" s="232">
        <f t="shared" si="4"/>
        <v>0.51645882708350199</v>
      </c>
      <c r="M34" s="233">
        <f>(8*Viscosity*L34*($D34/1000))/($F$16*(($C34/1000/2)^2))</f>
        <v>0.15982896946281172</v>
      </c>
      <c r="N34" s="234">
        <f t="shared" si="5"/>
        <v>159.82896946281173</v>
      </c>
      <c r="O34" s="222" t="s">
        <v>308</v>
      </c>
      <c r="P34" s="217">
        <v>19</v>
      </c>
      <c r="Q34" s="217">
        <f>K34*1000</f>
        <v>0.51645882708350199</v>
      </c>
      <c r="R34" s="217">
        <f>(8*Viscosity*Q33*(D34/1000))/($F$16*((C34/1000/2)^2))</f>
        <v>2.433023174289186E-2</v>
      </c>
      <c r="S34" s="218">
        <f t="shared" si="6"/>
        <v>24.330231742891861</v>
      </c>
      <c r="T34" s="217"/>
      <c r="U34" s="217"/>
      <c r="V34" s="217"/>
      <c r="W34" s="217"/>
      <c r="X34" s="224"/>
    </row>
    <row r="35" spans="1:30">
      <c r="A35" s="199"/>
      <c r="B35" s="186" t="s">
        <v>267</v>
      </c>
      <c r="C35" s="82">
        <f>('Excurrent Canals'!C29+'Excurrent Canals'!D29)/2</f>
        <v>154.54222222222225</v>
      </c>
      <c r="D35" s="82">
        <f>'Excurrent Canals'!R21</f>
        <v>546.32150000000001</v>
      </c>
      <c r="E35" s="82">
        <f t="shared" si="7"/>
        <v>2192.6259421193063</v>
      </c>
      <c r="F35" s="82">
        <f t="shared" si="0"/>
        <v>0.597612759835084</v>
      </c>
      <c r="G35" s="82">
        <f t="shared" si="1"/>
        <v>59.761275983508398</v>
      </c>
      <c r="H35" s="82">
        <f>'Excurrent Canals'!K29</f>
        <v>6.3316560106691941E-2</v>
      </c>
      <c r="I35" s="82">
        <f t="shared" si="8"/>
        <v>6.3316560106691941</v>
      </c>
      <c r="J35" s="82">
        <f t="shared" si="2"/>
        <v>31.267437089724414</v>
      </c>
      <c r="K35" s="82">
        <f t="shared" si="3"/>
        <v>5.5343949839164205E-4</v>
      </c>
      <c r="L35" s="232">
        <f t="shared" si="4"/>
        <v>0.55343949839164208</v>
      </c>
      <c r="M35" s="233">
        <f>(8*Viscosity*L35*($D35/1000))/($F$16*(($C35/1000/2)^2))</f>
        <v>5.5784798604248925E-2</v>
      </c>
      <c r="N35" s="234">
        <f t="shared" si="5"/>
        <v>55.784798604248927</v>
      </c>
      <c r="O35" s="222" t="s">
        <v>308</v>
      </c>
      <c r="P35" s="217">
        <v>19</v>
      </c>
      <c r="Q35" s="217">
        <f>K35*1000</f>
        <v>0.55343949839164208</v>
      </c>
      <c r="R35" s="217">
        <f>(8*Viscosity*Q34*(D35/1000))/($F$16*((C35/1000/2)^2))</f>
        <v>5.2057274083195194E-2</v>
      </c>
      <c r="S35" s="218">
        <f t="shared" si="6"/>
        <v>52.057274083195196</v>
      </c>
      <c r="T35" s="217"/>
      <c r="U35" s="217"/>
      <c r="V35" s="217"/>
      <c r="W35" s="217"/>
      <c r="X35" s="224"/>
    </row>
    <row r="36" spans="1:30">
      <c r="A36" s="199"/>
      <c r="B36" s="186" t="s">
        <v>268</v>
      </c>
      <c r="C36" s="82">
        <f>('Excurrent Canals'!C28+'Excurrent Canals'!D28)/2</f>
        <v>411.13499999999999</v>
      </c>
      <c r="D36" s="82">
        <f>'Excurrent Canals'!Q21</f>
        <v>930.02700000000004</v>
      </c>
      <c r="E36" s="82">
        <f t="shared" si="7"/>
        <v>2738.9474421193063</v>
      </c>
      <c r="F36" s="82">
        <f t="shared" si="0"/>
        <v>0.74651581397694622</v>
      </c>
      <c r="G36" s="82">
        <f t="shared" si="1"/>
        <v>74.651581397694628</v>
      </c>
      <c r="H36" s="82">
        <f>'Excurrent Canals'!K28</f>
        <v>0.13107467641156248</v>
      </c>
      <c r="I36" s="82">
        <f t="shared" si="8"/>
        <v>13.107467641156248</v>
      </c>
      <c r="J36" s="82">
        <f t="shared" si="2"/>
        <v>64.728235264969129</v>
      </c>
      <c r="K36" s="82">
        <f t="shared" si="3"/>
        <v>2.6734290882629021E-4</v>
      </c>
      <c r="L36" s="232">
        <f t="shared" si="4"/>
        <v>0.26734290882629019</v>
      </c>
      <c r="M36" s="233">
        <f>(8*Viscosity*L36*($D36/1000))/($F$16*(($C36/1000/2)^2))</f>
        <v>6.4816721203508855E-3</v>
      </c>
      <c r="N36" s="234">
        <f t="shared" si="5"/>
        <v>6.4816721203508854</v>
      </c>
      <c r="O36" s="222" t="s">
        <v>308</v>
      </c>
      <c r="P36" s="217">
        <v>19</v>
      </c>
      <c r="Q36" s="217">
        <f>K36*1000</f>
        <v>0.26734290882629019</v>
      </c>
      <c r="R36" s="217">
        <f>(8*Viscosity*Q35*(D36/1000))/($F$16*((C36/1000/2)^2))</f>
        <v>1.3418023252514724E-2</v>
      </c>
      <c r="S36" s="218">
        <f t="shared" si="6"/>
        <v>13.418023252514724</v>
      </c>
      <c r="T36" s="217"/>
      <c r="U36" s="217"/>
      <c r="V36" s="217"/>
      <c r="W36" s="217"/>
      <c r="X36" s="224"/>
    </row>
    <row r="37" spans="1:30">
      <c r="A37" s="185" t="s">
        <v>44</v>
      </c>
      <c r="B37" s="186" t="s">
        <v>269</v>
      </c>
      <c r="C37" s="82">
        <f>Osculum!G18</f>
        <v>5527.2805823964381</v>
      </c>
      <c r="D37" s="82">
        <f>Osculum!B21</f>
        <v>7419.4999999999991</v>
      </c>
      <c r="E37" s="82">
        <f t="shared" si="7"/>
        <v>3668.9744421193063</v>
      </c>
      <c r="F37" s="82">
        <f t="shared" si="0"/>
        <v>1</v>
      </c>
      <c r="G37" s="82">
        <f t="shared" si="1"/>
        <v>100</v>
      </c>
      <c r="H37" s="82">
        <f>(PI()*(C37/2/1000)^2)/(A16*1000)</f>
        <v>1.1510682707104589E-3</v>
      </c>
      <c r="I37" s="82">
        <f t="shared" si="8"/>
        <v>0.11510682707104589</v>
      </c>
      <c r="J37" s="82">
        <f t="shared" si="2"/>
        <v>0.5684287756594858</v>
      </c>
      <c r="K37" s="82">
        <f>B16</f>
        <v>3.0442925199999998E-2</v>
      </c>
      <c r="L37" s="232">
        <f t="shared" si="4"/>
        <v>30.442925199999998</v>
      </c>
      <c r="M37" s="233">
        <f>(8*Viscosity*L37*($D37/1000))/($F$16*(($C37/1000/2)^2))</f>
        <v>3.257839833902447E-2</v>
      </c>
      <c r="N37" s="234">
        <f t="shared" si="5"/>
        <v>32.578398339024467</v>
      </c>
      <c r="O37" s="222" t="s">
        <v>310</v>
      </c>
      <c r="P37" s="217">
        <v>22</v>
      </c>
      <c r="Q37" s="217">
        <f>K37*1000</f>
        <v>30.442925199999998</v>
      </c>
      <c r="R37" s="217">
        <f>((Q37^2)/(2*F16))/1000</f>
        <v>4.7252206142403108E-2</v>
      </c>
      <c r="S37" s="218">
        <f t="shared" si="6"/>
        <v>47.252206142403111</v>
      </c>
      <c r="T37" s="217"/>
      <c r="U37" s="217"/>
      <c r="V37" s="217"/>
      <c r="W37" s="217"/>
      <c r="X37" s="224"/>
    </row>
    <row r="38" spans="1:30">
      <c r="C38" s="82"/>
      <c r="D38" s="82"/>
      <c r="E38" s="82"/>
      <c r="F38" s="82"/>
      <c r="G38" s="82"/>
      <c r="H38" s="82"/>
      <c r="I38" s="82"/>
      <c r="J38" s="82"/>
      <c r="K38" s="82"/>
      <c r="N38" s="235">
        <f>SUM(N23:N37)</f>
        <v>852.98470731834948</v>
      </c>
      <c r="O38" s="225"/>
      <c r="P38" s="226"/>
      <c r="Q38" s="226">
        <f>K38*1000000</f>
        <v>0</v>
      </c>
      <c r="R38" s="226"/>
      <c r="S38" s="227">
        <f>SUM(S23:S37)</f>
        <v>2825.0782663587124</v>
      </c>
      <c r="T38" s="226"/>
      <c r="U38" s="226"/>
      <c r="V38" s="226"/>
      <c r="W38" s="226"/>
      <c r="X38" s="228"/>
    </row>
    <row r="39" spans="1:30">
      <c r="T39" s="9"/>
      <c r="U39" s="9"/>
      <c r="V39" s="9"/>
      <c r="W39" s="9"/>
      <c r="X39" s="9"/>
      <c r="Y39" s="9"/>
      <c r="Z39" s="9"/>
      <c r="AA39" s="9"/>
      <c r="AB39" s="9"/>
      <c r="AC39" s="9"/>
      <c r="AD39" s="9"/>
    </row>
    <row r="40" spans="1:30">
      <c r="T40" s="9"/>
      <c r="U40" s="9"/>
      <c r="V40" s="9"/>
      <c r="W40" s="9"/>
      <c r="X40" s="9"/>
      <c r="Y40" s="9"/>
      <c r="Z40" s="9"/>
      <c r="AA40" s="9"/>
      <c r="AB40" s="9"/>
      <c r="AC40" s="9"/>
      <c r="AD40" s="9"/>
    </row>
    <row r="41" spans="1:30">
      <c r="H41" s="6"/>
      <c r="T41" s="9"/>
      <c r="U41" s="9"/>
      <c r="V41" s="9"/>
      <c r="W41" s="9"/>
      <c r="X41" s="9"/>
      <c r="Y41" s="9"/>
      <c r="Z41" s="9"/>
      <c r="AA41" s="9"/>
      <c r="AB41" s="9"/>
      <c r="AC41" s="9"/>
      <c r="AD41" s="9"/>
    </row>
    <row r="42" spans="1:30">
      <c r="A42" t="s">
        <v>270</v>
      </c>
      <c r="H42" s="6"/>
      <c r="T42" s="9"/>
      <c r="U42" s="9"/>
      <c r="V42" s="9"/>
      <c r="W42" s="9"/>
      <c r="X42" s="9"/>
      <c r="Y42" s="9"/>
      <c r="Z42" s="9"/>
      <c r="AA42" s="9"/>
      <c r="AB42" s="9"/>
      <c r="AC42" s="9"/>
      <c r="AD42" s="9"/>
    </row>
    <row r="43" spans="1:30">
      <c r="A43" t="s">
        <v>271</v>
      </c>
      <c r="C43" s="84">
        <f>Osculum!R18</f>
        <v>2.3180633333333303</v>
      </c>
      <c r="D43" t="s">
        <v>272</v>
      </c>
      <c r="G43" s="200"/>
      <c r="H43" s="201"/>
      <c r="T43" s="9"/>
      <c r="U43" s="9"/>
      <c r="V43" s="9"/>
      <c r="W43" s="9"/>
      <c r="X43" s="9"/>
      <c r="Y43" s="9"/>
      <c r="Z43" s="9"/>
      <c r="AA43" s="9"/>
      <c r="AB43" s="9"/>
      <c r="AC43" s="9"/>
      <c r="AD43" s="9"/>
    </row>
    <row r="44" spans="1:30">
      <c r="A44" t="s">
        <v>273</v>
      </c>
      <c r="C44" s="82">
        <f>(C43/44.661)*1000</f>
        <v>51.903525074076491</v>
      </c>
      <c r="D44" t="s">
        <v>274</v>
      </c>
      <c r="G44" s="200"/>
      <c r="H44" s="201"/>
    </row>
    <row r="45" spans="1:30">
      <c r="A45" t="s">
        <v>275</v>
      </c>
      <c r="C45" s="83">
        <f>C44*(C16/1000*60*60)</f>
        <v>151.312682790841</v>
      </c>
      <c r="D45" t="s">
        <v>276</v>
      </c>
      <c r="G45" s="200"/>
      <c r="H45" s="201"/>
    </row>
    <row r="46" spans="1:30">
      <c r="C46" s="82">
        <f>C45*5.2222</f>
        <v>790.1850920703298</v>
      </c>
      <c r="D46" t="s">
        <v>277</v>
      </c>
      <c r="G46" s="200"/>
      <c r="H46" s="201"/>
    </row>
    <row r="47" spans="1:30">
      <c r="G47" s="200"/>
      <c r="H47" s="201"/>
    </row>
    <row r="48" spans="1:30">
      <c r="C48" t="s">
        <v>319</v>
      </c>
      <c r="D48" s="201"/>
      <c r="F48" t="s">
        <v>319</v>
      </c>
      <c r="G48" s="201"/>
    </row>
    <row r="49" spans="3:8">
      <c r="C49" s="202">
        <f>$E$16*$F$16*($S$38/1000)*($C$17/1000/60)</f>
        <v>22.973496183339705</v>
      </c>
      <c r="D49" t="s">
        <v>278</v>
      </c>
      <c r="F49" s="202">
        <f>$E$16*$F$16*($N$38/1000)*($C$17/1000/60)</f>
        <v>6.9364594784423019</v>
      </c>
      <c r="G49" t="s">
        <v>278</v>
      </c>
    </row>
    <row r="50" spans="3:8">
      <c r="C50" s="82">
        <f>$C$49/$C$46*100</f>
        <v>2.9073563161192828</v>
      </c>
      <c r="D50" t="s">
        <v>279</v>
      </c>
      <c r="F50" s="82">
        <f>$F$49/$C$46*100</f>
        <v>0.87782717594283943</v>
      </c>
      <c r="G50" t="s">
        <v>279</v>
      </c>
    </row>
    <row r="51" spans="3:8">
      <c r="G51" s="200"/>
      <c r="H51" s="201"/>
    </row>
    <row r="52" spans="3:8">
      <c r="G52" s="200"/>
      <c r="H52" s="201"/>
    </row>
    <row r="53" spans="3:8">
      <c r="G53" s="200"/>
      <c r="H53" s="201"/>
    </row>
    <row r="54" spans="3:8">
      <c r="G54" s="200"/>
      <c r="H54" s="6"/>
    </row>
  </sheetData>
  <pageMargins left="0.75" right="0.75" top="1" bottom="1" header="0.5" footer="0.5"/>
  <pageSetup orientation="portrait" horizontalDpi="4294967292" verticalDpi="4294967292"/>
  <legacyDrawing r:id="rId1"/>
  <extLst>
    <ext xmlns:mx="http://schemas.microsoft.com/office/mac/excel/2008/main" uri="{64002731-A6B0-56B0-2670-7721B7C09600}">
      <mx:PLV Mode="0" OnePage="0" WScale="0"/>
    </ext>
  </extLst>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1:M182"/>
  <sheetViews>
    <sheetView topLeftCell="A14" workbookViewId="0">
      <selection activeCell="J25" sqref="J25"/>
    </sheetView>
  </sheetViews>
  <sheetFormatPr baseColWidth="10" defaultColWidth="11" defaultRowHeight="15" x14ac:dyDescent="0"/>
  <cols>
    <col min="1" max="1" width="25.6640625" customWidth="1"/>
    <col min="4" max="5" width="12.5" customWidth="1"/>
    <col min="6" max="6" width="12.1640625" customWidth="1"/>
    <col min="7" max="7" width="13.83203125" customWidth="1"/>
    <col min="8" max="8" width="13.5" customWidth="1"/>
    <col min="9" max="9" width="14.1640625" customWidth="1"/>
    <col min="10" max="10" width="20.1640625" customWidth="1"/>
    <col min="11" max="11" width="18.83203125" customWidth="1"/>
  </cols>
  <sheetData>
    <row r="1" spans="1:13">
      <c r="A1" t="s">
        <v>200</v>
      </c>
      <c r="F1" s="84"/>
      <c r="G1" t="s">
        <v>185</v>
      </c>
    </row>
    <row r="2" spans="1:13">
      <c r="F2" s="82"/>
      <c r="G2" t="s">
        <v>186</v>
      </c>
    </row>
    <row r="3" spans="1:13">
      <c r="A3" t="s">
        <v>0</v>
      </c>
    </row>
    <row r="4" spans="1:13">
      <c r="A4" s="28" t="s">
        <v>155</v>
      </c>
    </row>
    <row r="5" spans="1:13">
      <c r="A5" t="s">
        <v>1</v>
      </c>
    </row>
    <row r="6" spans="1:13">
      <c r="A6" t="s">
        <v>187</v>
      </c>
    </row>
    <row r="7" spans="1:13">
      <c r="A7" t="s">
        <v>188</v>
      </c>
    </row>
    <row r="8" spans="1:13">
      <c r="A8" t="s">
        <v>189</v>
      </c>
    </row>
    <row r="9" spans="1:13">
      <c r="A9" t="s">
        <v>2</v>
      </c>
    </row>
    <row r="10" spans="1:13">
      <c r="A10" t="s">
        <v>190</v>
      </c>
    </row>
    <row r="13" spans="1:13">
      <c r="A13" s="15" t="s">
        <v>3</v>
      </c>
      <c r="B13" s="15"/>
      <c r="C13" s="15"/>
      <c r="D13" s="15"/>
      <c r="E13" s="15"/>
      <c r="F13" s="15"/>
      <c r="G13" s="15"/>
      <c r="H13" s="15"/>
      <c r="I13" s="15"/>
      <c r="J13" s="15"/>
      <c r="K13" s="15"/>
    </row>
    <row r="14" spans="1:13">
      <c r="A14" s="15"/>
      <c r="B14" s="15"/>
      <c r="C14" s="15"/>
      <c r="D14" s="15"/>
      <c r="E14" s="15"/>
      <c r="F14" s="15"/>
      <c r="G14" s="15"/>
      <c r="H14" s="15"/>
      <c r="I14" s="15"/>
      <c r="J14" s="15"/>
      <c r="K14" s="15"/>
    </row>
    <row r="15" spans="1:13" s="14" customFormat="1" ht="46" thickBot="1">
      <c r="A15" s="7" t="s">
        <v>4</v>
      </c>
      <c r="B15" s="7" t="s">
        <v>5</v>
      </c>
      <c r="C15" s="7" t="s">
        <v>77</v>
      </c>
      <c r="D15" s="7" t="s">
        <v>10</v>
      </c>
      <c r="E15" s="7" t="s">
        <v>78</v>
      </c>
      <c r="F15" s="7" t="s">
        <v>6</v>
      </c>
      <c r="G15" s="7" t="s">
        <v>7</v>
      </c>
      <c r="H15" s="7" t="s">
        <v>13</v>
      </c>
      <c r="I15" s="7" t="s">
        <v>14</v>
      </c>
      <c r="J15" s="7" t="s">
        <v>11</v>
      </c>
      <c r="K15" s="7" t="s">
        <v>9</v>
      </c>
      <c r="L15" s="7" t="s">
        <v>86</v>
      </c>
      <c r="M15" s="7" t="s">
        <v>87</v>
      </c>
    </row>
    <row r="16" spans="1:13" ht="16" thickTop="1">
      <c r="A16" s="84" t="str">
        <f>A30</f>
        <v>Hal-ost-RR-32</v>
      </c>
      <c r="B16" s="84">
        <f t="shared" ref="B16:M16" si="0">B37</f>
        <v>14.310285714285715</v>
      </c>
      <c r="C16" s="84">
        <f t="shared" si="0"/>
        <v>9.2175714285714285</v>
      </c>
      <c r="D16" s="84">
        <f t="shared" si="0"/>
        <v>7.1551428571428577</v>
      </c>
      <c r="E16" s="84">
        <f t="shared" si="0"/>
        <v>4.6087857142857143</v>
      </c>
      <c r="F16" s="84">
        <f t="shared" si="0"/>
        <v>104.34121482205164</v>
      </c>
      <c r="G16" s="84">
        <f t="shared" si="0"/>
        <v>37</v>
      </c>
      <c r="H16" s="84">
        <f t="shared" si="0"/>
        <v>3860.6249484159107</v>
      </c>
      <c r="I16" s="84">
        <f t="shared" si="0"/>
        <v>54420</v>
      </c>
      <c r="J16" s="84">
        <f t="shared" si="0"/>
        <v>7.0941289019035472E-2</v>
      </c>
      <c r="K16" s="84">
        <f t="shared" si="0"/>
        <v>7.0941289019035469</v>
      </c>
      <c r="L16" s="84">
        <f t="shared" si="0"/>
        <v>2.364473163004452</v>
      </c>
      <c r="M16" s="84">
        <f t="shared" si="0"/>
        <v>7.0941289019035469</v>
      </c>
    </row>
    <row r="17" spans="1:13">
      <c r="A17" s="84" t="str">
        <f>A41</f>
        <v>Hal-ost-RR-02</v>
      </c>
      <c r="B17" s="84">
        <f>B47</f>
        <v>19.902333333333335</v>
      </c>
      <c r="C17" s="84">
        <f t="shared" ref="C17:M17" si="1">C47</f>
        <v>13.705666666666666</v>
      </c>
      <c r="D17" s="84">
        <f t="shared" si="1"/>
        <v>9.9511666666666674</v>
      </c>
      <c r="E17" s="84">
        <f t="shared" si="1"/>
        <v>6.8528333333333329</v>
      </c>
      <c r="F17" s="84">
        <f t="shared" si="1"/>
        <v>220.10825273125874</v>
      </c>
      <c r="G17" s="84">
        <f t="shared" si="1"/>
        <v>99</v>
      </c>
      <c r="H17" s="84">
        <f t="shared" si="1"/>
        <v>21790.717020394615</v>
      </c>
      <c r="I17" s="84">
        <f t="shared" si="1"/>
        <v>485297.25900000002</v>
      </c>
      <c r="J17" s="84">
        <f t="shared" si="1"/>
        <v>4.4901792903789331E-2</v>
      </c>
      <c r="K17" s="84">
        <f t="shared" si="1"/>
        <v>4.4901792903789328</v>
      </c>
      <c r="L17" s="84">
        <f t="shared" si="1"/>
        <v>1.4965767574832982</v>
      </c>
      <c r="M17" s="84">
        <f t="shared" si="1"/>
        <v>4.4901792903789328</v>
      </c>
    </row>
    <row r="18" spans="1:13">
      <c r="A18" s="84">
        <f>A51</f>
        <v>0</v>
      </c>
      <c r="B18" s="84"/>
      <c r="C18" s="84"/>
      <c r="D18" s="84"/>
      <c r="E18" s="84"/>
      <c r="F18" s="84"/>
      <c r="G18" s="84">
        <f>G51</f>
        <v>115</v>
      </c>
      <c r="H18" s="84"/>
      <c r="I18" s="84">
        <f>I51</f>
        <v>377877.77799999999</v>
      </c>
      <c r="J18" s="84"/>
      <c r="K18" s="84"/>
      <c r="L18" s="84"/>
      <c r="M18" s="84"/>
    </row>
    <row r="19" spans="1:13">
      <c r="A19" s="84"/>
      <c r="B19" s="84"/>
      <c r="C19" s="84"/>
      <c r="D19" s="84"/>
      <c r="E19" s="84"/>
      <c r="F19" s="84"/>
      <c r="G19" s="84"/>
      <c r="H19" s="84"/>
      <c r="I19" s="84"/>
      <c r="J19" s="84"/>
      <c r="K19" s="84"/>
      <c r="L19" s="84"/>
      <c r="M19" s="84"/>
    </row>
    <row r="20" spans="1:13">
      <c r="A20" s="84"/>
      <c r="B20" s="84"/>
      <c r="C20" s="84"/>
      <c r="D20" s="84"/>
      <c r="E20" s="84"/>
      <c r="F20" s="84"/>
      <c r="G20" s="84"/>
      <c r="H20" s="84"/>
      <c r="I20" s="84"/>
      <c r="J20" s="84"/>
      <c r="K20" s="84"/>
      <c r="L20" s="84"/>
      <c r="M20" s="84"/>
    </row>
    <row r="21" spans="1:13">
      <c r="A21" s="84"/>
      <c r="B21" s="84"/>
      <c r="C21" s="84"/>
      <c r="D21" s="84"/>
      <c r="E21" s="84"/>
      <c r="F21" s="84"/>
      <c r="G21" s="84"/>
      <c r="H21" s="84"/>
      <c r="I21" s="84"/>
      <c r="J21" s="84"/>
      <c r="K21" s="84"/>
      <c r="L21" s="84"/>
      <c r="M21" s="84"/>
    </row>
    <row r="22" spans="1:13">
      <c r="A22" s="84"/>
      <c r="B22" s="84"/>
      <c r="C22" s="84"/>
      <c r="D22" s="84"/>
      <c r="E22" s="84"/>
      <c r="F22" s="84"/>
      <c r="G22" s="84"/>
      <c r="H22" s="84"/>
      <c r="I22" s="84"/>
      <c r="J22" s="84"/>
      <c r="K22" s="84"/>
      <c r="L22" s="84"/>
      <c r="M22" s="84"/>
    </row>
    <row r="23" spans="1:13">
      <c r="A23" s="84"/>
      <c r="B23" s="84"/>
      <c r="C23" s="84"/>
      <c r="D23" s="84"/>
      <c r="E23" s="84"/>
      <c r="F23" s="84"/>
      <c r="G23" s="84"/>
      <c r="H23" s="84"/>
      <c r="I23" s="84"/>
      <c r="J23" s="84"/>
      <c r="K23" s="84"/>
      <c r="L23" s="84"/>
      <c r="M23" s="84"/>
    </row>
    <row r="24" spans="1:13" ht="16" thickBot="1">
      <c r="A24" s="4"/>
      <c r="B24" s="88">
        <f>AVERAGE(B16:C23)</f>
        <v>14.283964285714285</v>
      </c>
      <c r="C24" s="88"/>
      <c r="D24" s="88">
        <f>AVERAGE(D16:E23)</f>
        <v>7.1419821428571426</v>
      </c>
      <c r="E24" s="88"/>
      <c r="F24" s="88">
        <f>AVERAGE(F16:F23)</f>
        <v>162.2247337766552</v>
      </c>
      <c r="G24" s="88">
        <f>AVERAGE(G16:G23)</f>
        <v>83.666666666666671</v>
      </c>
      <c r="H24" s="88">
        <f>F24*G24</f>
        <v>13572.802725980153</v>
      </c>
      <c r="I24" s="88">
        <f>AVERAGE(I16:I23)</f>
        <v>305865.01233333332</v>
      </c>
      <c r="J24" s="88">
        <f>H24/I24</f>
        <v>4.4375139943068874E-2</v>
      </c>
      <c r="K24" s="88">
        <f>J24*100</f>
        <v>4.4375139943068875</v>
      </c>
      <c r="L24" s="88">
        <f>J24*20.25</f>
        <v>0.89859658384714469</v>
      </c>
      <c r="M24" s="88">
        <f>J24*100</f>
        <v>4.4375139943068875</v>
      </c>
    </row>
    <row r="25" spans="1:13">
      <c r="A25" t="s">
        <v>80</v>
      </c>
      <c r="B25" t="s">
        <v>81</v>
      </c>
    </row>
    <row r="26" spans="1:13">
      <c r="A26" s="9"/>
      <c r="B26" s="9"/>
      <c r="C26" s="9"/>
      <c r="D26" s="9"/>
      <c r="E26" s="9"/>
      <c r="F26" s="9"/>
      <c r="G26" s="9"/>
      <c r="H26" s="9"/>
      <c r="I26" s="9"/>
    </row>
    <row r="27" spans="1:13">
      <c r="A27" s="9"/>
      <c r="B27" s="9"/>
      <c r="C27" s="9"/>
      <c r="D27" s="9"/>
      <c r="E27" s="9"/>
      <c r="F27" s="9"/>
      <c r="G27" s="9"/>
      <c r="H27" s="9"/>
      <c r="I27" s="9"/>
    </row>
    <row r="28" spans="1:13">
      <c r="A28" s="9"/>
      <c r="B28" s="9"/>
      <c r="C28" s="9"/>
      <c r="D28" s="9"/>
      <c r="E28" s="9"/>
      <c r="F28" s="9"/>
      <c r="G28" s="9"/>
      <c r="H28" s="9"/>
      <c r="I28" s="9"/>
    </row>
    <row r="29" spans="1:13" ht="46" thickBot="1">
      <c r="A29" s="42" t="s">
        <v>4</v>
      </c>
      <c r="B29" s="42" t="s">
        <v>5</v>
      </c>
      <c r="C29" s="42" t="s">
        <v>77</v>
      </c>
      <c r="D29" s="42" t="s">
        <v>10</v>
      </c>
      <c r="E29" s="42" t="s">
        <v>78</v>
      </c>
      <c r="F29" s="42" t="s">
        <v>6</v>
      </c>
      <c r="G29" s="42" t="s">
        <v>7</v>
      </c>
      <c r="H29" s="42" t="s">
        <v>13</v>
      </c>
      <c r="I29" s="42" t="s">
        <v>14</v>
      </c>
      <c r="J29" s="42" t="s">
        <v>11</v>
      </c>
      <c r="K29" s="42" t="s">
        <v>9</v>
      </c>
      <c r="L29" s="42" t="s">
        <v>86</v>
      </c>
      <c r="M29" s="42" t="s">
        <v>87</v>
      </c>
    </row>
    <row r="30" spans="1:13" ht="16" thickTop="1">
      <c r="A30" s="9" t="s">
        <v>201</v>
      </c>
      <c r="B30" s="9">
        <v>13.568</v>
      </c>
      <c r="C30" s="9">
        <v>12.148999999999999</v>
      </c>
      <c r="D30" s="86">
        <f>B30/2</f>
        <v>6.7839999999999998</v>
      </c>
      <c r="E30" s="86">
        <f>C30/2</f>
        <v>6.0744999999999996</v>
      </c>
      <c r="F30" s="86">
        <f>PI()*D30*E30</f>
        <v>129.46317343158444</v>
      </c>
      <c r="G30" s="9"/>
      <c r="H30" s="9"/>
      <c r="I30" s="9"/>
    </row>
    <row r="31" spans="1:13">
      <c r="A31" s="9"/>
      <c r="B31" s="9">
        <v>11.096</v>
      </c>
      <c r="C31" s="9">
        <v>9.1620000000000008</v>
      </c>
      <c r="D31" s="86">
        <f>B31/2</f>
        <v>5.548</v>
      </c>
      <c r="E31" s="86">
        <f>C31/2</f>
        <v>4.5810000000000004</v>
      </c>
      <c r="F31" s="86">
        <f t="shared" ref="F31:F36" si="2">PI()*D31*E31</f>
        <v>79.844796228934186</v>
      </c>
      <c r="G31" s="9"/>
      <c r="H31" s="9"/>
      <c r="I31" s="9"/>
    </row>
    <row r="32" spans="1:13">
      <c r="A32" s="9"/>
      <c r="B32" s="9">
        <v>11.59</v>
      </c>
      <c r="C32" s="9">
        <v>7.8630000000000004</v>
      </c>
      <c r="D32" s="86">
        <f t="shared" ref="D32:D36" si="3">B32/2</f>
        <v>5.7949999999999999</v>
      </c>
      <c r="E32" s="86">
        <f t="shared" ref="E32:E36" si="4">C32/2</f>
        <v>3.9315000000000002</v>
      </c>
      <c r="F32" s="86">
        <f t="shared" si="2"/>
        <v>71.575038944424037</v>
      </c>
      <c r="G32" s="9"/>
      <c r="H32" s="9"/>
      <c r="I32" s="9"/>
    </row>
    <row r="33" spans="1:13">
      <c r="A33" s="9"/>
      <c r="B33" s="9">
        <v>14.125999999999999</v>
      </c>
      <c r="C33" s="31">
        <v>7.8029999999999999</v>
      </c>
      <c r="D33" s="86">
        <f t="shared" si="3"/>
        <v>7.0629999999999997</v>
      </c>
      <c r="E33" s="86">
        <f t="shared" si="4"/>
        <v>3.9015</v>
      </c>
      <c r="F33" s="86">
        <f t="shared" si="2"/>
        <v>86.570652361356821</v>
      </c>
      <c r="G33" s="9"/>
      <c r="H33" s="9"/>
      <c r="I33" s="9"/>
    </row>
    <row r="34" spans="1:13">
      <c r="A34" s="9"/>
      <c r="B34" s="9">
        <v>18.91</v>
      </c>
      <c r="C34" s="9">
        <v>9.64</v>
      </c>
      <c r="D34" s="86">
        <f t="shared" si="3"/>
        <v>9.4550000000000001</v>
      </c>
      <c r="E34" s="86">
        <f t="shared" si="4"/>
        <v>4.82</v>
      </c>
      <c r="F34" s="86">
        <f t="shared" si="2"/>
        <v>143.17211616131303</v>
      </c>
      <c r="G34" s="9"/>
      <c r="H34" s="9"/>
      <c r="I34" s="9"/>
    </row>
    <row r="35" spans="1:13">
      <c r="A35" s="9"/>
      <c r="B35" s="9">
        <v>17.724</v>
      </c>
      <c r="C35" s="9">
        <v>9.6809999999999992</v>
      </c>
      <c r="D35" s="86">
        <f t="shared" si="3"/>
        <v>8.8620000000000001</v>
      </c>
      <c r="E35" s="86">
        <f t="shared" si="4"/>
        <v>4.8404999999999996</v>
      </c>
      <c r="F35" s="86">
        <f t="shared" si="2"/>
        <v>134.76336382223374</v>
      </c>
      <c r="G35" s="9"/>
      <c r="H35" s="9"/>
      <c r="I35" s="9"/>
    </row>
    <row r="36" spans="1:13">
      <c r="A36" s="9"/>
      <c r="B36" s="9">
        <v>13.157999999999999</v>
      </c>
      <c r="C36" s="9">
        <v>8.2249999999999996</v>
      </c>
      <c r="D36" s="86">
        <f t="shared" si="3"/>
        <v>6.5789999999999997</v>
      </c>
      <c r="E36" s="86">
        <f t="shared" si="4"/>
        <v>4.1124999999999998</v>
      </c>
      <c r="F36" s="86">
        <f t="shared" si="2"/>
        <v>84.9993628045153</v>
      </c>
      <c r="G36" s="9"/>
      <c r="H36" s="9"/>
      <c r="I36" s="9"/>
    </row>
    <row r="37" spans="1:13">
      <c r="A37" s="9"/>
      <c r="B37" s="86">
        <f>AVERAGE(B30:B36)</f>
        <v>14.310285714285715</v>
      </c>
      <c r="C37" s="86">
        <f>AVERAGE(C30:C36)</f>
        <v>9.2175714285714285</v>
      </c>
      <c r="D37" s="86">
        <f>AVERAGE(D30:D36)</f>
        <v>7.1551428571428577</v>
      </c>
      <c r="E37" s="86">
        <f>AVERAGE(E30:E36)</f>
        <v>4.6087857142857143</v>
      </c>
      <c r="F37" s="86">
        <f>AVERAGE(F30:F36)</f>
        <v>104.34121482205164</v>
      </c>
      <c r="G37" s="89">
        <v>37</v>
      </c>
      <c r="H37" s="86">
        <f>G37*F37</f>
        <v>3860.6249484159107</v>
      </c>
      <c r="I37">
        <v>54420</v>
      </c>
      <c r="J37" s="82">
        <f>H37/I37</f>
        <v>7.0941289019035472E-2</v>
      </c>
      <c r="K37" s="82">
        <f>J37*100</f>
        <v>7.0941289019035469</v>
      </c>
      <c r="L37" s="82">
        <f>J37*33.33</f>
        <v>2.364473163004452</v>
      </c>
      <c r="M37" s="82">
        <f>K37</f>
        <v>7.0941289019035469</v>
      </c>
    </row>
    <row r="38" spans="1:13">
      <c r="A38" s="9"/>
      <c r="B38" s="9"/>
      <c r="C38" s="9"/>
      <c r="D38" s="9"/>
      <c r="E38" s="9"/>
      <c r="F38" s="9"/>
      <c r="G38" s="9"/>
      <c r="H38" s="9"/>
      <c r="I38" s="9"/>
    </row>
    <row r="39" spans="1:13">
      <c r="A39" s="9"/>
      <c r="B39" s="9"/>
      <c r="C39" s="9"/>
      <c r="D39" s="9"/>
      <c r="E39" s="9"/>
      <c r="F39" s="9"/>
      <c r="G39" s="9"/>
      <c r="H39" s="9"/>
      <c r="I39" s="9"/>
      <c r="J39" s="9"/>
      <c r="K39" s="9"/>
      <c r="L39" s="9"/>
      <c r="M39" s="9"/>
    </row>
    <row r="40" spans="1:13" ht="46" thickBot="1">
      <c r="A40" s="42" t="s">
        <v>4</v>
      </c>
      <c r="B40" s="42" t="s">
        <v>5</v>
      </c>
      <c r="C40" s="42" t="s">
        <v>77</v>
      </c>
      <c r="D40" s="42" t="s">
        <v>10</v>
      </c>
      <c r="E40" s="42" t="s">
        <v>78</v>
      </c>
      <c r="F40" s="42" t="s">
        <v>6</v>
      </c>
      <c r="G40" s="42" t="s">
        <v>7</v>
      </c>
      <c r="H40" s="42" t="s">
        <v>13</v>
      </c>
      <c r="I40" s="42" t="s">
        <v>14</v>
      </c>
      <c r="J40" s="42" t="s">
        <v>11</v>
      </c>
      <c r="K40" s="42" t="s">
        <v>9</v>
      </c>
      <c r="L40" s="42" t="s">
        <v>86</v>
      </c>
      <c r="M40" s="42" t="s">
        <v>87</v>
      </c>
    </row>
    <row r="41" spans="1:13" ht="16" thickTop="1">
      <c r="A41" s="9" t="s">
        <v>202</v>
      </c>
      <c r="B41">
        <v>27.335000000000001</v>
      </c>
      <c r="C41">
        <v>14.629</v>
      </c>
      <c r="D41" s="86">
        <f>B41/2</f>
        <v>13.6675</v>
      </c>
      <c r="E41" s="86">
        <f>C41/2</f>
        <v>7.3144999999999998</v>
      </c>
      <c r="F41" s="86">
        <f>PI()*D41*E41</f>
        <v>314.06793533354863</v>
      </c>
      <c r="G41" s="9"/>
      <c r="H41" s="9"/>
      <c r="I41" s="9"/>
    </row>
    <row r="42" spans="1:13">
      <c r="A42" s="9"/>
      <c r="B42">
        <v>20.992000000000001</v>
      </c>
      <c r="C42">
        <v>10.984</v>
      </c>
      <c r="D42" s="86">
        <f>B42/2</f>
        <v>10.496</v>
      </c>
      <c r="E42" s="86">
        <f>C42/2</f>
        <v>5.492</v>
      </c>
      <c r="F42" s="86">
        <f t="shared" ref="F42:F46" si="5">PI()*D42*E42</f>
        <v>181.09406745449496</v>
      </c>
      <c r="G42" s="9"/>
      <c r="H42" s="9"/>
      <c r="I42" s="9"/>
    </row>
    <row r="43" spans="1:13">
      <c r="A43" s="9"/>
      <c r="B43">
        <v>23.866</v>
      </c>
      <c r="C43">
        <v>19.097000000000001</v>
      </c>
      <c r="D43" s="86">
        <f t="shared" ref="D43:D46" si="6">B43/2</f>
        <v>11.933</v>
      </c>
      <c r="E43" s="86">
        <f t="shared" ref="E43:E46" si="7">C43/2</f>
        <v>9.5485000000000007</v>
      </c>
      <c r="F43" s="86">
        <f t="shared" si="5"/>
        <v>357.96013710428798</v>
      </c>
      <c r="G43" s="9"/>
      <c r="H43" s="9"/>
      <c r="I43" s="9"/>
    </row>
    <row r="44" spans="1:13">
      <c r="A44" s="9"/>
      <c r="B44">
        <v>13.223000000000001</v>
      </c>
      <c r="C44">
        <v>11.817</v>
      </c>
      <c r="D44" s="86">
        <f t="shared" si="6"/>
        <v>6.6115000000000004</v>
      </c>
      <c r="E44" s="86">
        <f t="shared" si="7"/>
        <v>5.9085000000000001</v>
      </c>
      <c r="F44" s="86">
        <f t="shared" si="5"/>
        <v>122.72332543088089</v>
      </c>
      <c r="G44" s="9"/>
      <c r="H44" s="9"/>
      <c r="I44" s="9"/>
    </row>
    <row r="45" spans="1:13">
      <c r="A45" s="9"/>
      <c r="B45">
        <v>19.739000000000001</v>
      </c>
      <c r="C45">
        <v>13.223000000000001</v>
      </c>
      <c r="D45" s="86">
        <f t="shared" si="6"/>
        <v>9.8695000000000004</v>
      </c>
      <c r="E45" s="86">
        <f t="shared" si="7"/>
        <v>6.6115000000000004</v>
      </c>
      <c r="F45" s="86">
        <f t="shared" si="5"/>
        <v>204.99582979437741</v>
      </c>
      <c r="G45" s="9"/>
      <c r="H45" s="9"/>
      <c r="I45" s="9"/>
    </row>
    <row r="46" spans="1:13">
      <c r="A46" s="9"/>
      <c r="B46">
        <v>14.259</v>
      </c>
      <c r="C46">
        <v>12.484</v>
      </c>
      <c r="D46" s="86">
        <f t="shared" si="6"/>
        <v>7.1295000000000002</v>
      </c>
      <c r="E46" s="86">
        <f t="shared" si="7"/>
        <v>6.242</v>
      </c>
      <c r="F46" s="86">
        <f t="shared" si="5"/>
        <v>139.80822126996256</v>
      </c>
      <c r="G46" s="9"/>
      <c r="H46" s="9"/>
      <c r="I46" s="9"/>
    </row>
    <row r="47" spans="1:13">
      <c r="A47" s="9"/>
      <c r="B47" s="86">
        <f>AVERAGE(B41:B46)</f>
        <v>19.902333333333335</v>
      </c>
      <c r="C47" s="86">
        <f>AVERAGE(C41:C46)</f>
        <v>13.705666666666666</v>
      </c>
      <c r="D47" s="86">
        <f>AVERAGE(D41:D46)</f>
        <v>9.9511666666666674</v>
      </c>
      <c r="E47" s="86">
        <f>AVERAGE(E41:E46)</f>
        <v>6.8528333333333329</v>
      </c>
      <c r="F47" s="86">
        <f>AVERAGE(F41:F46)</f>
        <v>220.10825273125874</v>
      </c>
      <c r="G47" s="89">
        <v>99</v>
      </c>
      <c r="H47" s="86">
        <f>G47*F47</f>
        <v>21790.717020394615</v>
      </c>
      <c r="I47" s="27">
        <v>485297.25900000002</v>
      </c>
      <c r="J47" s="82">
        <f>H47/I47</f>
        <v>4.4901792903789331E-2</v>
      </c>
      <c r="K47" s="82">
        <f>J47*100</f>
        <v>4.4901792903789328</v>
      </c>
      <c r="L47" s="82">
        <f>J47*33.33</f>
        <v>1.4965767574832982</v>
      </c>
      <c r="M47" s="82">
        <f>K47</f>
        <v>4.4901792903789328</v>
      </c>
    </row>
    <row r="48" spans="1:13">
      <c r="A48" s="9"/>
      <c r="B48" s="9"/>
      <c r="C48" s="9"/>
      <c r="D48" s="9"/>
      <c r="E48" s="9"/>
      <c r="F48" s="9"/>
      <c r="G48" s="9"/>
      <c r="H48" s="9"/>
      <c r="I48" s="9"/>
      <c r="J48" s="9"/>
      <c r="K48" s="9"/>
      <c r="L48" s="9"/>
      <c r="M48" s="9"/>
    </row>
    <row r="49" spans="1:13">
      <c r="A49" s="9"/>
      <c r="B49" s="9"/>
      <c r="C49" s="9"/>
      <c r="D49" s="9"/>
      <c r="E49" s="9"/>
      <c r="F49" s="9"/>
      <c r="G49" s="9"/>
      <c r="H49" s="9"/>
      <c r="I49" s="9"/>
      <c r="J49" s="9"/>
      <c r="K49" s="9"/>
      <c r="L49" s="9"/>
      <c r="M49" s="9"/>
    </row>
    <row r="50" spans="1:13" ht="46" thickBot="1">
      <c r="A50" s="42" t="s">
        <v>4</v>
      </c>
      <c r="B50" s="42" t="s">
        <v>5</v>
      </c>
      <c r="C50" s="42" t="s">
        <v>77</v>
      </c>
      <c r="D50" s="42" t="s">
        <v>10</v>
      </c>
      <c r="E50" s="42" t="s">
        <v>78</v>
      </c>
      <c r="F50" s="42" t="s">
        <v>6</v>
      </c>
      <c r="G50" s="42" t="s">
        <v>7</v>
      </c>
      <c r="H50" s="42" t="s">
        <v>13</v>
      </c>
      <c r="I50" s="42" t="s">
        <v>14</v>
      </c>
      <c r="J50" s="42" t="s">
        <v>11</v>
      </c>
      <c r="K50" s="42" t="s">
        <v>9</v>
      </c>
      <c r="L50" s="42" t="s">
        <v>86</v>
      </c>
      <c r="M50" s="42" t="s">
        <v>87</v>
      </c>
    </row>
    <row r="51" spans="1:13" ht="16" thickTop="1">
      <c r="A51" s="9"/>
      <c r="B51" s="86"/>
      <c r="C51" s="86"/>
      <c r="D51" s="86"/>
      <c r="E51" s="86"/>
      <c r="F51" s="86"/>
      <c r="G51" s="89">
        <v>115</v>
      </c>
      <c r="H51" s="86">
        <f>G51*F51</f>
        <v>0</v>
      </c>
      <c r="I51" s="9">
        <v>377877.77799999999</v>
      </c>
      <c r="J51" s="82">
        <f>H51/I51</f>
        <v>0</v>
      </c>
      <c r="K51" s="82">
        <f>J51*100</f>
        <v>0</v>
      </c>
      <c r="L51" s="82">
        <f>J51*33.33</f>
        <v>0</v>
      </c>
      <c r="M51" s="82">
        <f>K51</f>
        <v>0</v>
      </c>
    </row>
    <row r="52" spans="1:13">
      <c r="A52" s="9"/>
      <c r="B52" s="9"/>
      <c r="C52" s="9"/>
      <c r="D52" s="9"/>
      <c r="E52" s="9"/>
      <c r="F52" s="9"/>
      <c r="G52" s="9"/>
      <c r="H52" s="9"/>
      <c r="I52" s="9"/>
      <c r="J52" s="9"/>
      <c r="K52" s="9"/>
      <c r="L52" s="9"/>
      <c r="M52" s="9"/>
    </row>
    <row r="53" spans="1:13">
      <c r="A53" s="9"/>
      <c r="B53" s="9"/>
      <c r="C53" s="9"/>
      <c r="D53" s="9"/>
      <c r="E53" s="9"/>
      <c r="F53" s="9"/>
      <c r="G53" s="9"/>
      <c r="H53" s="9"/>
      <c r="I53" s="9"/>
      <c r="J53" s="9"/>
      <c r="K53" s="9"/>
      <c r="L53" s="9"/>
      <c r="M53" s="9"/>
    </row>
    <row r="54" spans="1:13">
      <c r="A54" s="9"/>
      <c r="B54" s="9"/>
      <c r="C54" s="9"/>
      <c r="D54" s="9"/>
      <c r="E54" s="9"/>
      <c r="F54" s="9"/>
      <c r="G54" s="9"/>
      <c r="H54" s="9"/>
      <c r="I54" s="9"/>
      <c r="J54" s="9"/>
      <c r="K54" s="9"/>
      <c r="L54" s="9"/>
      <c r="M54" s="9"/>
    </row>
    <row r="55" spans="1:13">
      <c r="A55" s="9"/>
      <c r="B55" s="9"/>
      <c r="C55" s="9"/>
      <c r="D55" s="9"/>
      <c r="E55" s="9"/>
      <c r="F55" s="9"/>
      <c r="G55" s="9"/>
      <c r="H55" s="9"/>
      <c r="I55" s="9"/>
      <c r="J55" s="9"/>
      <c r="K55" s="9"/>
      <c r="L55" s="9"/>
      <c r="M55" s="9"/>
    </row>
    <row r="56" spans="1:13">
      <c r="A56" s="9"/>
      <c r="B56" s="9"/>
      <c r="C56" s="9"/>
      <c r="D56" s="9"/>
      <c r="E56" s="9"/>
      <c r="F56" s="9"/>
      <c r="G56" s="9"/>
      <c r="H56" s="9"/>
      <c r="I56" s="9"/>
      <c r="J56" s="9"/>
      <c r="K56" s="9"/>
      <c r="L56" s="9"/>
      <c r="M56" s="9"/>
    </row>
    <row r="57" spans="1:13">
      <c r="A57" s="9"/>
      <c r="B57" s="9"/>
      <c r="C57" s="9"/>
      <c r="D57" s="9"/>
      <c r="E57" s="9"/>
      <c r="F57" s="9"/>
      <c r="G57" s="9"/>
      <c r="H57" s="9"/>
      <c r="I57" s="9"/>
      <c r="J57" s="9"/>
      <c r="K57" s="9"/>
      <c r="L57" s="9"/>
      <c r="M57" s="9"/>
    </row>
    <row r="58" spans="1:13">
      <c r="A58" s="9"/>
      <c r="B58" s="9"/>
      <c r="C58" s="9"/>
      <c r="D58" s="9"/>
      <c r="E58" s="9"/>
      <c r="F58" s="9"/>
      <c r="G58" s="9"/>
      <c r="H58" s="9"/>
      <c r="I58" s="9"/>
      <c r="J58" s="9"/>
      <c r="K58" s="9"/>
      <c r="L58" s="9"/>
      <c r="M58" s="9"/>
    </row>
    <row r="59" spans="1:13">
      <c r="A59" s="9"/>
      <c r="B59" s="9"/>
      <c r="C59" s="9"/>
      <c r="D59" s="9"/>
      <c r="E59" s="9"/>
      <c r="F59" s="9"/>
      <c r="G59" s="9"/>
      <c r="H59" s="9"/>
      <c r="I59" s="9"/>
      <c r="J59" s="9"/>
      <c r="K59" s="9"/>
      <c r="L59" s="9"/>
      <c r="M59" s="9"/>
    </row>
    <row r="60" spans="1:13">
      <c r="A60" s="9"/>
      <c r="B60" s="9"/>
      <c r="C60" s="9"/>
      <c r="D60" s="9"/>
      <c r="E60" s="9"/>
      <c r="F60" s="9"/>
      <c r="G60" s="9"/>
      <c r="H60" s="9"/>
      <c r="I60" s="9"/>
      <c r="J60" s="9"/>
      <c r="K60" s="9"/>
      <c r="L60" s="9"/>
      <c r="M60" s="9"/>
    </row>
    <row r="61" spans="1:13">
      <c r="A61" s="9"/>
      <c r="B61" s="9"/>
      <c r="C61" s="9"/>
      <c r="D61" s="9"/>
      <c r="E61" s="9"/>
      <c r="F61" s="9"/>
      <c r="G61" s="9"/>
      <c r="H61" s="9"/>
      <c r="I61" s="9"/>
      <c r="J61" s="9"/>
      <c r="K61" s="9"/>
      <c r="L61" s="9"/>
      <c r="M61" s="9"/>
    </row>
    <row r="62" spans="1:13">
      <c r="A62" s="9"/>
      <c r="B62" s="9"/>
      <c r="C62" s="9"/>
      <c r="D62" s="9"/>
      <c r="E62" s="9"/>
      <c r="F62" s="9"/>
      <c r="G62" s="9"/>
      <c r="H62" s="9"/>
      <c r="I62" s="9"/>
      <c r="J62" s="9"/>
      <c r="K62" s="9"/>
      <c r="L62" s="9"/>
      <c r="M62" s="9"/>
    </row>
    <row r="63" spans="1:13">
      <c r="A63" s="9"/>
      <c r="B63" s="9"/>
      <c r="C63" s="9"/>
      <c r="D63" s="9"/>
      <c r="E63" s="9"/>
      <c r="F63" s="9"/>
      <c r="G63" s="9"/>
      <c r="H63" s="9"/>
      <c r="I63" s="9"/>
      <c r="J63" s="9"/>
      <c r="K63" s="9"/>
      <c r="L63" s="9"/>
      <c r="M63" s="9"/>
    </row>
    <row r="64" spans="1:13">
      <c r="A64" s="9"/>
      <c r="B64" s="9"/>
      <c r="C64" s="9"/>
      <c r="D64" s="9"/>
      <c r="E64" s="9"/>
      <c r="F64" s="9"/>
      <c r="G64" s="9"/>
      <c r="H64" s="9"/>
      <c r="I64" s="9"/>
      <c r="J64" s="9"/>
      <c r="K64" s="9"/>
      <c r="L64" s="9"/>
      <c r="M64" s="9"/>
    </row>
    <row r="65" spans="1:9">
      <c r="A65" s="9"/>
      <c r="B65" s="9"/>
      <c r="C65" s="9"/>
      <c r="D65" s="9"/>
      <c r="E65" s="9"/>
      <c r="F65" s="9"/>
      <c r="G65" s="9"/>
      <c r="H65" s="9"/>
      <c r="I65" s="9"/>
    </row>
    <row r="66" spans="1:9">
      <c r="A66" s="9"/>
      <c r="B66" s="9"/>
      <c r="C66" s="9"/>
      <c r="D66" s="9"/>
      <c r="E66" s="9"/>
      <c r="F66" s="9"/>
      <c r="G66" s="9"/>
      <c r="H66" s="9"/>
      <c r="I66" s="9"/>
    </row>
    <row r="67" spans="1:9">
      <c r="A67" s="9"/>
      <c r="B67" s="9"/>
      <c r="C67" s="9"/>
      <c r="D67" s="9"/>
      <c r="E67" s="9"/>
      <c r="F67" s="31"/>
      <c r="G67" s="31"/>
      <c r="H67" s="31"/>
      <c r="I67" s="31"/>
    </row>
    <row r="68" spans="1:9">
      <c r="A68" s="9"/>
      <c r="B68" s="9"/>
      <c r="C68" s="9"/>
      <c r="D68" s="9"/>
      <c r="E68" s="9"/>
      <c r="F68" s="9"/>
      <c r="G68" s="9"/>
      <c r="H68" s="9"/>
      <c r="I68" s="9"/>
    </row>
    <row r="69" spans="1:9">
      <c r="A69" s="9"/>
      <c r="B69" s="9"/>
      <c r="C69" s="9"/>
      <c r="D69" s="9"/>
      <c r="E69" s="9"/>
      <c r="F69" s="9"/>
      <c r="G69" s="9"/>
      <c r="H69" s="9"/>
      <c r="I69" s="9"/>
    </row>
    <row r="70" spans="1:9">
      <c r="A70" s="9"/>
      <c r="B70" s="9"/>
      <c r="C70" s="9"/>
      <c r="D70" s="9"/>
      <c r="E70" s="9"/>
      <c r="F70" s="9"/>
      <c r="G70" s="9"/>
      <c r="H70" s="9"/>
      <c r="I70" s="9"/>
    </row>
    <row r="71" spans="1:9">
      <c r="A71" s="9"/>
      <c r="B71" s="9"/>
      <c r="C71" s="9"/>
      <c r="D71" s="9"/>
      <c r="E71" s="9"/>
      <c r="F71" s="9"/>
      <c r="G71" s="9"/>
      <c r="H71" s="9"/>
      <c r="I71" s="9"/>
    </row>
    <row r="72" spans="1:9">
      <c r="A72" s="9"/>
      <c r="B72" s="9"/>
      <c r="C72" s="9"/>
      <c r="D72" s="9"/>
      <c r="E72" s="9"/>
      <c r="F72" s="9"/>
      <c r="G72" s="9"/>
      <c r="H72" s="9"/>
      <c r="I72" s="9"/>
    </row>
    <row r="73" spans="1:9">
      <c r="A73" s="9"/>
      <c r="B73" s="9"/>
      <c r="C73" s="9"/>
      <c r="D73" s="9"/>
      <c r="E73" s="9"/>
      <c r="F73" s="9"/>
      <c r="G73" s="9"/>
      <c r="H73" s="9"/>
      <c r="I73" s="9"/>
    </row>
    <row r="74" spans="1:9">
      <c r="A74" s="9"/>
      <c r="B74" s="9"/>
      <c r="C74" s="9"/>
      <c r="D74" s="9"/>
      <c r="E74" s="9"/>
      <c r="F74" s="9"/>
      <c r="G74" s="9"/>
      <c r="H74" s="9"/>
      <c r="I74" s="9"/>
    </row>
    <row r="75" spans="1:9">
      <c r="A75" s="9"/>
      <c r="B75" s="9"/>
      <c r="C75" s="9"/>
      <c r="D75" s="9"/>
      <c r="E75" s="9"/>
      <c r="F75" s="9"/>
      <c r="G75" s="9"/>
      <c r="H75" s="9"/>
      <c r="I75" s="9"/>
    </row>
    <row r="76" spans="1:9">
      <c r="A76" s="9"/>
      <c r="B76" s="9"/>
      <c r="C76" s="9"/>
      <c r="D76" s="9"/>
      <c r="E76" s="9"/>
      <c r="F76" s="9"/>
      <c r="G76" s="9"/>
      <c r="H76" s="9"/>
      <c r="I76" s="9"/>
    </row>
    <row r="77" spans="1:9">
      <c r="A77" s="9"/>
      <c r="B77" s="9"/>
      <c r="C77" s="9"/>
      <c r="D77" s="9"/>
      <c r="E77" s="9"/>
      <c r="F77" s="9"/>
      <c r="G77" s="9"/>
      <c r="H77" s="9"/>
      <c r="I77" s="9"/>
    </row>
    <row r="78" spans="1:9">
      <c r="A78" s="9"/>
      <c r="B78" s="9"/>
      <c r="C78" s="9"/>
      <c r="D78" s="9"/>
      <c r="E78" s="9"/>
      <c r="F78" s="9"/>
      <c r="G78" s="9"/>
      <c r="H78" s="9"/>
      <c r="I78" s="9"/>
    </row>
    <row r="79" spans="1:9">
      <c r="A79" s="9"/>
      <c r="B79" s="9"/>
      <c r="C79" s="9"/>
      <c r="D79" s="9"/>
      <c r="E79" s="9"/>
      <c r="F79" s="9"/>
      <c r="G79" s="9"/>
      <c r="H79" s="9"/>
      <c r="I79" s="9"/>
    </row>
    <row r="80" spans="1:9">
      <c r="A80" s="9"/>
      <c r="B80" s="9"/>
      <c r="C80" s="9"/>
      <c r="D80" s="9"/>
      <c r="E80" s="9"/>
      <c r="F80" s="31"/>
      <c r="G80" s="31"/>
      <c r="H80" s="31"/>
      <c r="I80" s="31"/>
    </row>
    <row r="81" spans="1:9">
      <c r="A81" s="9"/>
      <c r="B81" s="9"/>
      <c r="C81" s="9"/>
      <c r="D81" s="9"/>
      <c r="E81" s="9"/>
      <c r="F81" s="9"/>
      <c r="G81" s="9"/>
      <c r="H81" s="9"/>
      <c r="I81" s="9"/>
    </row>
    <row r="82" spans="1:9">
      <c r="A82" s="9"/>
      <c r="B82" s="9"/>
      <c r="C82" s="9"/>
      <c r="D82" s="9"/>
      <c r="E82" s="9"/>
      <c r="F82" s="9"/>
      <c r="G82" s="9"/>
      <c r="H82" s="9"/>
      <c r="I82" s="9"/>
    </row>
    <row r="83" spans="1:9">
      <c r="A83" s="9"/>
      <c r="B83" s="9"/>
      <c r="C83" s="9"/>
      <c r="D83" s="9"/>
      <c r="E83" s="9"/>
      <c r="F83" s="9"/>
      <c r="G83" s="9"/>
      <c r="H83" s="9"/>
      <c r="I83" s="9"/>
    </row>
    <row r="84" spans="1:9">
      <c r="A84" s="9"/>
      <c r="B84" s="9"/>
      <c r="C84" s="9"/>
      <c r="D84" s="9"/>
      <c r="E84" s="9"/>
      <c r="F84" s="9"/>
      <c r="G84" s="9"/>
      <c r="H84" s="9"/>
      <c r="I84" s="9"/>
    </row>
    <row r="85" spans="1:9">
      <c r="A85" s="9"/>
      <c r="B85" s="9"/>
      <c r="C85" s="9"/>
      <c r="D85" s="9"/>
      <c r="E85" s="9"/>
      <c r="F85" s="9"/>
      <c r="G85" s="9"/>
      <c r="H85" s="9"/>
      <c r="I85" s="9"/>
    </row>
    <row r="86" spans="1:9">
      <c r="A86" s="9"/>
      <c r="B86" s="9"/>
      <c r="C86" s="9"/>
      <c r="D86" s="9"/>
      <c r="E86" s="9"/>
      <c r="F86" s="9"/>
      <c r="G86" s="9"/>
      <c r="H86" s="9"/>
      <c r="I86" s="9"/>
    </row>
    <row r="87" spans="1:9">
      <c r="A87" s="9"/>
      <c r="B87" s="9"/>
      <c r="C87" s="9"/>
      <c r="D87" s="9"/>
      <c r="E87" s="9"/>
      <c r="F87" s="9"/>
      <c r="G87" s="9"/>
      <c r="H87" s="9"/>
      <c r="I87" s="9"/>
    </row>
    <row r="88" spans="1:9">
      <c r="A88" s="9"/>
      <c r="B88" s="9"/>
      <c r="C88" s="9"/>
      <c r="D88" s="9"/>
      <c r="E88" s="9"/>
      <c r="F88" s="9"/>
      <c r="G88" s="9"/>
      <c r="H88" s="9"/>
      <c r="I88" s="9"/>
    </row>
    <row r="89" spans="1:9">
      <c r="A89" s="9"/>
      <c r="B89" s="9"/>
      <c r="C89" s="9"/>
      <c r="D89" s="9"/>
      <c r="E89" s="9"/>
      <c r="F89" s="9"/>
      <c r="G89" s="9"/>
      <c r="H89" s="9"/>
      <c r="I89" s="9"/>
    </row>
    <row r="90" spans="1:9">
      <c r="A90" s="9"/>
      <c r="B90" s="9"/>
      <c r="C90" s="9"/>
      <c r="D90" s="9"/>
      <c r="E90" s="9"/>
      <c r="F90" s="9"/>
      <c r="G90" s="9"/>
      <c r="H90" s="9"/>
      <c r="I90" s="9"/>
    </row>
    <row r="91" spans="1:9">
      <c r="A91" s="9"/>
      <c r="B91" s="9"/>
      <c r="C91" s="9"/>
      <c r="D91" s="9"/>
      <c r="E91" s="9"/>
      <c r="F91" s="9"/>
      <c r="G91" s="9"/>
      <c r="H91" s="9"/>
      <c r="I91" s="9"/>
    </row>
    <row r="92" spans="1:9">
      <c r="A92" s="9"/>
      <c r="B92" s="9"/>
      <c r="C92" s="9"/>
      <c r="D92" s="9"/>
      <c r="E92" s="9"/>
      <c r="F92" s="9"/>
      <c r="G92" s="9"/>
      <c r="H92" s="9"/>
      <c r="I92" s="9"/>
    </row>
    <row r="93" spans="1:9">
      <c r="A93" s="9"/>
      <c r="B93" s="9"/>
      <c r="C93" s="9"/>
      <c r="D93" s="9"/>
      <c r="E93" s="9"/>
      <c r="F93" s="31"/>
      <c r="G93" s="31"/>
      <c r="H93" s="31"/>
      <c r="I93" s="31"/>
    </row>
    <row r="94" spans="1:9">
      <c r="A94" s="9"/>
      <c r="B94" s="9"/>
      <c r="C94" s="9"/>
      <c r="D94" s="9"/>
      <c r="E94" s="9"/>
      <c r="F94" s="9"/>
      <c r="G94" s="9"/>
      <c r="H94" s="9"/>
      <c r="I94" s="9"/>
    </row>
    <row r="95" spans="1:9">
      <c r="A95" s="31"/>
      <c r="B95" s="31"/>
      <c r="C95" s="31"/>
      <c r="D95" s="31"/>
      <c r="E95" s="31"/>
      <c r="F95" s="31"/>
      <c r="G95" s="31"/>
      <c r="H95" s="31"/>
      <c r="I95" s="31"/>
    </row>
    <row r="96" spans="1:9">
      <c r="A96" s="9"/>
      <c r="B96" s="9"/>
      <c r="C96" s="9"/>
      <c r="D96" s="9"/>
      <c r="E96" s="9"/>
      <c r="F96" s="9"/>
      <c r="G96" s="9"/>
      <c r="H96" s="9"/>
      <c r="I96" s="9"/>
    </row>
    <row r="97" spans="1:9">
      <c r="A97" s="9"/>
      <c r="B97" s="9"/>
      <c r="C97" s="9"/>
      <c r="D97" s="9"/>
      <c r="E97" s="9"/>
      <c r="F97" s="9"/>
      <c r="G97" s="9"/>
      <c r="H97" s="9"/>
      <c r="I97" s="9"/>
    </row>
    <row r="98" spans="1:9">
      <c r="A98" s="9"/>
      <c r="B98" s="9"/>
      <c r="C98" s="9"/>
      <c r="D98" s="9"/>
      <c r="E98" s="9"/>
      <c r="F98" s="9"/>
      <c r="G98" s="9"/>
      <c r="H98" s="9"/>
      <c r="I98" s="9"/>
    </row>
    <row r="99" spans="1:9">
      <c r="A99" s="9"/>
      <c r="B99" s="9"/>
      <c r="C99" s="9"/>
      <c r="D99" s="9"/>
      <c r="E99" s="9"/>
      <c r="F99" s="9"/>
      <c r="G99" s="9"/>
      <c r="H99" s="9"/>
      <c r="I99" s="9"/>
    </row>
    <row r="100" spans="1:9">
      <c r="A100" s="9"/>
      <c r="B100" s="9"/>
      <c r="C100" s="9"/>
      <c r="D100" s="9"/>
      <c r="E100" s="9"/>
      <c r="F100" s="9"/>
      <c r="G100" s="9"/>
      <c r="H100" s="9"/>
      <c r="I100" s="9"/>
    </row>
    <row r="101" spans="1:9">
      <c r="A101" s="9"/>
      <c r="B101" s="9"/>
      <c r="C101" s="9"/>
      <c r="D101" s="9"/>
      <c r="E101" s="9"/>
      <c r="F101" s="9"/>
      <c r="G101" s="9"/>
      <c r="H101" s="9"/>
      <c r="I101" s="9"/>
    </row>
    <row r="102" spans="1:9">
      <c r="A102" s="9"/>
      <c r="B102" s="9"/>
      <c r="C102" s="9"/>
      <c r="D102" s="9"/>
      <c r="E102" s="9"/>
      <c r="F102" s="9"/>
      <c r="G102" s="9"/>
      <c r="H102" s="9"/>
      <c r="I102" s="9"/>
    </row>
    <row r="103" spans="1:9">
      <c r="A103" s="9"/>
      <c r="B103" s="9"/>
      <c r="C103" s="9"/>
      <c r="D103" s="9"/>
      <c r="E103" s="9"/>
      <c r="F103" s="9"/>
      <c r="G103" s="9"/>
      <c r="H103" s="9"/>
      <c r="I103" s="9"/>
    </row>
    <row r="104" spans="1:9">
      <c r="A104" s="9"/>
      <c r="B104" s="9"/>
      <c r="C104" s="9"/>
      <c r="D104" s="9"/>
      <c r="E104" s="9"/>
      <c r="F104" s="9"/>
      <c r="G104" s="9"/>
      <c r="H104" s="9"/>
      <c r="I104" s="9"/>
    </row>
    <row r="105" spans="1:9">
      <c r="A105" s="9"/>
      <c r="B105" s="9"/>
      <c r="C105" s="9"/>
      <c r="D105" s="9"/>
      <c r="E105" s="9"/>
      <c r="F105" s="9"/>
      <c r="G105" s="9"/>
      <c r="H105" s="9"/>
      <c r="I105" s="9"/>
    </row>
    <row r="106" spans="1:9">
      <c r="A106" s="9"/>
      <c r="B106" s="9"/>
      <c r="C106" s="9"/>
      <c r="D106" s="9"/>
      <c r="E106" s="9"/>
      <c r="F106" s="9"/>
      <c r="G106" s="9"/>
      <c r="H106" s="9"/>
      <c r="I106" s="9"/>
    </row>
    <row r="107" spans="1:9">
      <c r="A107" s="9"/>
      <c r="B107" s="9"/>
      <c r="C107" s="9"/>
      <c r="D107" s="9"/>
      <c r="E107" s="9"/>
      <c r="F107" s="31"/>
      <c r="G107" s="9"/>
      <c r="H107" s="9"/>
      <c r="I107" s="9"/>
    </row>
    <row r="108" spans="1:9">
      <c r="A108" s="9"/>
      <c r="B108" s="9"/>
      <c r="C108" s="9"/>
      <c r="D108" s="9"/>
      <c r="E108" s="9"/>
      <c r="F108" s="9"/>
      <c r="G108" s="9"/>
      <c r="H108" s="9"/>
      <c r="I108" s="9"/>
    </row>
    <row r="109" spans="1:9">
      <c r="A109" s="9"/>
      <c r="B109" s="9"/>
      <c r="C109" s="9"/>
      <c r="D109" s="9"/>
      <c r="E109" s="9"/>
      <c r="F109" s="9"/>
      <c r="G109" s="9"/>
      <c r="H109" s="9"/>
      <c r="I109" s="9"/>
    </row>
    <row r="110" spans="1:9">
      <c r="A110" s="9"/>
      <c r="B110" s="9"/>
      <c r="C110" s="9"/>
      <c r="D110" s="9"/>
      <c r="E110" s="9"/>
      <c r="F110" s="9"/>
      <c r="G110" s="9"/>
      <c r="H110" s="9"/>
      <c r="I110" s="9"/>
    </row>
    <row r="111" spans="1:9">
      <c r="A111" s="9"/>
      <c r="B111" s="9"/>
      <c r="C111" s="9"/>
      <c r="D111" s="9"/>
      <c r="E111" s="9"/>
      <c r="F111" s="9"/>
      <c r="G111" s="9"/>
      <c r="H111" s="9"/>
      <c r="I111" s="9"/>
    </row>
    <row r="112" spans="1:9">
      <c r="A112" s="9"/>
      <c r="B112" s="9"/>
      <c r="C112" s="9"/>
      <c r="D112" s="9"/>
      <c r="E112" s="9"/>
      <c r="F112" s="9"/>
      <c r="G112" s="9"/>
      <c r="H112" s="9"/>
      <c r="I112" s="9"/>
    </row>
    <row r="113" spans="1:9">
      <c r="A113" s="9"/>
      <c r="B113" s="9"/>
      <c r="C113" s="9"/>
      <c r="D113" s="9"/>
      <c r="E113" s="9"/>
      <c r="F113" s="9"/>
      <c r="G113" s="9"/>
      <c r="H113" s="9"/>
      <c r="I113" s="9"/>
    </row>
    <row r="114" spans="1:9">
      <c r="A114" s="9"/>
      <c r="B114" s="9"/>
      <c r="C114" s="9"/>
      <c r="D114" s="9"/>
      <c r="E114" s="9"/>
      <c r="F114" s="9"/>
      <c r="G114" s="9"/>
      <c r="H114" s="9"/>
      <c r="I114" s="9"/>
    </row>
    <row r="115" spans="1:9">
      <c r="A115" s="9"/>
      <c r="B115" s="9"/>
      <c r="C115" s="9"/>
      <c r="D115" s="9"/>
      <c r="E115" s="9"/>
      <c r="F115" s="9"/>
      <c r="G115" s="9"/>
      <c r="H115" s="9"/>
      <c r="I115" s="9"/>
    </row>
    <row r="116" spans="1:9">
      <c r="A116" s="9"/>
      <c r="B116" s="9"/>
      <c r="C116" s="9"/>
      <c r="D116" s="9"/>
      <c r="E116" s="9"/>
      <c r="F116" s="9"/>
      <c r="G116" s="9"/>
      <c r="H116" s="9"/>
      <c r="I116" s="9"/>
    </row>
    <row r="117" spans="1:9">
      <c r="A117" s="9"/>
      <c r="B117" s="9"/>
      <c r="C117" s="9"/>
      <c r="D117" s="9"/>
      <c r="E117" s="9"/>
      <c r="F117" s="9"/>
      <c r="G117" s="9"/>
      <c r="H117" s="9"/>
      <c r="I117" s="9"/>
    </row>
    <row r="118" spans="1:9">
      <c r="A118" s="9"/>
      <c r="B118" s="9"/>
      <c r="C118" s="9"/>
      <c r="D118" s="9"/>
      <c r="E118" s="9"/>
      <c r="F118" s="9"/>
      <c r="G118" s="9"/>
      <c r="H118" s="9"/>
      <c r="I118" s="9"/>
    </row>
    <row r="119" spans="1:9">
      <c r="A119" s="9"/>
      <c r="B119" s="9"/>
      <c r="C119" s="9"/>
      <c r="D119" s="9"/>
      <c r="E119" s="9"/>
      <c r="F119" s="9"/>
      <c r="G119" s="9"/>
      <c r="H119" s="9"/>
      <c r="I119" s="9"/>
    </row>
    <row r="120" spans="1:9">
      <c r="A120" s="9"/>
      <c r="B120" s="9"/>
      <c r="C120" s="9"/>
      <c r="D120" s="9"/>
      <c r="E120" s="9"/>
      <c r="F120" s="9"/>
      <c r="G120" s="9"/>
      <c r="H120" s="9"/>
      <c r="I120" s="9"/>
    </row>
    <row r="121" spans="1:9">
      <c r="A121" s="9"/>
      <c r="B121" s="9"/>
      <c r="C121" s="9"/>
      <c r="D121" s="9"/>
      <c r="E121" s="9"/>
      <c r="F121" s="9"/>
      <c r="G121" s="9"/>
      <c r="H121" s="9"/>
      <c r="I121" s="9"/>
    </row>
    <row r="122" spans="1:9">
      <c r="A122" s="9"/>
      <c r="B122" s="9"/>
      <c r="C122" s="9"/>
      <c r="D122" s="9"/>
      <c r="E122" s="9"/>
      <c r="F122" s="9"/>
      <c r="G122" s="9"/>
      <c r="H122" s="9"/>
      <c r="I122" s="9"/>
    </row>
    <row r="123" spans="1:9">
      <c r="A123" s="9"/>
      <c r="B123" s="9"/>
      <c r="C123" s="9"/>
      <c r="D123" s="9"/>
      <c r="E123" s="9"/>
      <c r="F123" s="9"/>
      <c r="G123" s="9"/>
      <c r="H123" s="9"/>
      <c r="I123" s="9"/>
    </row>
    <row r="124" spans="1:9">
      <c r="A124" s="9"/>
      <c r="B124" s="9"/>
      <c r="C124" s="9"/>
      <c r="D124" s="9"/>
      <c r="E124" s="9"/>
      <c r="F124" s="9"/>
      <c r="G124" s="9"/>
      <c r="H124" s="9"/>
      <c r="I124" s="9"/>
    </row>
    <row r="125" spans="1:9">
      <c r="A125" s="9"/>
      <c r="B125" s="9"/>
      <c r="C125" s="9"/>
      <c r="D125" s="9"/>
      <c r="E125" s="9"/>
      <c r="F125" s="9"/>
      <c r="G125" s="9"/>
      <c r="H125" s="9"/>
      <c r="I125" s="9"/>
    </row>
    <row r="126" spans="1:9">
      <c r="A126" s="9"/>
      <c r="B126" s="9"/>
      <c r="C126" s="9"/>
      <c r="D126" s="9"/>
      <c r="E126" s="9"/>
      <c r="F126" s="9"/>
      <c r="G126" s="9"/>
      <c r="H126" s="9"/>
      <c r="I126" s="9"/>
    </row>
    <row r="127" spans="1:9">
      <c r="A127" s="9"/>
      <c r="B127" s="9"/>
      <c r="C127" s="9"/>
      <c r="D127" s="9"/>
      <c r="E127" s="9"/>
      <c r="F127" s="9"/>
      <c r="G127" s="9"/>
      <c r="H127" s="9"/>
      <c r="I127" s="9"/>
    </row>
    <row r="128" spans="1:9">
      <c r="A128" s="9"/>
      <c r="B128" s="9"/>
      <c r="C128" s="9"/>
      <c r="D128" s="9"/>
      <c r="E128" s="9"/>
      <c r="F128" s="31"/>
      <c r="G128" s="9"/>
      <c r="H128" s="9"/>
      <c r="I128" s="9"/>
    </row>
    <row r="129" spans="1:9">
      <c r="A129" s="9"/>
      <c r="B129" s="9"/>
      <c r="C129" s="9"/>
      <c r="D129" s="9"/>
      <c r="E129" s="9"/>
      <c r="F129" s="9"/>
      <c r="G129" s="9"/>
      <c r="H129" s="9"/>
      <c r="I129" s="9"/>
    </row>
    <row r="130" spans="1:9">
      <c r="A130" s="9"/>
      <c r="B130" s="9"/>
      <c r="C130" s="9"/>
      <c r="D130" s="9"/>
      <c r="E130" s="9"/>
      <c r="F130" s="9"/>
      <c r="G130" s="9"/>
      <c r="H130" s="9"/>
      <c r="I130" s="9"/>
    </row>
    <row r="131" spans="1:9">
      <c r="A131" s="73"/>
      <c r="B131" s="9"/>
      <c r="C131" s="9"/>
      <c r="D131" s="9"/>
      <c r="E131" s="9"/>
      <c r="F131" s="9"/>
      <c r="G131" s="9"/>
      <c r="H131" s="9"/>
      <c r="I131" s="9"/>
    </row>
    <row r="132" spans="1:9">
      <c r="A132" s="73"/>
      <c r="B132" s="9"/>
      <c r="C132" s="9"/>
      <c r="D132" s="9"/>
      <c r="E132" s="9"/>
      <c r="F132" s="9"/>
      <c r="G132" s="9"/>
      <c r="H132" s="9"/>
      <c r="I132" s="9"/>
    </row>
    <row r="133" spans="1:9">
      <c r="A133" s="73"/>
      <c r="B133" s="9"/>
      <c r="C133" s="9"/>
      <c r="D133" s="9"/>
      <c r="E133" s="9"/>
      <c r="F133" s="9"/>
      <c r="G133" s="9"/>
      <c r="H133" s="9"/>
      <c r="I133" s="9"/>
    </row>
    <row r="134" spans="1:9">
      <c r="A134" s="73"/>
      <c r="B134" s="9"/>
      <c r="C134" s="9"/>
      <c r="D134" s="9"/>
      <c r="E134" s="9"/>
      <c r="F134" s="9"/>
      <c r="G134" s="9"/>
      <c r="H134" s="9"/>
      <c r="I134" s="9"/>
    </row>
    <row r="135" spans="1:9">
      <c r="A135" s="73"/>
      <c r="B135" s="9"/>
      <c r="C135" s="9"/>
      <c r="D135" s="9"/>
      <c r="E135" s="9"/>
      <c r="F135" s="9"/>
      <c r="G135" s="9"/>
      <c r="H135" s="9"/>
      <c r="I135" s="9"/>
    </row>
    <row r="136" spans="1:9">
      <c r="A136" s="73"/>
      <c r="B136" s="9"/>
      <c r="C136" s="9"/>
      <c r="D136" s="9"/>
      <c r="E136" s="9"/>
      <c r="F136" s="9"/>
      <c r="G136" s="9"/>
      <c r="H136" s="9"/>
      <c r="I136" s="9"/>
    </row>
    <row r="137" spans="1:9">
      <c r="A137" s="73"/>
      <c r="B137" s="9"/>
      <c r="C137" s="9"/>
      <c r="D137" s="9"/>
      <c r="E137" s="9"/>
      <c r="F137" s="9"/>
      <c r="G137" s="9"/>
      <c r="H137" s="9"/>
      <c r="I137" s="9"/>
    </row>
    <row r="138" spans="1:9">
      <c r="A138" s="73"/>
      <c r="B138" s="9"/>
      <c r="C138" s="9"/>
      <c r="D138" s="9"/>
      <c r="E138" s="9"/>
      <c r="F138" s="9"/>
      <c r="G138" s="9"/>
      <c r="H138" s="9"/>
      <c r="I138" s="9"/>
    </row>
    <row r="139" spans="1:9">
      <c r="A139" s="73"/>
      <c r="B139" s="9"/>
      <c r="C139" s="9"/>
      <c r="D139" s="9"/>
      <c r="E139" s="9"/>
      <c r="F139" s="9"/>
      <c r="G139" s="9"/>
      <c r="H139" s="9"/>
      <c r="I139" s="9"/>
    </row>
    <row r="140" spans="1:9">
      <c r="A140" s="73"/>
      <c r="B140" s="9"/>
      <c r="C140" s="9"/>
      <c r="D140" s="9"/>
      <c r="E140" s="9"/>
      <c r="F140" s="9"/>
      <c r="G140" s="9"/>
      <c r="H140" s="9"/>
      <c r="I140" s="9"/>
    </row>
    <row r="141" spans="1:9">
      <c r="A141" s="73"/>
      <c r="B141" s="9"/>
      <c r="C141" s="9"/>
      <c r="D141" s="9"/>
      <c r="E141" s="9"/>
      <c r="F141" s="9"/>
      <c r="G141" s="9"/>
      <c r="H141" s="9"/>
      <c r="I141" s="9"/>
    </row>
    <row r="142" spans="1:9">
      <c r="A142" s="73"/>
      <c r="B142" s="9"/>
      <c r="C142" s="9"/>
      <c r="D142" s="9"/>
      <c r="E142" s="9"/>
      <c r="F142" s="9"/>
      <c r="G142" s="9"/>
      <c r="H142" s="9"/>
      <c r="I142" s="9"/>
    </row>
    <row r="143" spans="1:9">
      <c r="A143" s="73"/>
      <c r="B143" s="9"/>
      <c r="C143" s="9"/>
      <c r="D143" s="9"/>
      <c r="E143" s="9"/>
      <c r="F143" s="9"/>
      <c r="G143" s="9"/>
      <c r="H143" s="9"/>
      <c r="I143" s="9"/>
    </row>
    <row r="144" spans="1:9">
      <c r="A144" s="73"/>
      <c r="B144" s="9"/>
      <c r="C144" s="9"/>
      <c r="D144" s="9"/>
      <c r="E144" s="9"/>
      <c r="F144" s="9"/>
      <c r="G144" s="9"/>
      <c r="H144" s="9"/>
      <c r="I144" s="9"/>
    </row>
    <row r="145" spans="1:9">
      <c r="A145" s="73"/>
      <c r="B145" s="9"/>
      <c r="C145" s="9"/>
      <c r="D145" s="9"/>
      <c r="E145" s="9"/>
      <c r="F145" s="9"/>
      <c r="G145" s="9"/>
      <c r="H145" s="9"/>
      <c r="I145" s="9"/>
    </row>
    <row r="146" spans="1:9">
      <c r="A146" s="73"/>
      <c r="B146" s="9"/>
      <c r="C146" s="9"/>
      <c r="D146" s="9"/>
      <c r="E146" s="9"/>
      <c r="F146" s="9"/>
      <c r="G146" s="9"/>
      <c r="H146" s="9"/>
      <c r="I146" s="9"/>
    </row>
    <row r="147" spans="1:9">
      <c r="A147" s="73"/>
      <c r="B147" s="9"/>
      <c r="C147" s="9"/>
      <c r="D147" s="9"/>
      <c r="E147" s="9"/>
      <c r="F147" s="9"/>
      <c r="G147" s="9"/>
      <c r="H147" s="9"/>
      <c r="I147" s="9"/>
    </row>
    <row r="148" spans="1:9">
      <c r="A148" s="73"/>
      <c r="B148" s="9"/>
      <c r="C148" s="9"/>
      <c r="D148" s="9"/>
      <c r="E148" s="9"/>
      <c r="F148" s="9"/>
      <c r="G148" s="9"/>
      <c r="H148" s="9"/>
      <c r="I148" s="9"/>
    </row>
    <row r="149" spans="1:9">
      <c r="A149" s="73"/>
      <c r="B149" s="9"/>
      <c r="C149" s="9"/>
      <c r="D149" s="9"/>
      <c r="E149" s="9"/>
      <c r="F149" s="9"/>
      <c r="G149" s="9"/>
      <c r="H149" s="9"/>
      <c r="I149" s="9"/>
    </row>
    <row r="150" spans="1:9">
      <c r="A150" s="73"/>
      <c r="B150" s="9"/>
      <c r="C150" s="9"/>
      <c r="D150" s="9"/>
      <c r="E150" s="9"/>
      <c r="F150" s="9"/>
      <c r="G150" s="9"/>
      <c r="H150" s="9"/>
      <c r="I150" s="9"/>
    </row>
    <row r="151" spans="1:9">
      <c r="A151" s="73"/>
      <c r="B151" s="9"/>
      <c r="C151" s="9"/>
      <c r="D151" s="9"/>
      <c r="E151" s="9"/>
      <c r="F151" s="9"/>
      <c r="G151" s="9"/>
      <c r="H151" s="9"/>
      <c r="I151" s="9"/>
    </row>
    <row r="152" spans="1:9">
      <c r="A152" s="73"/>
      <c r="B152" s="9"/>
      <c r="C152" s="9"/>
      <c r="D152" s="9"/>
      <c r="E152" s="9"/>
      <c r="F152" s="9"/>
      <c r="G152" s="9"/>
      <c r="H152" s="9"/>
      <c r="I152" s="9"/>
    </row>
    <row r="153" spans="1:9">
      <c r="A153" s="73"/>
      <c r="B153" s="9"/>
      <c r="C153" s="9"/>
      <c r="D153" s="9"/>
      <c r="E153" s="9"/>
      <c r="F153" s="9"/>
      <c r="G153" s="9"/>
      <c r="H153" s="9"/>
      <c r="I153" s="9"/>
    </row>
    <row r="154" spans="1:9">
      <c r="A154" s="73"/>
      <c r="B154" s="9"/>
      <c r="C154" s="9"/>
      <c r="D154" s="9"/>
      <c r="E154" s="9"/>
      <c r="F154" s="9"/>
      <c r="G154" s="9"/>
      <c r="H154" s="9"/>
      <c r="I154" s="9"/>
    </row>
    <row r="155" spans="1:9">
      <c r="A155" s="73"/>
      <c r="B155" s="9"/>
      <c r="C155" s="9"/>
      <c r="D155" s="9"/>
      <c r="E155" s="9"/>
      <c r="F155" s="9"/>
      <c r="G155" s="9"/>
      <c r="H155" s="9"/>
      <c r="I155" s="9"/>
    </row>
    <row r="156" spans="1:9">
      <c r="A156" s="73"/>
      <c r="B156" s="9"/>
      <c r="C156" s="9"/>
      <c r="D156" s="9"/>
      <c r="E156" s="9"/>
      <c r="F156" s="9"/>
      <c r="G156" s="9"/>
      <c r="H156" s="9"/>
      <c r="I156" s="9"/>
    </row>
    <row r="157" spans="1:9">
      <c r="A157" s="73"/>
      <c r="B157" s="9"/>
      <c r="C157" s="9"/>
      <c r="D157" s="9"/>
      <c r="E157" s="9"/>
      <c r="F157" s="9"/>
      <c r="G157" s="9"/>
      <c r="H157" s="9"/>
      <c r="I157" s="9"/>
    </row>
    <row r="158" spans="1:9">
      <c r="A158" s="73"/>
      <c r="B158" s="9"/>
      <c r="C158" s="9"/>
      <c r="D158" s="9"/>
      <c r="E158" s="9"/>
      <c r="F158" s="9"/>
      <c r="G158" s="9"/>
      <c r="H158" s="9"/>
      <c r="I158" s="9"/>
    </row>
    <row r="159" spans="1:9">
      <c r="A159" s="73"/>
      <c r="B159" s="9"/>
      <c r="C159" s="9"/>
      <c r="D159" s="9"/>
      <c r="E159" s="9"/>
      <c r="F159" s="9"/>
      <c r="G159" s="9"/>
      <c r="H159" s="9"/>
      <c r="I159" s="9"/>
    </row>
    <row r="160" spans="1:9">
      <c r="A160" s="73"/>
      <c r="B160" s="9"/>
      <c r="C160" s="9"/>
      <c r="D160" s="9"/>
      <c r="E160" s="9"/>
      <c r="F160" s="9"/>
      <c r="G160" s="9"/>
      <c r="H160" s="9"/>
      <c r="I160" s="9"/>
    </row>
    <row r="161" spans="1:9">
      <c r="A161" s="73"/>
      <c r="B161" s="9"/>
      <c r="C161" s="9"/>
      <c r="D161" s="9"/>
      <c r="E161" s="9"/>
      <c r="F161" s="9"/>
      <c r="G161" s="9"/>
      <c r="H161" s="9"/>
      <c r="I161" s="9"/>
    </row>
    <row r="162" spans="1:9">
      <c r="A162" s="73"/>
      <c r="B162" s="9"/>
      <c r="C162" s="9"/>
      <c r="D162" s="9"/>
      <c r="E162" s="9"/>
      <c r="F162" s="9"/>
      <c r="G162" s="9"/>
      <c r="H162" s="9"/>
      <c r="I162" s="9"/>
    </row>
    <row r="163" spans="1:9">
      <c r="A163" s="73"/>
      <c r="B163" s="9"/>
      <c r="C163" s="9"/>
      <c r="D163" s="9"/>
      <c r="E163" s="9"/>
      <c r="F163" s="9"/>
      <c r="G163" s="9"/>
      <c r="H163" s="9"/>
      <c r="I163" s="9"/>
    </row>
    <row r="164" spans="1:9">
      <c r="A164" s="73"/>
      <c r="B164" s="9"/>
      <c r="C164" s="9"/>
      <c r="D164" s="9"/>
      <c r="E164" s="9"/>
      <c r="F164" s="9"/>
      <c r="G164" s="9"/>
      <c r="H164" s="9"/>
      <c r="I164" s="9"/>
    </row>
    <row r="165" spans="1:9">
      <c r="A165" s="73"/>
      <c r="B165" s="9"/>
      <c r="C165" s="9"/>
      <c r="D165" s="9"/>
      <c r="E165" s="9"/>
      <c r="F165" s="9"/>
      <c r="G165" s="9"/>
      <c r="H165" s="9"/>
      <c r="I165" s="9"/>
    </row>
    <row r="166" spans="1:9">
      <c r="A166" s="73"/>
      <c r="B166" s="9"/>
      <c r="C166" s="9"/>
      <c r="D166" s="9"/>
      <c r="E166" s="9"/>
      <c r="F166" s="9"/>
      <c r="G166" s="9"/>
      <c r="H166" s="9"/>
      <c r="I166" s="9"/>
    </row>
    <row r="167" spans="1:9">
      <c r="A167" s="73"/>
      <c r="B167" s="9"/>
      <c r="C167" s="9"/>
      <c r="D167" s="9"/>
      <c r="E167" s="9"/>
      <c r="F167" s="9"/>
      <c r="G167" s="9"/>
      <c r="H167" s="9"/>
      <c r="I167" s="9"/>
    </row>
    <row r="168" spans="1:9">
      <c r="A168" s="73"/>
      <c r="B168" s="9"/>
      <c r="C168" s="9"/>
      <c r="D168" s="9"/>
      <c r="E168" s="9"/>
      <c r="F168" s="9"/>
      <c r="G168" s="9"/>
      <c r="H168" s="9"/>
      <c r="I168" s="9"/>
    </row>
    <row r="169" spans="1:9">
      <c r="A169" s="73"/>
      <c r="B169" s="9"/>
      <c r="C169" s="9"/>
      <c r="D169" s="9"/>
      <c r="E169" s="9"/>
      <c r="F169" s="9"/>
      <c r="G169" s="9"/>
      <c r="H169" s="9"/>
      <c r="I169" s="9"/>
    </row>
    <row r="170" spans="1:9">
      <c r="A170" s="73"/>
      <c r="B170" s="9"/>
      <c r="C170" s="9"/>
      <c r="D170" s="9"/>
      <c r="E170" s="9"/>
      <c r="F170" s="9"/>
      <c r="G170" s="9"/>
      <c r="H170" s="9"/>
      <c r="I170" s="9"/>
    </row>
    <row r="171" spans="1:9">
      <c r="A171" s="9"/>
      <c r="B171" s="9"/>
      <c r="C171" s="9"/>
      <c r="D171" s="9"/>
      <c r="E171" s="9"/>
      <c r="F171" s="31"/>
      <c r="G171" s="9"/>
      <c r="H171" s="9"/>
      <c r="I171" s="9"/>
    </row>
    <row r="172" spans="1:9">
      <c r="A172" s="9"/>
      <c r="B172" s="9"/>
      <c r="C172" s="9"/>
      <c r="D172" s="9"/>
      <c r="E172" s="9"/>
      <c r="F172" s="9"/>
      <c r="G172" s="9"/>
      <c r="H172" s="9"/>
      <c r="I172" s="9"/>
    </row>
    <row r="173" spans="1:9">
      <c r="A173" s="31"/>
      <c r="B173" s="31"/>
      <c r="C173" s="31"/>
      <c r="D173" s="31"/>
      <c r="E173" s="31"/>
      <c r="F173" s="31"/>
      <c r="G173" s="31"/>
      <c r="H173" s="31"/>
      <c r="I173" s="31"/>
    </row>
    <row r="174" spans="1:9">
      <c r="A174" s="9"/>
      <c r="B174" s="9"/>
      <c r="C174" s="9"/>
      <c r="D174" s="9"/>
      <c r="E174" s="9"/>
      <c r="F174" s="9"/>
      <c r="G174" s="9"/>
      <c r="H174" s="9"/>
      <c r="I174" s="9"/>
    </row>
    <row r="175" spans="1:9">
      <c r="A175" s="9"/>
      <c r="B175" s="9"/>
      <c r="C175" s="9"/>
      <c r="D175" s="9"/>
      <c r="E175" s="9"/>
      <c r="F175" s="9"/>
      <c r="G175" s="9"/>
      <c r="H175" s="9"/>
      <c r="I175" s="9"/>
    </row>
    <row r="176" spans="1:9">
      <c r="A176" s="9"/>
      <c r="B176" s="9"/>
      <c r="C176" s="9"/>
      <c r="D176" s="9"/>
      <c r="E176" s="9"/>
      <c r="F176" s="9"/>
      <c r="G176" s="9"/>
      <c r="H176" s="9"/>
      <c r="I176" s="9"/>
    </row>
    <row r="177" spans="1:9">
      <c r="A177" s="9"/>
      <c r="B177" s="9"/>
      <c r="C177" s="9"/>
      <c r="D177" s="9"/>
      <c r="E177" s="9"/>
      <c r="F177" s="9"/>
      <c r="G177" s="9"/>
      <c r="H177" s="9"/>
      <c r="I177" s="9"/>
    </row>
    <row r="178" spans="1:9">
      <c r="A178" s="9"/>
      <c r="B178" s="9"/>
      <c r="C178" s="9"/>
      <c r="D178" s="9"/>
      <c r="E178" s="9"/>
      <c r="F178" s="9"/>
      <c r="G178" s="9"/>
      <c r="H178" s="9"/>
      <c r="I178" s="9"/>
    </row>
    <row r="179" spans="1:9">
      <c r="A179" s="9"/>
      <c r="B179" s="9"/>
      <c r="C179" s="9"/>
      <c r="D179" s="9"/>
      <c r="E179" s="9"/>
      <c r="F179" s="9"/>
      <c r="G179" s="9"/>
      <c r="H179" s="9"/>
      <c r="I179" s="9"/>
    </row>
    <row r="180" spans="1:9">
      <c r="A180" s="9"/>
      <c r="B180" s="9"/>
      <c r="C180" s="9"/>
      <c r="D180" s="9"/>
      <c r="E180" s="9"/>
      <c r="F180" s="9"/>
      <c r="G180" s="9"/>
      <c r="H180" s="9"/>
      <c r="I180" s="9"/>
    </row>
    <row r="181" spans="1:9">
      <c r="A181" s="9"/>
      <c r="B181" s="9"/>
      <c r="C181" s="9"/>
      <c r="D181" s="9"/>
      <c r="E181" s="9"/>
      <c r="F181" s="9"/>
      <c r="G181" s="9"/>
      <c r="H181" s="9"/>
      <c r="I181" s="9"/>
    </row>
    <row r="182" spans="1:9">
      <c r="A182" s="9"/>
      <c r="B182" s="9"/>
      <c r="C182" s="9"/>
      <c r="D182" s="9"/>
      <c r="E182" s="9"/>
      <c r="F182" s="9"/>
      <c r="G182" s="9"/>
      <c r="H182" s="9"/>
      <c r="I182" s="9"/>
    </row>
  </sheetData>
  <pageMargins left="0.75" right="0.75" top="1" bottom="1" header="0.5" footer="0.5"/>
  <pageSetup orientation="portrait" horizontalDpi="4294967292" verticalDpi="4294967292"/>
  <drawing r:id="rId1"/>
  <legacyDrawing r:id="rId2"/>
  <extLst>
    <ext xmlns:mx="http://schemas.microsoft.com/office/mac/excel/2008/main" uri="{64002731-A6B0-56B0-2670-7721B7C09600}">
      <mx:PLV Mode="0" OnePage="0" WScale="0"/>
    </ext>
  </extLst>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1:T77"/>
  <sheetViews>
    <sheetView topLeftCell="A11" workbookViewId="0">
      <selection activeCell="B20" sqref="B20"/>
    </sheetView>
  </sheetViews>
  <sheetFormatPr baseColWidth="10" defaultRowHeight="15" x14ac:dyDescent="0"/>
  <cols>
    <col min="1" max="1" width="17.83203125" customWidth="1"/>
    <col min="4" max="4" width="12.6640625" customWidth="1"/>
    <col min="9" max="9" width="11" bestFit="1" customWidth="1"/>
  </cols>
  <sheetData>
    <row r="1" spans="1:20">
      <c r="A1" s="32" t="s">
        <v>88</v>
      </c>
      <c r="E1" s="84"/>
      <c r="F1" t="s">
        <v>185</v>
      </c>
    </row>
    <row r="2" spans="1:20">
      <c r="E2" s="82"/>
      <c r="F2" t="s">
        <v>186</v>
      </c>
    </row>
    <row r="3" spans="1:20">
      <c r="A3" t="s">
        <v>101</v>
      </c>
      <c r="I3" t="s">
        <v>102</v>
      </c>
    </row>
    <row r="4" spans="1:20" ht="49" customHeight="1">
      <c r="I4" s="207"/>
      <c r="J4" s="207"/>
      <c r="K4" s="207"/>
      <c r="L4" s="207"/>
      <c r="M4" s="207"/>
      <c r="N4" s="207"/>
      <c r="O4" s="207"/>
      <c r="P4" s="207"/>
    </row>
    <row r="6" spans="1:20" ht="45">
      <c r="A6" s="4" t="s">
        <v>89</v>
      </c>
      <c r="B6" s="13" t="s">
        <v>90</v>
      </c>
      <c r="C6" s="4" t="s">
        <v>5</v>
      </c>
      <c r="D6" s="13" t="s">
        <v>103</v>
      </c>
      <c r="E6" s="13" t="s">
        <v>104</v>
      </c>
      <c r="F6" s="13" t="s">
        <v>99</v>
      </c>
      <c r="G6" s="13" t="s">
        <v>105</v>
      </c>
    </row>
    <row r="7" spans="1:20">
      <c r="A7" s="8" t="s">
        <v>91</v>
      </c>
      <c r="B7" s="91">
        <f>AVERAGE(B11:B15,B20:B25)</f>
        <v>50.645272727272733</v>
      </c>
      <c r="C7" s="91">
        <f>AVERAGE(C11:C15,C20:C25)</f>
        <v>94.965272727272747</v>
      </c>
      <c r="D7" s="92">
        <f>(H16+H26)/2</f>
        <v>1.0960936952266178</v>
      </c>
      <c r="E7" s="92">
        <f t="shared" ref="E7:G7" si="0">(I16+I26)/2</f>
        <v>109.60936952266178</v>
      </c>
      <c r="F7" s="92">
        <f t="shared" si="0"/>
        <v>36.532802861903164</v>
      </c>
      <c r="G7" s="92">
        <f t="shared" si="0"/>
        <v>109.60936952266178</v>
      </c>
    </row>
    <row r="10" spans="1:20" ht="90">
      <c r="A10" s="75" t="s">
        <v>92</v>
      </c>
      <c r="B10" s="76" t="s">
        <v>93</v>
      </c>
      <c r="C10" s="76" t="s">
        <v>94</v>
      </c>
      <c r="D10" s="76" t="s">
        <v>95</v>
      </c>
      <c r="E10" s="76" t="s">
        <v>161</v>
      </c>
      <c r="F10" s="76" t="s">
        <v>160</v>
      </c>
      <c r="G10" s="76" t="s">
        <v>96</v>
      </c>
      <c r="H10" s="76" t="s">
        <v>97</v>
      </c>
      <c r="I10" s="76" t="s">
        <v>98</v>
      </c>
      <c r="J10" s="77" t="s">
        <v>99</v>
      </c>
      <c r="K10" s="77" t="s">
        <v>100</v>
      </c>
      <c r="L10" s="15"/>
    </row>
    <row r="11" spans="1:20">
      <c r="A11" s="28" t="s">
        <v>203</v>
      </c>
      <c r="B11" s="9">
        <v>38.872999999999998</v>
      </c>
      <c r="C11" s="74">
        <v>80.522999999999996</v>
      </c>
      <c r="D11">
        <f>PI()*B11*C11</f>
        <v>9833.7208954693087</v>
      </c>
      <c r="E11" s="33"/>
      <c r="S11" t="s">
        <v>162</v>
      </c>
      <c r="T11" t="s">
        <v>64</v>
      </c>
    </row>
    <row r="12" spans="1:20" ht="16" customHeight="1">
      <c r="A12" s="9"/>
      <c r="B12" s="9">
        <v>61.624000000000002</v>
      </c>
      <c r="C12" s="9">
        <v>131.31800000000001</v>
      </c>
      <c r="D12">
        <f t="shared" ref="D12:D15" si="1">PI()*B12*C12</f>
        <v>25422.837251518853</v>
      </c>
      <c r="E12" s="27"/>
      <c r="F12" s="27"/>
      <c r="G12" s="27"/>
      <c r="H12" s="27"/>
      <c r="I12" s="27"/>
      <c r="J12" s="27"/>
      <c r="K12" s="27"/>
      <c r="S12" t="s">
        <v>163</v>
      </c>
      <c r="T12" t="s">
        <v>112</v>
      </c>
    </row>
    <row r="13" spans="1:20">
      <c r="A13" s="9"/>
      <c r="B13" s="6">
        <v>44.5</v>
      </c>
      <c r="C13" s="6">
        <v>202.33199999999999</v>
      </c>
      <c r="D13">
        <f t="shared" si="1"/>
        <v>28286.190252982786</v>
      </c>
      <c r="E13" s="9"/>
      <c r="F13" s="9"/>
      <c r="G13" s="36"/>
      <c r="H13" s="6"/>
      <c r="I13" s="33"/>
      <c r="J13" s="9"/>
      <c r="K13" s="33"/>
      <c r="S13" t="s">
        <v>164</v>
      </c>
      <c r="T13" t="s">
        <v>135</v>
      </c>
    </row>
    <row r="14" spans="1:20">
      <c r="A14" s="9"/>
      <c r="B14" s="9">
        <v>40.795000000000002</v>
      </c>
      <c r="C14" s="9">
        <v>38.808999999999997</v>
      </c>
      <c r="D14">
        <f t="shared" si="1"/>
        <v>4973.8108168147182</v>
      </c>
      <c r="E14" s="9"/>
      <c r="F14" s="9"/>
      <c r="G14" s="36"/>
      <c r="H14" s="6"/>
      <c r="I14" s="33"/>
      <c r="J14" s="9"/>
      <c r="K14" s="33"/>
    </row>
    <row r="15" spans="1:20">
      <c r="A15" s="9"/>
      <c r="B15" s="9">
        <v>58.161000000000001</v>
      </c>
      <c r="C15" s="6">
        <v>74.700999999999993</v>
      </c>
      <c r="D15">
        <f t="shared" si="1"/>
        <v>13649.23004148039</v>
      </c>
      <c r="E15" s="34"/>
      <c r="F15" s="9"/>
      <c r="G15" s="35"/>
      <c r="H15" s="35"/>
      <c r="I15" s="9"/>
      <c r="J15" s="9"/>
      <c r="K15" s="9"/>
    </row>
    <row r="16" spans="1:20">
      <c r="A16" s="9"/>
      <c r="B16" s="93">
        <f>AVERAGE(B11:B15)</f>
        <v>48.790600000000005</v>
      </c>
      <c r="C16" s="93">
        <f>AVERAGE(C11:C15)</f>
        <v>105.53659999999999</v>
      </c>
      <c r="D16" s="93">
        <f>AVERAGE(D11:D15)</f>
        <v>16433.15785165321</v>
      </c>
      <c r="E16" s="6">
        <v>49669.135999999999</v>
      </c>
      <c r="F16" s="89">
        <v>5</v>
      </c>
      <c r="G16" s="94">
        <f>F16*D16</f>
        <v>82165.789258266042</v>
      </c>
      <c r="H16" s="94">
        <f>G16/E16</f>
        <v>1.6542625033434455</v>
      </c>
      <c r="I16" s="86">
        <f>H16*100</f>
        <v>165.42625033434456</v>
      </c>
      <c r="J16" s="86">
        <f>H16*33.33</f>
        <v>55.136569236437033</v>
      </c>
      <c r="K16" s="86">
        <f>I16</f>
        <v>165.42625033434456</v>
      </c>
    </row>
    <row r="17" spans="1:12">
      <c r="A17" s="9"/>
      <c r="B17" s="9"/>
      <c r="C17" s="9"/>
      <c r="D17" s="9"/>
      <c r="E17" s="9"/>
      <c r="F17" s="9"/>
      <c r="G17" s="9"/>
      <c r="H17" s="35"/>
      <c r="I17" s="74"/>
      <c r="J17" s="9"/>
      <c r="K17" s="9"/>
      <c r="L17" s="9"/>
    </row>
    <row r="18" spans="1:12">
      <c r="A18" s="9"/>
      <c r="B18" s="9"/>
      <c r="C18" s="9"/>
      <c r="D18" s="9"/>
      <c r="E18" s="34"/>
      <c r="F18" s="9"/>
      <c r="G18" s="9"/>
      <c r="H18" s="35"/>
      <c r="I18" s="35"/>
      <c r="J18" s="9"/>
      <c r="K18" s="9"/>
      <c r="L18" s="9"/>
    </row>
    <row r="19" spans="1:12" ht="90">
      <c r="A19" s="75" t="s">
        <v>92</v>
      </c>
      <c r="B19" s="76" t="s">
        <v>93</v>
      </c>
      <c r="C19" s="76" t="s">
        <v>94</v>
      </c>
      <c r="D19" s="76" t="s">
        <v>95</v>
      </c>
      <c r="E19" s="76" t="s">
        <v>161</v>
      </c>
      <c r="F19" s="76" t="s">
        <v>160</v>
      </c>
      <c r="G19" s="76" t="s">
        <v>96</v>
      </c>
      <c r="H19" s="76" t="s">
        <v>97</v>
      </c>
      <c r="I19" s="76" t="s">
        <v>98</v>
      </c>
      <c r="J19" s="77" t="s">
        <v>99</v>
      </c>
      <c r="K19" s="77" t="s">
        <v>100</v>
      </c>
      <c r="L19" s="9"/>
    </row>
    <row r="20" spans="1:12">
      <c r="A20" s="28" t="s">
        <v>204</v>
      </c>
      <c r="B20">
        <v>77.486999999999995</v>
      </c>
      <c r="C20">
        <v>109.67700000000001</v>
      </c>
      <c r="D20">
        <f>PI()*B20*C20</f>
        <v>26698.956167804921</v>
      </c>
      <c r="E20" s="33"/>
      <c r="L20" s="9"/>
    </row>
    <row r="21" spans="1:12">
      <c r="A21" s="9"/>
      <c r="B21">
        <v>51.713999999999999</v>
      </c>
      <c r="C21">
        <v>55.216999999999999</v>
      </c>
      <c r="D21">
        <f t="shared" ref="D21:D25" si="2">PI()*B21*C21</f>
        <v>8970.7924948056807</v>
      </c>
      <c r="E21" s="27"/>
      <c r="F21" s="27"/>
      <c r="G21" s="27"/>
      <c r="H21" s="27"/>
      <c r="I21" s="27"/>
      <c r="J21" s="27"/>
      <c r="K21" s="27"/>
      <c r="L21" s="9"/>
    </row>
    <row r="22" spans="1:12">
      <c r="A22" s="9"/>
      <c r="B22">
        <v>71.040999999999997</v>
      </c>
      <c r="C22">
        <v>106.452</v>
      </c>
      <c r="D22">
        <f t="shared" si="2"/>
        <v>23758.157884023341</v>
      </c>
      <c r="E22" s="9"/>
      <c r="F22" s="9"/>
      <c r="G22" s="36"/>
      <c r="H22" s="6"/>
      <c r="I22" s="33"/>
      <c r="J22" s="9"/>
      <c r="K22" s="33"/>
      <c r="L22" s="9"/>
    </row>
    <row r="23" spans="1:12">
      <c r="A23" s="9"/>
      <c r="B23">
        <v>48.387</v>
      </c>
      <c r="C23">
        <v>125.806</v>
      </c>
      <c r="D23">
        <f t="shared" si="2"/>
        <v>19124.05233460194</v>
      </c>
      <c r="E23" s="9"/>
      <c r="F23" s="9"/>
      <c r="G23" s="36"/>
      <c r="H23" s="6"/>
      <c r="I23" s="33"/>
      <c r="J23" s="9"/>
      <c r="K23" s="33"/>
      <c r="L23" s="9"/>
    </row>
    <row r="24" spans="1:12">
      <c r="A24" s="9"/>
      <c r="B24">
        <v>29.032</v>
      </c>
      <c r="C24">
        <v>48.814999999999998</v>
      </c>
      <c r="D24">
        <f t="shared" si="2"/>
        <v>4452.2559352169064</v>
      </c>
      <c r="E24" s="9"/>
      <c r="F24" s="9"/>
      <c r="G24" s="36"/>
      <c r="H24" s="6"/>
      <c r="I24" s="33"/>
      <c r="J24" s="9"/>
      <c r="K24" s="33"/>
      <c r="L24" s="9"/>
    </row>
    <row r="25" spans="1:12">
      <c r="A25" s="9"/>
      <c r="B25">
        <v>35.484000000000002</v>
      </c>
      <c r="C25">
        <v>70.968000000000004</v>
      </c>
      <c r="D25">
        <f t="shared" si="2"/>
        <v>7911.2481933595573</v>
      </c>
      <c r="E25" s="34"/>
      <c r="F25" s="9"/>
      <c r="G25" s="35"/>
      <c r="H25" s="35"/>
      <c r="I25" s="9"/>
      <c r="J25" s="9"/>
      <c r="K25" s="9"/>
      <c r="L25" s="6"/>
    </row>
    <row r="26" spans="1:12">
      <c r="A26" s="9"/>
      <c r="B26" s="93">
        <f>AVERAGE(B20:B25)</f>
        <v>52.19083333333333</v>
      </c>
      <c r="C26" s="93">
        <f>AVERAGE(C20:C25)</f>
        <v>86.15583333333332</v>
      </c>
      <c r="D26" s="93">
        <f>AVERAGE(D20:D25)</f>
        <v>15152.577168302058</v>
      </c>
      <c r="E26" s="6">
        <v>169011.446</v>
      </c>
      <c r="F26" s="89">
        <v>6</v>
      </c>
      <c r="G26" s="94">
        <f>F26*D26</f>
        <v>90915.463009812345</v>
      </c>
      <c r="H26" s="94">
        <f>G26/E26</f>
        <v>0.53792488710978992</v>
      </c>
      <c r="I26" s="86">
        <f>H26*100</f>
        <v>53.792488710978994</v>
      </c>
      <c r="J26" s="86">
        <f>H26*33.33</f>
        <v>17.929036487369299</v>
      </c>
      <c r="K26" s="86">
        <f>I26</f>
        <v>53.792488710978994</v>
      </c>
      <c r="L26" s="6"/>
    </row>
    <row r="27" spans="1:12">
      <c r="A27" s="6"/>
      <c r="B27" s="6"/>
      <c r="C27" s="6"/>
      <c r="D27" s="6"/>
      <c r="E27" s="9"/>
      <c r="F27" s="6"/>
      <c r="G27" s="6"/>
      <c r="H27" s="6"/>
      <c r="I27" s="6"/>
      <c r="J27" s="6"/>
      <c r="K27" s="6"/>
      <c r="L27" s="6"/>
    </row>
    <row r="28" spans="1:12">
      <c r="A28" s="6"/>
      <c r="B28" s="6"/>
      <c r="C28" s="6"/>
      <c r="D28" s="6"/>
      <c r="E28" s="9"/>
      <c r="F28" s="6"/>
      <c r="G28" s="6"/>
      <c r="H28" s="6"/>
      <c r="I28" s="6"/>
      <c r="J28" s="6"/>
      <c r="K28" s="6"/>
      <c r="L28" s="6"/>
    </row>
    <row r="29" spans="1:12">
      <c r="A29" s="6"/>
      <c r="B29" s="6"/>
      <c r="C29" s="6"/>
      <c r="D29" s="6"/>
      <c r="E29" s="9"/>
      <c r="F29" s="6"/>
      <c r="G29" s="6"/>
      <c r="H29" s="6"/>
      <c r="I29" s="6"/>
      <c r="J29" s="6"/>
      <c r="K29" s="6"/>
      <c r="L29" s="6"/>
    </row>
    <row r="30" spans="1:12">
      <c r="A30" s="6"/>
      <c r="B30" s="6"/>
      <c r="C30" s="6"/>
      <c r="D30" s="6"/>
      <c r="E30" s="9"/>
      <c r="F30" s="6"/>
      <c r="G30" s="6"/>
      <c r="H30" s="6"/>
      <c r="I30" s="6"/>
      <c r="J30" s="6"/>
      <c r="K30" s="6"/>
      <c r="L30" s="6"/>
    </row>
    <row r="31" spans="1:12">
      <c r="A31" s="6"/>
      <c r="B31" s="6"/>
      <c r="C31" s="6"/>
      <c r="D31" s="6"/>
      <c r="E31" s="9"/>
      <c r="F31" s="6"/>
      <c r="G31" s="6"/>
      <c r="H31" s="6"/>
      <c r="I31" s="6"/>
      <c r="J31" s="6"/>
      <c r="K31" s="6"/>
      <c r="L31" s="6"/>
    </row>
    <row r="32" spans="1:12">
      <c r="A32" s="6"/>
      <c r="B32" s="6"/>
      <c r="C32" s="6"/>
      <c r="D32" s="6"/>
      <c r="E32" s="9"/>
      <c r="F32" s="6"/>
      <c r="G32" s="6"/>
      <c r="H32" s="6"/>
      <c r="I32" s="6"/>
      <c r="J32" s="6"/>
      <c r="K32" s="6"/>
      <c r="L32" s="6"/>
    </row>
    <row r="33" spans="1:12">
      <c r="A33" s="6"/>
      <c r="B33" s="6"/>
      <c r="C33" s="6"/>
      <c r="D33" s="6"/>
      <c r="E33" s="9"/>
      <c r="F33" s="6"/>
      <c r="G33" s="6"/>
      <c r="H33" s="6"/>
      <c r="I33" s="6"/>
      <c r="J33" s="6"/>
      <c r="K33" s="6"/>
      <c r="L33" s="6"/>
    </row>
    <row r="34" spans="1:12">
      <c r="A34" s="6"/>
      <c r="B34" s="6"/>
      <c r="C34" s="6"/>
      <c r="D34" s="6"/>
      <c r="E34" s="9"/>
      <c r="F34" s="6"/>
      <c r="G34" s="6"/>
      <c r="H34" s="6"/>
      <c r="I34" s="6"/>
      <c r="J34" s="6"/>
      <c r="K34" s="6"/>
      <c r="L34" s="6"/>
    </row>
    <row r="35" spans="1:12">
      <c r="A35" s="6"/>
      <c r="B35" s="6"/>
      <c r="C35" s="6"/>
      <c r="D35" s="6"/>
      <c r="E35" s="6"/>
      <c r="F35" s="6"/>
      <c r="G35" s="6"/>
      <c r="H35" s="6"/>
      <c r="I35" s="6"/>
      <c r="J35" s="6"/>
      <c r="K35" s="6"/>
      <c r="L35" s="6"/>
    </row>
    <row r="36" spans="1:12" ht="16" customHeight="1">
      <c r="A36" s="9"/>
      <c r="B36" s="27"/>
      <c r="C36" s="27"/>
      <c r="D36" s="27"/>
      <c r="E36" s="27"/>
      <c r="F36" s="27"/>
      <c r="G36" s="27"/>
      <c r="H36" s="27"/>
      <c r="I36" s="27"/>
      <c r="J36" s="27"/>
      <c r="K36" s="27"/>
      <c r="L36" s="27"/>
    </row>
    <row r="37" spans="1:12">
      <c r="A37" s="6"/>
      <c r="B37" s="6"/>
      <c r="C37" s="6"/>
      <c r="D37" s="6"/>
      <c r="E37" s="6"/>
      <c r="F37" s="6"/>
      <c r="G37" s="6"/>
      <c r="H37" s="6"/>
      <c r="I37" s="6"/>
      <c r="J37" s="6"/>
      <c r="K37" s="6"/>
      <c r="L37" s="6"/>
    </row>
    <row r="38" spans="1:12">
      <c r="A38" s="6"/>
      <c r="B38" s="6"/>
      <c r="C38" s="6"/>
      <c r="D38" s="6"/>
      <c r="E38" s="6"/>
      <c r="F38" s="6"/>
      <c r="G38" s="6"/>
      <c r="H38" s="6"/>
      <c r="I38" s="6"/>
      <c r="J38" s="6"/>
      <c r="K38" s="6"/>
      <c r="L38" s="6"/>
    </row>
    <row r="39" spans="1:12">
      <c r="A39" s="6"/>
      <c r="B39" s="6"/>
      <c r="C39" s="6"/>
      <c r="D39" s="6"/>
      <c r="E39" s="6"/>
      <c r="F39" s="6"/>
      <c r="G39" s="6"/>
      <c r="H39" s="6"/>
      <c r="I39" s="6"/>
      <c r="J39" s="6"/>
      <c r="K39" s="6"/>
      <c r="L39" s="6"/>
    </row>
    <row r="40" spans="1:12">
      <c r="A40" s="6"/>
      <c r="B40" s="6"/>
      <c r="C40" s="6"/>
      <c r="D40" s="6"/>
      <c r="E40" s="6"/>
      <c r="F40" s="6"/>
      <c r="G40" s="6"/>
      <c r="H40" s="6"/>
      <c r="I40" s="6"/>
      <c r="J40" s="6"/>
      <c r="K40" s="6"/>
      <c r="L40" s="6"/>
    </row>
    <row r="41" spans="1:12">
      <c r="A41" s="6"/>
      <c r="B41" s="6"/>
      <c r="C41" s="6"/>
      <c r="D41" s="6"/>
      <c r="E41" s="6"/>
      <c r="F41" s="6"/>
      <c r="G41" s="6"/>
      <c r="H41" s="6"/>
      <c r="I41" s="6"/>
      <c r="J41" s="6"/>
      <c r="K41" s="6"/>
      <c r="L41" s="6"/>
    </row>
    <row r="42" spans="1:12">
      <c r="A42" s="6"/>
      <c r="B42" s="6"/>
      <c r="C42" s="6"/>
      <c r="D42" s="6"/>
      <c r="E42" s="6"/>
      <c r="F42" s="6"/>
      <c r="G42" s="6"/>
      <c r="H42" s="6"/>
      <c r="I42" s="6"/>
      <c r="J42" s="6"/>
      <c r="K42" s="6"/>
      <c r="L42" s="6"/>
    </row>
    <row r="43" spans="1:12">
      <c r="A43" s="6"/>
      <c r="B43" s="6"/>
      <c r="C43" s="6"/>
      <c r="D43" s="6"/>
      <c r="E43" s="6"/>
      <c r="F43" s="6"/>
      <c r="G43" s="6"/>
      <c r="H43" s="6"/>
      <c r="I43" s="6"/>
      <c r="J43" s="6"/>
      <c r="K43" s="6"/>
      <c r="L43" s="6"/>
    </row>
    <row r="44" spans="1:12">
      <c r="A44" s="6"/>
      <c r="B44" s="6"/>
      <c r="C44" s="6"/>
      <c r="D44" s="6"/>
      <c r="E44" s="6"/>
      <c r="F44" s="6"/>
      <c r="G44" s="6"/>
      <c r="H44" s="6"/>
      <c r="I44" s="6"/>
      <c r="J44" s="6"/>
      <c r="K44" s="6"/>
      <c r="L44" s="6"/>
    </row>
    <row r="45" spans="1:12">
      <c r="A45" s="6"/>
      <c r="B45" s="6"/>
      <c r="C45" s="6"/>
      <c r="D45" s="6"/>
      <c r="E45" s="6"/>
      <c r="F45" s="6"/>
      <c r="G45" s="6"/>
      <c r="H45" s="6"/>
      <c r="I45" s="6"/>
      <c r="J45" s="6"/>
      <c r="K45" s="6"/>
      <c r="L45" s="6"/>
    </row>
    <row r="46" spans="1:12">
      <c r="A46" s="6"/>
      <c r="B46" s="6"/>
      <c r="C46" s="6"/>
      <c r="D46" s="6"/>
      <c r="E46" s="6"/>
      <c r="F46" s="6"/>
      <c r="G46" s="6"/>
      <c r="H46" s="6"/>
      <c r="I46" s="6"/>
      <c r="J46" s="6"/>
      <c r="K46" s="6"/>
      <c r="L46" s="6"/>
    </row>
    <row r="47" spans="1:12">
      <c r="A47" s="6"/>
      <c r="B47" s="6"/>
      <c r="C47" s="6"/>
      <c r="D47" s="6"/>
      <c r="E47" s="6"/>
      <c r="F47" s="6"/>
      <c r="G47" s="6"/>
      <c r="H47" s="6"/>
      <c r="I47" s="6"/>
      <c r="J47" s="6"/>
      <c r="K47" s="6"/>
      <c r="L47" s="6"/>
    </row>
    <row r="48" spans="1:12">
      <c r="A48" s="6"/>
      <c r="B48" s="6"/>
      <c r="C48" s="6"/>
      <c r="D48" s="6"/>
      <c r="E48" s="6"/>
      <c r="F48" s="6"/>
      <c r="G48" s="6"/>
      <c r="H48" s="6"/>
      <c r="I48" s="6"/>
      <c r="J48" s="6"/>
      <c r="K48" s="6"/>
      <c r="L48" s="6"/>
    </row>
    <row r="49" spans="1:12">
      <c r="A49" s="6"/>
      <c r="B49" s="6"/>
      <c r="C49" s="6"/>
      <c r="D49" s="6"/>
      <c r="E49" s="6"/>
      <c r="F49" s="6"/>
      <c r="G49" s="6"/>
      <c r="H49" s="6"/>
      <c r="I49" s="6"/>
      <c r="J49" s="6"/>
      <c r="K49" s="6"/>
      <c r="L49" s="6"/>
    </row>
    <row r="50" spans="1:12">
      <c r="A50" s="6"/>
      <c r="B50" s="6"/>
      <c r="C50" s="6"/>
      <c r="D50" s="6"/>
      <c r="E50" s="6"/>
      <c r="F50" s="6"/>
      <c r="G50" s="6"/>
      <c r="H50" s="6"/>
      <c r="I50" s="6"/>
      <c r="J50" s="6"/>
      <c r="K50" s="6"/>
      <c r="L50" s="6"/>
    </row>
    <row r="51" spans="1:12">
      <c r="A51" s="6"/>
      <c r="B51" s="6"/>
      <c r="C51" s="6"/>
      <c r="D51" s="6"/>
      <c r="E51" s="6"/>
      <c r="F51" s="6"/>
      <c r="G51" s="6"/>
      <c r="H51" s="6"/>
      <c r="I51" s="6"/>
      <c r="J51" s="6"/>
      <c r="K51" s="6"/>
      <c r="L51" s="6"/>
    </row>
    <row r="52" spans="1:12">
      <c r="A52" s="6"/>
      <c r="B52" s="6"/>
      <c r="C52" s="6"/>
      <c r="D52" s="6"/>
      <c r="E52" s="6"/>
      <c r="F52" s="6"/>
      <c r="G52" s="6"/>
      <c r="H52" s="6"/>
      <c r="I52" s="6"/>
      <c r="J52" s="6"/>
      <c r="K52" s="6"/>
      <c r="L52" s="6"/>
    </row>
    <row r="53" spans="1:12">
      <c r="A53" s="6"/>
      <c r="B53" s="6"/>
      <c r="C53" s="6"/>
      <c r="D53" s="6"/>
      <c r="E53" s="6"/>
      <c r="F53" s="6"/>
      <c r="G53" s="6"/>
      <c r="H53" s="6"/>
      <c r="I53" s="6"/>
      <c r="J53" s="6"/>
      <c r="K53" s="6"/>
      <c r="L53" s="6"/>
    </row>
    <row r="54" spans="1:12">
      <c r="A54" s="6"/>
      <c r="B54" s="6"/>
      <c r="C54" s="6"/>
      <c r="D54" s="6"/>
      <c r="E54" s="6"/>
      <c r="F54" s="6"/>
      <c r="G54" s="6"/>
      <c r="H54" s="6"/>
      <c r="I54" s="6"/>
      <c r="J54" s="6"/>
      <c r="K54" s="6"/>
      <c r="L54" s="6"/>
    </row>
    <row r="55" spans="1:12">
      <c r="A55" s="6"/>
      <c r="B55" s="6"/>
      <c r="C55" s="6"/>
      <c r="D55" s="6"/>
      <c r="E55" s="6"/>
      <c r="F55" s="6"/>
      <c r="G55" s="6"/>
      <c r="H55" s="6"/>
      <c r="I55" s="6"/>
      <c r="J55" s="6"/>
      <c r="K55" s="6"/>
      <c r="L55" s="6"/>
    </row>
    <row r="56" spans="1:12">
      <c r="A56" s="6"/>
      <c r="B56" s="6"/>
      <c r="C56" s="6"/>
      <c r="D56" s="6"/>
      <c r="E56" s="6"/>
      <c r="F56" s="6"/>
      <c r="G56" s="6"/>
      <c r="H56" s="6"/>
      <c r="I56" s="6"/>
      <c r="J56" s="6"/>
      <c r="K56" s="6"/>
      <c r="L56" s="6"/>
    </row>
    <row r="57" spans="1:12">
      <c r="A57" s="6"/>
      <c r="B57" s="6"/>
      <c r="C57" s="6"/>
      <c r="D57" s="6"/>
      <c r="E57" s="6"/>
      <c r="F57" s="6"/>
      <c r="G57" s="6"/>
      <c r="H57" s="6"/>
      <c r="I57" s="6"/>
      <c r="J57" s="6"/>
      <c r="K57" s="6"/>
      <c r="L57" s="6"/>
    </row>
    <row r="58" spans="1:12">
      <c r="A58" s="6"/>
      <c r="B58" s="6"/>
      <c r="C58" s="6"/>
      <c r="D58" s="6"/>
      <c r="E58" s="6"/>
      <c r="F58" s="6"/>
      <c r="G58" s="6"/>
      <c r="H58" s="6"/>
      <c r="I58" s="6"/>
      <c r="J58" s="6"/>
      <c r="K58" s="6"/>
      <c r="L58" s="6"/>
    </row>
    <row r="59" spans="1:12">
      <c r="A59" s="6"/>
      <c r="B59" s="6"/>
      <c r="C59" s="6"/>
      <c r="D59" s="6"/>
      <c r="E59" s="6"/>
      <c r="F59" s="6"/>
      <c r="G59" s="6"/>
      <c r="H59" s="6"/>
      <c r="I59" s="6"/>
      <c r="J59" s="6"/>
      <c r="K59" s="6"/>
      <c r="L59" s="6"/>
    </row>
    <row r="60" spans="1:12">
      <c r="A60" s="6"/>
      <c r="B60" s="6"/>
      <c r="C60" s="6"/>
      <c r="D60" s="6"/>
      <c r="E60" s="6"/>
      <c r="F60" s="6"/>
      <c r="G60" s="6"/>
      <c r="H60" s="6"/>
      <c r="I60" s="6"/>
      <c r="J60" s="6"/>
      <c r="K60" s="6"/>
      <c r="L60" s="6"/>
    </row>
    <row r="61" spans="1:12">
      <c r="A61" s="6"/>
      <c r="B61" s="6"/>
      <c r="C61" s="6"/>
      <c r="D61" s="6"/>
      <c r="E61" s="6"/>
      <c r="F61" s="6"/>
      <c r="G61" s="6"/>
      <c r="H61" s="6"/>
      <c r="I61" s="6"/>
      <c r="J61" s="6"/>
      <c r="K61" s="6"/>
      <c r="L61" s="6"/>
    </row>
    <row r="62" spans="1:12">
      <c r="A62" s="6"/>
      <c r="B62" s="6"/>
      <c r="C62" s="6"/>
      <c r="D62" s="6"/>
      <c r="E62" s="6"/>
      <c r="F62" s="6"/>
      <c r="G62" s="6"/>
      <c r="H62" s="6"/>
      <c r="I62" s="6"/>
      <c r="J62" s="6"/>
      <c r="K62" s="6"/>
      <c r="L62" s="6"/>
    </row>
    <row r="63" spans="1:12">
      <c r="A63" s="6"/>
      <c r="B63" s="6"/>
      <c r="C63" s="6"/>
      <c r="D63" s="6"/>
      <c r="E63" s="6"/>
      <c r="F63" s="6"/>
      <c r="G63" s="6"/>
      <c r="H63" s="6"/>
      <c r="I63" s="6"/>
      <c r="J63" s="6"/>
      <c r="K63" s="6"/>
      <c r="L63" s="6"/>
    </row>
    <row r="64" spans="1:12">
      <c r="A64" s="6"/>
      <c r="B64" s="6"/>
      <c r="C64" s="6"/>
      <c r="D64" s="6"/>
      <c r="E64" s="6"/>
      <c r="F64" s="6"/>
      <c r="G64" s="6"/>
      <c r="H64" s="6"/>
      <c r="I64" s="6"/>
      <c r="J64" s="6"/>
      <c r="K64" s="6"/>
      <c r="L64" s="6"/>
    </row>
    <row r="65" spans="1:12">
      <c r="A65" s="6"/>
      <c r="B65" s="6"/>
      <c r="C65" s="6"/>
      <c r="D65" s="6"/>
      <c r="E65" s="6"/>
      <c r="F65" s="6"/>
      <c r="G65" s="6"/>
      <c r="H65" s="6"/>
      <c r="I65" s="6"/>
      <c r="J65" s="6"/>
      <c r="K65" s="6"/>
      <c r="L65" s="6"/>
    </row>
    <row r="66" spans="1:12">
      <c r="A66" s="6"/>
      <c r="B66" s="6"/>
      <c r="C66" s="6"/>
      <c r="D66" s="6"/>
      <c r="E66" s="6"/>
      <c r="F66" s="6"/>
      <c r="G66" s="6"/>
      <c r="H66" s="6"/>
      <c r="I66" s="6"/>
      <c r="J66" s="6"/>
      <c r="K66" s="6"/>
      <c r="L66" s="6"/>
    </row>
    <row r="67" spans="1:12">
      <c r="A67" s="6"/>
      <c r="B67" s="6"/>
      <c r="C67" s="6"/>
      <c r="D67" s="6"/>
      <c r="E67" s="6"/>
      <c r="F67" s="6"/>
      <c r="G67" s="6"/>
      <c r="H67" s="6"/>
      <c r="I67" s="6"/>
      <c r="J67" s="6"/>
      <c r="K67" s="6"/>
      <c r="L67" s="6"/>
    </row>
    <row r="68" spans="1:12">
      <c r="A68" s="6"/>
      <c r="B68" s="6"/>
      <c r="C68" s="6"/>
      <c r="D68" s="6"/>
      <c r="E68" s="6"/>
      <c r="F68" s="6"/>
      <c r="G68" s="6"/>
      <c r="H68" s="6"/>
      <c r="I68" s="6"/>
      <c r="J68" s="6"/>
      <c r="K68" s="6"/>
      <c r="L68" s="6"/>
    </row>
    <row r="69" spans="1:12">
      <c r="A69" s="6"/>
      <c r="B69" s="6"/>
      <c r="C69" s="6"/>
      <c r="D69" s="6"/>
      <c r="E69" s="6"/>
      <c r="F69" s="6"/>
      <c r="G69" s="6"/>
      <c r="H69" s="6"/>
      <c r="I69" s="6"/>
      <c r="J69" s="6"/>
      <c r="K69" s="6"/>
      <c r="L69" s="6"/>
    </row>
    <row r="70" spans="1:12">
      <c r="A70" s="6"/>
      <c r="B70" s="6"/>
      <c r="C70" s="6"/>
      <c r="D70" s="6"/>
      <c r="E70" s="6"/>
      <c r="F70" s="6"/>
      <c r="G70" s="6"/>
      <c r="H70" s="6"/>
      <c r="I70" s="6"/>
      <c r="J70" s="6"/>
      <c r="K70" s="6"/>
      <c r="L70" s="6"/>
    </row>
    <row r="71" spans="1:12">
      <c r="A71" s="6"/>
      <c r="B71" s="6"/>
      <c r="C71" s="6"/>
      <c r="D71" s="6"/>
      <c r="E71" s="6"/>
      <c r="F71" s="6"/>
      <c r="G71" s="6"/>
      <c r="H71" s="6"/>
      <c r="I71" s="6"/>
      <c r="J71" s="6"/>
      <c r="K71" s="6"/>
      <c r="L71" s="6"/>
    </row>
    <row r="72" spans="1:12">
      <c r="A72" s="6"/>
      <c r="B72" s="6"/>
      <c r="C72" s="6"/>
      <c r="D72" s="6"/>
      <c r="E72" s="6"/>
      <c r="F72" s="6"/>
      <c r="G72" s="6"/>
      <c r="H72" s="6"/>
      <c r="I72" s="6"/>
      <c r="J72" s="6"/>
      <c r="K72" s="6"/>
      <c r="L72" s="6"/>
    </row>
    <row r="73" spans="1:12">
      <c r="A73" s="6"/>
      <c r="B73" s="6"/>
      <c r="C73" s="6"/>
      <c r="D73" s="6"/>
      <c r="E73" s="6"/>
      <c r="F73" s="6"/>
      <c r="G73" s="6"/>
      <c r="H73" s="6"/>
      <c r="I73" s="6"/>
      <c r="J73" s="6"/>
      <c r="K73" s="6"/>
      <c r="L73" s="6"/>
    </row>
    <row r="74" spans="1:12">
      <c r="A74" s="6"/>
      <c r="B74" s="6"/>
      <c r="C74" s="6"/>
      <c r="D74" s="6"/>
      <c r="E74" s="6"/>
      <c r="F74" s="6"/>
      <c r="G74" s="6"/>
      <c r="H74" s="6"/>
      <c r="I74" s="6"/>
      <c r="J74" s="6"/>
      <c r="K74" s="6"/>
      <c r="L74" s="6"/>
    </row>
    <row r="75" spans="1:12">
      <c r="A75" s="6"/>
      <c r="B75" s="6"/>
      <c r="C75" s="6"/>
      <c r="D75" s="6"/>
      <c r="E75" s="6"/>
      <c r="F75" s="6"/>
      <c r="G75" s="6"/>
      <c r="H75" s="6"/>
      <c r="I75" s="6"/>
      <c r="J75" s="6"/>
      <c r="K75" s="6"/>
      <c r="L75" s="6"/>
    </row>
    <row r="76" spans="1:12">
      <c r="A76" s="6"/>
      <c r="B76" s="6"/>
      <c r="C76" s="6"/>
      <c r="D76" s="6"/>
      <c r="E76" s="6"/>
      <c r="F76" s="6"/>
      <c r="G76" s="6"/>
      <c r="H76" s="6"/>
      <c r="I76" s="6"/>
      <c r="J76" s="6"/>
      <c r="K76" s="6"/>
      <c r="L76" s="6"/>
    </row>
    <row r="77" spans="1:12">
      <c r="A77" s="6"/>
      <c r="B77" s="6"/>
      <c r="C77" s="6"/>
      <c r="D77" s="6"/>
      <c r="E77" s="6"/>
      <c r="F77" s="6"/>
      <c r="G77" s="6"/>
      <c r="H77" s="6"/>
      <c r="I77" s="6"/>
      <c r="J77" s="6"/>
      <c r="K77" s="6"/>
      <c r="L77" s="6"/>
    </row>
  </sheetData>
  <mergeCells count="1">
    <mergeCell ref="I4:P4"/>
  </mergeCells>
  <pageMargins left="0.75" right="0.75" top="1" bottom="1" header="0.5" footer="0.5"/>
  <pageSetup orientation="portrait" horizontalDpi="4294967292" verticalDpi="4294967292"/>
  <drawing r:id="rId1"/>
  <legacyDrawing r:id="rId2"/>
  <extLst>
    <ext xmlns:mx="http://schemas.microsoft.com/office/mac/excel/2008/main" uri="{64002731-A6B0-56B0-2670-7721B7C09600}">
      <mx:PLV Mode="0" OnePage="0" WScale="0"/>
    </ext>
  </extLst>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1:AC183"/>
  <sheetViews>
    <sheetView topLeftCell="G1" workbookViewId="0">
      <selection activeCell="A96" sqref="A96"/>
    </sheetView>
  </sheetViews>
  <sheetFormatPr baseColWidth="10" defaultColWidth="11" defaultRowHeight="15" x14ac:dyDescent="0"/>
  <cols>
    <col min="1" max="1" width="25" customWidth="1"/>
    <col min="2" max="2" width="14.6640625" customWidth="1"/>
    <col min="3" max="4" width="15" customWidth="1"/>
    <col min="8" max="8" width="13" customWidth="1"/>
    <col min="9" max="9" width="14.5" customWidth="1"/>
    <col min="10" max="10" width="12.1640625" customWidth="1"/>
    <col min="11" max="11" width="13.1640625" customWidth="1"/>
    <col min="12" max="12" width="14.5" customWidth="1"/>
  </cols>
  <sheetData>
    <row r="1" spans="1:19">
      <c r="A1" t="s">
        <v>15</v>
      </c>
      <c r="C1" s="84"/>
      <c r="D1" t="s">
        <v>185</v>
      </c>
    </row>
    <row r="2" spans="1:19">
      <c r="C2" s="82"/>
      <c r="D2" t="s">
        <v>186</v>
      </c>
    </row>
    <row r="3" spans="1:19">
      <c r="A3" t="s">
        <v>16</v>
      </c>
    </row>
    <row r="5" spans="1:19">
      <c r="A5" t="s">
        <v>191</v>
      </c>
    </row>
    <row r="6" spans="1:19">
      <c r="A6" t="s">
        <v>192</v>
      </c>
    </row>
    <row r="7" spans="1:19">
      <c r="A7" t="s">
        <v>114</v>
      </c>
      <c r="B7">
        <v>250</v>
      </c>
    </row>
    <row r="8" spans="1:19">
      <c r="A8" t="s">
        <v>25</v>
      </c>
      <c r="B8">
        <v>100</v>
      </c>
    </row>
    <row r="9" spans="1:19">
      <c r="A9" t="s">
        <v>26</v>
      </c>
      <c r="B9">
        <v>0</v>
      </c>
    </row>
    <row r="11" spans="1:19">
      <c r="A11" s="4" t="s">
        <v>17</v>
      </c>
      <c r="B11" s="15"/>
      <c r="C11" s="15"/>
      <c r="D11" s="15"/>
      <c r="E11" s="15"/>
      <c r="F11" s="15"/>
      <c r="G11" s="15"/>
      <c r="H11" s="15"/>
      <c r="I11" s="15"/>
      <c r="J11" s="15"/>
      <c r="K11" s="15"/>
      <c r="L11" s="15"/>
    </row>
    <row r="12" spans="1:19" ht="31" customHeight="1" thickBot="1">
      <c r="A12" s="48" t="s">
        <v>18</v>
      </c>
      <c r="B12" s="48"/>
      <c r="C12" s="48" t="s">
        <v>19</v>
      </c>
      <c r="D12" s="48"/>
      <c r="E12" s="48" t="s">
        <v>20</v>
      </c>
      <c r="F12" s="48"/>
      <c r="G12" s="48" t="s">
        <v>6</v>
      </c>
      <c r="H12" s="48" t="s">
        <v>21</v>
      </c>
      <c r="I12" s="48" t="s">
        <v>22</v>
      </c>
      <c r="J12" s="48" t="s">
        <v>8</v>
      </c>
      <c r="K12" s="49" t="s">
        <v>23</v>
      </c>
      <c r="L12" s="49" t="s">
        <v>24</v>
      </c>
      <c r="M12" s="49" t="s">
        <v>107</v>
      </c>
      <c r="O12" s="52" t="s">
        <v>82</v>
      </c>
      <c r="P12" s="53" t="s">
        <v>4</v>
      </c>
      <c r="Q12" s="52" t="s">
        <v>83</v>
      </c>
      <c r="R12" s="52" t="s">
        <v>25</v>
      </c>
      <c r="S12" s="52" t="s">
        <v>26</v>
      </c>
    </row>
    <row r="13" spans="1:19">
      <c r="A13" s="84" t="str">
        <f>A34</f>
        <v>Hal-ost-RR-14</v>
      </c>
      <c r="B13" s="89" t="s">
        <v>138</v>
      </c>
      <c r="C13" s="89">
        <f t="shared" ref="C13:L13" si="0">C40</f>
        <v>326.09199999999998</v>
      </c>
      <c r="D13" s="89">
        <f t="shared" si="0"/>
        <v>326.09199999999998</v>
      </c>
      <c r="E13" s="89">
        <f t="shared" si="0"/>
        <v>163.04599999999999</v>
      </c>
      <c r="F13" s="89">
        <f t="shared" si="0"/>
        <v>163.04599999999999</v>
      </c>
      <c r="G13" s="89">
        <f t="shared" si="0"/>
        <v>83516.093184270503</v>
      </c>
      <c r="H13" s="89">
        <f t="shared" si="0"/>
        <v>1</v>
      </c>
      <c r="I13" s="89">
        <f t="shared" si="0"/>
        <v>83516.093184270503</v>
      </c>
      <c r="J13" s="89">
        <f t="shared" si="0"/>
        <v>391876.54300000001</v>
      </c>
      <c r="K13" s="89">
        <f t="shared" si="0"/>
        <v>0.21311837790778537</v>
      </c>
      <c r="L13" s="89">
        <f t="shared" si="0"/>
        <v>21.311837790778537</v>
      </c>
      <c r="M13" s="89">
        <f>K13*100</f>
        <v>21.311837790778537</v>
      </c>
      <c r="O13" s="52"/>
      <c r="P13" s="52" t="str">
        <f>A47</f>
        <v>Hal-ost-RR-34</v>
      </c>
      <c r="Q13">
        <v>930.02700000000004</v>
      </c>
      <c r="R13">
        <v>514.88800000000003</v>
      </c>
      <c r="S13">
        <v>292.62400000000002</v>
      </c>
    </row>
    <row r="14" spans="1:19">
      <c r="A14" s="90"/>
      <c r="B14" s="90" t="s">
        <v>136</v>
      </c>
      <c r="C14" s="90">
        <f t="shared" ref="C14:L14" si="1">C42</f>
        <v>64.917500000000004</v>
      </c>
      <c r="D14" s="90">
        <f t="shared" si="1"/>
        <v>64.917500000000004</v>
      </c>
      <c r="E14" s="90">
        <f t="shared" si="1"/>
        <v>32.458750000000002</v>
      </c>
      <c r="F14" s="90">
        <f t="shared" si="1"/>
        <v>32.458750000000002</v>
      </c>
      <c r="G14" s="90">
        <f t="shared" si="1"/>
        <v>3889.1617637669228</v>
      </c>
      <c r="H14" s="90">
        <f t="shared" si="1"/>
        <v>4</v>
      </c>
      <c r="I14" s="90">
        <f t="shared" si="1"/>
        <v>15556.647055067691</v>
      </c>
      <c r="J14" s="90">
        <f t="shared" si="1"/>
        <v>391876.54300000001</v>
      </c>
      <c r="K14" s="90">
        <f t="shared" si="1"/>
        <v>3.9697826606242395E-2</v>
      </c>
      <c r="L14" s="90">
        <f t="shared" si="1"/>
        <v>3.9697826606242397</v>
      </c>
      <c r="M14" s="90">
        <f t="shared" ref="M14:M19" si="2">K14*100</f>
        <v>3.9697826606242397</v>
      </c>
      <c r="O14" s="52"/>
      <c r="P14" s="52"/>
      <c r="Q14" s="100"/>
      <c r="R14">
        <v>1153.0219999999999</v>
      </c>
      <c r="S14" s="100"/>
    </row>
    <row r="15" spans="1:19">
      <c r="A15" s="89" t="str">
        <f>A47</f>
        <v>Hal-ost-RR-34</v>
      </c>
      <c r="B15" s="89" t="s">
        <v>138</v>
      </c>
      <c r="C15" s="89">
        <f>C90</f>
        <v>339.15266666666668</v>
      </c>
      <c r="D15" s="89">
        <f t="shared" ref="D15:L15" si="3">D90</f>
        <v>339.15266666666668</v>
      </c>
      <c r="E15" s="89">
        <f t="shared" si="3"/>
        <v>169.57633333333334</v>
      </c>
      <c r="F15" s="89">
        <f t="shared" si="3"/>
        <v>169.57633333333334</v>
      </c>
      <c r="G15" s="89">
        <f t="shared" si="3"/>
        <v>95506.280784443385</v>
      </c>
      <c r="H15" s="89">
        <f t="shared" si="3"/>
        <v>3</v>
      </c>
      <c r="I15" s="89">
        <f t="shared" si="3"/>
        <v>286518.84235333017</v>
      </c>
      <c r="J15" s="89">
        <f t="shared" si="3"/>
        <v>3797741.9350000001</v>
      </c>
      <c r="K15" s="89">
        <f t="shared" si="3"/>
        <v>7.5444526578483842E-2</v>
      </c>
      <c r="L15" s="89">
        <f t="shared" si="3"/>
        <v>7.5444526578483844</v>
      </c>
      <c r="M15" s="89">
        <f t="shared" si="2"/>
        <v>7.5444526578483844</v>
      </c>
      <c r="O15" s="52"/>
      <c r="P15" s="52" t="str">
        <f>A96</f>
        <v>Hal-cho-RR-10</v>
      </c>
      <c r="Q15" s="100"/>
      <c r="R15" s="100"/>
      <c r="S15">
        <v>93.4</v>
      </c>
    </row>
    <row r="16" spans="1:19">
      <c r="A16" s="89"/>
      <c r="B16" s="89" t="s">
        <v>137</v>
      </c>
      <c r="C16" s="89">
        <f t="shared" ref="C16:L17" si="4">C91</f>
        <v>170.02757142857143</v>
      </c>
      <c r="D16" s="89">
        <f t="shared" si="4"/>
        <v>170.02757142857143</v>
      </c>
      <c r="E16" s="89">
        <f t="shared" si="4"/>
        <v>85.013785714285717</v>
      </c>
      <c r="F16" s="89">
        <f t="shared" si="4"/>
        <v>85.013785714285717</v>
      </c>
      <c r="G16" s="89">
        <f t="shared" si="4"/>
        <v>24289.237189627511</v>
      </c>
      <c r="H16" s="89">
        <f t="shared" si="4"/>
        <v>7</v>
      </c>
      <c r="I16" s="89">
        <f t="shared" si="4"/>
        <v>170024.66032739257</v>
      </c>
      <c r="J16" s="89">
        <f t="shared" si="4"/>
        <v>3797741.9350000001</v>
      </c>
      <c r="K16" s="89">
        <f t="shared" si="4"/>
        <v>4.4769935197661759E-2</v>
      </c>
      <c r="L16" s="89">
        <f t="shared" si="4"/>
        <v>4.4769935197661761</v>
      </c>
      <c r="M16" s="89">
        <f t="shared" si="2"/>
        <v>4.4769935197661761</v>
      </c>
      <c r="O16" s="52"/>
      <c r="P16" s="52"/>
      <c r="Q16" s="100"/>
      <c r="R16" s="100"/>
      <c r="S16">
        <v>69.564999999999998</v>
      </c>
    </row>
    <row r="17" spans="1:19">
      <c r="A17" s="90"/>
      <c r="B17" s="90" t="s">
        <v>136</v>
      </c>
      <c r="C17" s="90">
        <f t="shared" si="4"/>
        <v>60.80890625</v>
      </c>
      <c r="D17" s="90">
        <f t="shared" si="4"/>
        <v>60.80890625</v>
      </c>
      <c r="E17" s="90">
        <f t="shared" si="4"/>
        <v>30.404453125</v>
      </c>
      <c r="F17" s="90">
        <f t="shared" si="4"/>
        <v>30.404453125</v>
      </c>
      <c r="G17" s="90">
        <f t="shared" si="4"/>
        <v>3273.6002158951333</v>
      </c>
      <c r="H17" s="90">
        <f t="shared" si="4"/>
        <v>32</v>
      </c>
      <c r="I17" s="90">
        <f t="shared" si="4"/>
        <v>104755.20690864426</v>
      </c>
      <c r="J17" s="90">
        <f t="shared" si="4"/>
        <v>3797741.9350000001</v>
      </c>
      <c r="K17" s="90">
        <f t="shared" si="4"/>
        <v>2.7583550620757031E-2</v>
      </c>
      <c r="L17" s="90">
        <f t="shared" si="4"/>
        <v>2.7583550620757031</v>
      </c>
      <c r="M17" s="90">
        <f t="shared" si="2"/>
        <v>2.7583550620757031</v>
      </c>
      <c r="O17" s="52"/>
      <c r="P17" s="52"/>
      <c r="Q17" s="100"/>
      <c r="R17" s="100"/>
      <c r="S17" s="100"/>
    </row>
    <row r="18" spans="1:19">
      <c r="A18" s="89" t="str">
        <f>A96</f>
        <v>Hal-cho-RR-10</v>
      </c>
      <c r="B18" s="89" t="s">
        <v>137</v>
      </c>
      <c r="C18" s="89">
        <f>C136</f>
        <v>110.654</v>
      </c>
      <c r="D18" s="89">
        <f t="shared" ref="D18:L18" si="5">D136</f>
        <v>110.654</v>
      </c>
      <c r="E18" s="89">
        <f t="shared" si="5"/>
        <v>55.326999999999998</v>
      </c>
      <c r="F18" s="89">
        <f t="shared" si="5"/>
        <v>55.326999999999998</v>
      </c>
      <c r="G18" s="89">
        <f t="shared" si="5"/>
        <v>9616.6567922196045</v>
      </c>
      <c r="H18" s="89">
        <f t="shared" si="5"/>
        <v>1</v>
      </c>
      <c r="I18" s="89">
        <f t="shared" si="5"/>
        <v>9616.6567922196045</v>
      </c>
      <c r="J18" s="89">
        <f t="shared" si="5"/>
        <v>493533.14500000002</v>
      </c>
      <c r="K18" s="89">
        <f t="shared" si="5"/>
        <v>1.9485331207531369E-2</v>
      </c>
      <c r="L18" s="89">
        <f t="shared" si="5"/>
        <v>1.9485331207531369</v>
      </c>
      <c r="M18" s="89">
        <f t="shared" si="2"/>
        <v>1.9485331207531369</v>
      </c>
      <c r="O18" s="52"/>
      <c r="P18" s="52"/>
      <c r="Q18" s="100"/>
      <c r="R18" s="100"/>
      <c r="S18" s="100"/>
    </row>
    <row r="19" spans="1:19">
      <c r="A19" s="89"/>
      <c r="B19" s="89" t="s">
        <v>136</v>
      </c>
      <c r="C19" s="89">
        <f>C137</f>
        <v>28.102756756756754</v>
      </c>
      <c r="D19" s="89">
        <f t="shared" ref="D19:L19" si="6">D137</f>
        <v>28.102756756756754</v>
      </c>
      <c r="E19" s="89">
        <f t="shared" si="6"/>
        <v>14.051378378378377</v>
      </c>
      <c r="F19" s="89">
        <f t="shared" si="6"/>
        <v>14.051378378378377</v>
      </c>
      <c r="G19" s="89">
        <f t="shared" si="6"/>
        <v>766.199793132173</v>
      </c>
      <c r="H19" s="89">
        <f t="shared" si="6"/>
        <v>37</v>
      </c>
      <c r="I19" s="89">
        <f t="shared" si="6"/>
        <v>28349.392345890403</v>
      </c>
      <c r="J19" s="89">
        <f t="shared" si="6"/>
        <v>493533.14500000002</v>
      </c>
      <c r="K19" s="89">
        <f t="shared" si="6"/>
        <v>5.7441719230205704E-2</v>
      </c>
      <c r="L19" s="89">
        <f t="shared" si="6"/>
        <v>5.7441719230205708</v>
      </c>
      <c r="M19" s="89">
        <f t="shared" si="2"/>
        <v>5.7441719230205708</v>
      </c>
      <c r="O19" s="52"/>
      <c r="P19" s="52"/>
      <c r="Q19" s="100"/>
      <c r="R19" s="100"/>
      <c r="S19" s="100"/>
    </row>
    <row r="20" spans="1:19">
      <c r="A20" s="89"/>
      <c r="B20" s="89"/>
      <c r="C20" s="89"/>
      <c r="D20" s="89"/>
      <c r="E20" s="89"/>
      <c r="F20" s="89"/>
      <c r="G20" s="89"/>
      <c r="H20" s="89"/>
      <c r="I20" s="89"/>
      <c r="J20" s="89"/>
      <c r="K20" s="89"/>
      <c r="L20" s="89"/>
      <c r="M20" s="89"/>
      <c r="O20" s="52"/>
      <c r="P20" s="52"/>
      <c r="Q20" s="100"/>
      <c r="R20" s="100"/>
      <c r="S20" s="100"/>
    </row>
    <row r="21" spans="1:19">
      <c r="A21" s="89"/>
      <c r="B21" s="89"/>
      <c r="C21" s="89"/>
      <c r="D21" s="89"/>
      <c r="E21" s="89"/>
      <c r="F21" s="89"/>
      <c r="G21" s="89"/>
      <c r="H21" s="89"/>
      <c r="I21" s="89"/>
      <c r="J21" s="89"/>
      <c r="K21" s="89"/>
      <c r="L21" s="89"/>
      <c r="M21" s="89"/>
      <c r="P21" t="s">
        <v>106</v>
      </c>
      <c r="Q21" s="82">
        <f>AVERAGE(Q13:Q20)</f>
        <v>930.02700000000004</v>
      </c>
      <c r="R21" s="82">
        <f t="shared" ref="R21:S21" si="7">AVERAGE(R13:R20)</f>
        <v>833.95499999999993</v>
      </c>
      <c r="S21" s="82">
        <f t="shared" si="7"/>
        <v>151.863</v>
      </c>
    </row>
    <row r="22" spans="1:19">
      <c r="A22" s="89"/>
      <c r="B22" s="89"/>
      <c r="C22" s="89"/>
      <c r="D22" s="89"/>
      <c r="E22" s="89"/>
      <c r="F22" s="89"/>
      <c r="G22" s="89"/>
      <c r="H22" s="89"/>
      <c r="I22" s="89"/>
      <c r="J22" s="89"/>
      <c r="K22" s="89"/>
      <c r="L22" s="89"/>
      <c r="M22" s="89"/>
    </row>
    <row r="23" spans="1:19">
      <c r="A23" s="89"/>
      <c r="B23" s="89"/>
      <c r="C23" s="89"/>
      <c r="D23" s="89"/>
      <c r="E23" s="89"/>
      <c r="F23" s="89"/>
      <c r="G23" s="89"/>
      <c r="H23" s="89"/>
      <c r="I23" s="89"/>
      <c r="J23" s="89"/>
      <c r="K23" s="89"/>
      <c r="L23" s="89"/>
      <c r="M23" s="89"/>
    </row>
    <row r="24" spans="1:19">
      <c r="A24" s="89"/>
      <c r="B24" s="89"/>
      <c r="C24" s="89"/>
      <c r="D24" s="89"/>
      <c r="E24" s="89"/>
      <c r="F24" s="89"/>
      <c r="G24" s="89"/>
      <c r="H24" s="89"/>
      <c r="I24" s="89"/>
      <c r="J24" s="89"/>
      <c r="K24" s="89"/>
      <c r="L24" s="89"/>
      <c r="M24" s="89"/>
    </row>
    <row r="25" spans="1:19">
      <c r="A25" s="90"/>
      <c r="B25" s="90"/>
      <c r="C25" s="90"/>
      <c r="D25" s="90"/>
      <c r="E25" s="90"/>
      <c r="F25" s="90"/>
      <c r="G25" s="90"/>
      <c r="H25" s="90"/>
      <c r="I25" s="90"/>
      <c r="J25" s="90"/>
      <c r="K25" s="90"/>
      <c r="L25" s="90"/>
      <c r="M25" s="90"/>
    </row>
    <row r="26" spans="1:19">
      <c r="A26" s="37" t="s">
        <v>106</v>
      </c>
      <c r="B26" s="37" t="s">
        <v>83</v>
      </c>
      <c r="C26" s="86">
        <f>AVERAGE(C13,C15)</f>
        <v>332.62233333333336</v>
      </c>
      <c r="D26" s="86">
        <f t="shared" ref="D26:M26" si="8">AVERAGE(D13,D15)</f>
        <v>332.62233333333336</v>
      </c>
      <c r="E26" s="86">
        <f t="shared" si="8"/>
        <v>166.31116666666668</v>
      </c>
      <c r="F26" s="86">
        <f t="shared" si="8"/>
        <v>166.31116666666668</v>
      </c>
      <c r="G26" s="86">
        <f t="shared" si="8"/>
        <v>89511.186984356944</v>
      </c>
      <c r="H26" s="86">
        <f t="shared" si="8"/>
        <v>2</v>
      </c>
      <c r="I26" s="86">
        <f t="shared" si="8"/>
        <v>185017.46776880033</v>
      </c>
      <c r="J26" s="86">
        <f t="shared" si="8"/>
        <v>2094809.2390000001</v>
      </c>
      <c r="K26" s="86">
        <f t="shared" si="8"/>
        <v>0.1442814522431346</v>
      </c>
      <c r="L26" s="86">
        <f t="shared" si="8"/>
        <v>14.428145224313461</v>
      </c>
      <c r="M26" s="86">
        <f t="shared" si="8"/>
        <v>14.428145224313461</v>
      </c>
    </row>
    <row r="27" spans="1:19">
      <c r="A27" s="37"/>
      <c r="B27" s="37" t="s">
        <v>25</v>
      </c>
      <c r="C27" s="86">
        <f>AVERAGE(C16,C18)</f>
        <v>140.34078571428572</v>
      </c>
      <c r="D27" s="86">
        <f t="shared" ref="D27:M27" si="9">AVERAGE(D16,D18)</f>
        <v>140.34078571428572</v>
      </c>
      <c r="E27" s="86">
        <f t="shared" si="9"/>
        <v>70.170392857142858</v>
      </c>
      <c r="F27" s="86">
        <f t="shared" si="9"/>
        <v>70.170392857142858</v>
      </c>
      <c r="G27" s="86">
        <f t="shared" si="9"/>
        <v>16952.946990923556</v>
      </c>
      <c r="H27" s="86">
        <f t="shared" si="9"/>
        <v>4</v>
      </c>
      <c r="I27" s="86">
        <f t="shared" si="9"/>
        <v>89820.658559806092</v>
      </c>
      <c r="J27" s="86">
        <f t="shared" si="9"/>
        <v>2145637.54</v>
      </c>
      <c r="K27" s="86">
        <f t="shared" si="9"/>
        <v>3.2127633202596567E-2</v>
      </c>
      <c r="L27" s="86">
        <f t="shared" si="9"/>
        <v>3.2127633202596564</v>
      </c>
      <c r="M27" s="86">
        <f t="shared" si="9"/>
        <v>3.2127633202596564</v>
      </c>
    </row>
    <row r="28" spans="1:19" ht="16" thickBot="1">
      <c r="A28" s="38"/>
      <c r="B28" s="38" t="s">
        <v>26</v>
      </c>
      <c r="C28" s="95">
        <f>AVERAGE(C14,C17,C19)</f>
        <v>51.276387668918915</v>
      </c>
      <c r="D28" s="95">
        <f t="shared" ref="D28:M28" si="10">AVERAGE(D14,D17,D19)</f>
        <v>51.276387668918915</v>
      </c>
      <c r="E28" s="95">
        <f t="shared" si="10"/>
        <v>25.638193834459457</v>
      </c>
      <c r="F28" s="95">
        <f t="shared" si="10"/>
        <v>25.638193834459457</v>
      </c>
      <c r="G28" s="95">
        <f t="shared" si="10"/>
        <v>2642.9872575980767</v>
      </c>
      <c r="H28" s="95">
        <f t="shared" si="10"/>
        <v>24.333333333333332</v>
      </c>
      <c r="I28" s="95">
        <f t="shared" si="10"/>
        <v>49553.748769867445</v>
      </c>
      <c r="J28" s="95">
        <f t="shared" si="10"/>
        <v>1561050.541</v>
      </c>
      <c r="K28" s="95">
        <f t="shared" si="10"/>
        <v>4.1574365485735044E-2</v>
      </c>
      <c r="L28" s="95">
        <f t="shared" si="10"/>
        <v>4.1574365485735045</v>
      </c>
      <c r="M28" s="95">
        <f t="shared" si="10"/>
        <v>4.1574365485735045</v>
      </c>
    </row>
    <row r="29" spans="1:19">
      <c r="A29" s="6"/>
      <c r="B29" s="9"/>
      <c r="C29" s="31"/>
      <c r="D29" s="31"/>
      <c r="E29" s="31"/>
      <c r="F29" s="31"/>
      <c r="G29" s="31"/>
      <c r="H29" s="31"/>
      <c r="I29" s="31"/>
      <c r="J29" s="31"/>
      <c r="K29" s="31"/>
      <c r="L29" s="31"/>
    </row>
    <row r="31" spans="1:19">
      <c r="A31" s="9"/>
      <c r="B31" s="9"/>
      <c r="C31" s="9"/>
      <c r="D31" s="9"/>
      <c r="E31" s="9"/>
      <c r="F31" s="9"/>
      <c r="G31" s="9"/>
      <c r="H31" s="9"/>
      <c r="I31" s="9"/>
      <c r="J31" s="9"/>
      <c r="K31" s="9"/>
      <c r="L31" s="9"/>
    </row>
    <row r="32" spans="1:19">
      <c r="A32" s="9"/>
      <c r="B32" s="9"/>
      <c r="C32" s="9"/>
      <c r="D32" s="9"/>
      <c r="E32" s="9"/>
      <c r="F32" s="9"/>
      <c r="G32" s="9"/>
      <c r="H32" s="9"/>
      <c r="I32" s="9"/>
      <c r="J32" s="9"/>
      <c r="K32" s="9"/>
      <c r="L32" s="9"/>
      <c r="M32" s="3"/>
    </row>
    <row r="33" spans="1:29" ht="30">
      <c r="A33" s="2" t="s">
        <v>112</v>
      </c>
      <c r="B33" s="2" t="s">
        <v>113</v>
      </c>
      <c r="C33" s="2" t="s">
        <v>19</v>
      </c>
      <c r="D33" s="2" t="s">
        <v>84</v>
      </c>
      <c r="E33" s="2" t="s">
        <v>20</v>
      </c>
      <c r="F33" s="2" t="s">
        <v>85</v>
      </c>
      <c r="G33" s="2" t="s">
        <v>6</v>
      </c>
      <c r="H33" s="2" t="s">
        <v>21</v>
      </c>
      <c r="I33" s="2" t="s">
        <v>22</v>
      </c>
      <c r="J33" s="2" t="s">
        <v>8</v>
      </c>
      <c r="K33" s="2" t="s">
        <v>23</v>
      </c>
      <c r="L33" s="2" t="s">
        <v>24</v>
      </c>
    </row>
    <row r="34" spans="1:29">
      <c r="A34" t="s">
        <v>203</v>
      </c>
      <c r="B34" s="2"/>
      <c r="C34" s="9">
        <v>326.09199999999998</v>
      </c>
      <c r="D34" s="9">
        <v>326.09199999999998</v>
      </c>
      <c r="E34">
        <f>C34/2</f>
        <v>163.04599999999999</v>
      </c>
      <c r="F34">
        <f>D34/2</f>
        <v>163.04599999999999</v>
      </c>
      <c r="G34">
        <f>PI()*E34*F34</f>
        <v>83516.093184270503</v>
      </c>
      <c r="H34" s="2"/>
      <c r="I34" s="2"/>
      <c r="J34" s="2"/>
      <c r="K34" s="2"/>
      <c r="L34" s="2"/>
    </row>
    <row r="35" spans="1:29">
      <c r="C35" s="9">
        <v>87.911000000000001</v>
      </c>
      <c r="D35" s="9">
        <v>87.911000000000001</v>
      </c>
      <c r="E35">
        <f t="shared" ref="E35:E36" si="11">C35/2</f>
        <v>43.955500000000001</v>
      </c>
      <c r="F35">
        <f t="shared" ref="F35:F36" si="12">D35/2</f>
        <v>43.955500000000001</v>
      </c>
      <c r="G35">
        <f t="shared" ref="G35:G36" si="13">PI()*E35*F35</f>
        <v>6069.8271216572339</v>
      </c>
    </row>
    <row r="36" spans="1:29">
      <c r="C36" s="9">
        <v>95.864999999999995</v>
      </c>
      <c r="D36" s="9">
        <v>95.864999999999995</v>
      </c>
      <c r="E36">
        <f t="shared" si="11"/>
        <v>47.932499999999997</v>
      </c>
      <c r="F36">
        <f t="shared" si="12"/>
        <v>47.932499999999997</v>
      </c>
      <c r="G36">
        <f t="shared" si="13"/>
        <v>7217.8862673571484</v>
      </c>
    </row>
    <row r="37" spans="1:29">
      <c r="C37" s="9">
        <v>35.832000000000001</v>
      </c>
      <c r="D37" s="9">
        <v>35.832000000000001</v>
      </c>
      <c r="E37">
        <f t="shared" ref="E37:E38" si="14">C37/2</f>
        <v>17.916</v>
      </c>
      <c r="F37">
        <f t="shared" ref="F37:F38" si="15">D37/2</f>
        <v>17.916</v>
      </c>
      <c r="G37">
        <f t="shared" ref="G37:G38" si="16">PI()*E37*F37</f>
        <v>1008.3980106564012</v>
      </c>
    </row>
    <row r="38" spans="1:29">
      <c r="C38" s="9">
        <v>40.061999999999998</v>
      </c>
      <c r="D38" s="9">
        <v>40.061999999999998</v>
      </c>
      <c r="E38">
        <f t="shared" si="14"/>
        <v>20.030999999999999</v>
      </c>
      <c r="F38">
        <f t="shared" si="15"/>
        <v>20.030999999999999</v>
      </c>
      <c r="G38">
        <f t="shared" si="16"/>
        <v>1260.5356553969086</v>
      </c>
    </row>
    <row r="39" spans="1:29">
      <c r="A39" s="29" t="s">
        <v>79</v>
      </c>
      <c r="B39" s="96">
        <f>COUNT(C34:C38)</f>
        <v>5</v>
      </c>
      <c r="C39" s="96">
        <f>AVERAGE(C34:C38)</f>
        <v>117.15240000000001</v>
      </c>
      <c r="D39" s="96">
        <f>AVERAGE(D34:D38)</f>
        <v>117.15240000000001</v>
      </c>
      <c r="E39" s="96">
        <f>AVERAGE(E34:E38)</f>
        <v>58.576200000000007</v>
      </c>
      <c r="F39" s="96">
        <f>AVERAGE(F34:F38)</f>
        <v>58.576200000000007</v>
      </c>
      <c r="G39" s="96">
        <f>AVERAGE(G34:G38)</f>
        <v>19814.548047867636</v>
      </c>
      <c r="H39" s="96">
        <f>B39</f>
        <v>5</v>
      </c>
      <c r="I39" s="97">
        <f>H39*G39</f>
        <v>99072.740239338178</v>
      </c>
      <c r="J39" s="47">
        <v>391876.54300000001</v>
      </c>
      <c r="K39" s="97">
        <f>I39/J39</f>
        <v>0.2528162045140277</v>
      </c>
      <c r="L39" s="97">
        <f>K39*100</f>
        <v>25.28162045140277</v>
      </c>
    </row>
    <row r="40" spans="1:29">
      <c r="A40" s="30" t="s">
        <v>83</v>
      </c>
      <c r="B40" s="98">
        <f>COUNTIF(C34:C38,"&gt;"&amp;$B$7)</f>
        <v>1</v>
      </c>
      <c r="C40" s="99">
        <f>AVERAGEIF(C34:C38,"&gt;"&amp;$B$7)</f>
        <v>326.09199999999998</v>
      </c>
      <c r="D40" s="99">
        <f>AVERAGEIF(D34:D38,"&gt;"&amp;$B$7)</f>
        <v>326.09199999999998</v>
      </c>
      <c r="E40" s="99">
        <f>AVERAGEIF(C34:C38,"&gt;"&amp;$B$7,E34:E38)</f>
        <v>163.04599999999999</v>
      </c>
      <c r="F40" s="99">
        <f>AVERAGEIF(D34:D38,"&gt;"&amp;$B$7,F34:F38)</f>
        <v>163.04599999999999</v>
      </c>
      <c r="G40" s="99">
        <f>AVERAGEIF(C34:C38,"&gt;"&amp;$B$7,G34:G38)</f>
        <v>83516.093184270503</v>
      </c>
      <c r="H40" s="99">
        <f>B40</f>
        <v>1</v>
      </c>
      <c r="I40" s="99">
        <f>H40*G40</f>
        <v>83516.093184270503</v>
      </c>
      <c r="J40" s="98">
        <f>J39</f>
        <v>391876.54300000001</v>
      </c>
      <c r="K40" s="97">
        <f>I40/J40</f>
        <v>0.21311837790778537</v>
      </c>
      <c r="L40" s="97">
        <f>K40*100</f>
        <v>21.311837790778537</v>
      </c>
    </row>
    <row r="41" spans="1:29">
      <c r="A41" s="28" t="s">
        <v>25</v>
      </c>
      <c r="B41" s="98">
        <f>COUNTIF(C34:C38,"&gt;"&amp;$B$8)-COUNTIF(C34:C38,"&gt;"&amp;$B$7)</f>
        <v>0</v>
      </c>
      <c r="C41" s="98" t="e">
        <f>AVERAGEIFS(C34:C38,C34:C38,"&gt;"&amp;$B$8,C34:C38,"&lt;"&amp;$B$7)</f>
        <v>#DIV/0!</v>
      </c>
      <c r="D41" s="98" t="e">
        <f>AVERAGEIFS(D34:D38,D34:D38,"&gt;"&amp;$B$8,D34:D38,"&lt;"&amp;$B$7)</f>
        <v>#DIV/0!</v>
      </c>
      <c r="E41" s="98" t="e">
        <f>AVERAGEIFS(E34:E38,C34:C38,"&gt;"&amp;$B$8,C34:C38,"&lt;"&amp;$B$7)</f>
        <v>#DIV/0!</v>
      </c>
      <c r="F41" s="98" t="e">
        <f>AVERAGEIFS(F34:F38,D34:D38,"&gt;"&amp;$B$8,D34:D38,"&lt;"&amp;$B$7)</f>
        <v>#DIV/0!</v>
      </c>
      <c r="G41" s="98" t="e">
        <f>AVERAGEIFS(G34:G38,C34:C38,"&gt;"&amp;$B$8,C34:C38,"&lt;"&amp;$B$7)</f>
        <v>#DIV/0!</v>
      </c>
      <c r="H41" s="99">
        <f t="shared" ref="H41" si="17">B41</f>
        <v>0</v>
      </c>
      <c r="I41" s="99" t="e">
        <f>(C35*R13)+#REF!+(#REF!*R14)</f>
        <v>#REF!</v>
      </c>
      <c r="J41" s="98">
        <f>J39</f>
        <v>391876.54300000001</v>
      </c>
      <c r="K41" s="99" t="e">
        <f>I41/J41</f>
        <v>#REF!</v>
      </c>
      <c r="L41" s="99" t="e">
        <f>K41*100</f>
        <v>#REF!</v>
      </c>
    </row>
    <row r="42" spans="1:29">
      <c r="A42" s="31" t="s">
        <v>26</v>
      </c>
      <c r="B42" s="98">
        <f>COUNTIF(C34:C38,"&gt;"&amp;$B$9)-COUNTIF(C34:C38,"&gt;"&amp;$B$8)</f>
        <v>4</v>
      </c>
      <c r="C42" s="98">
        <f>AVERAGEIFS(C34:C38,C34:C38,"&gt;"&amp;$B$9,C34:C38,"&lt;"&amp;$B$8)</f>
        <v>64.917500000000004</v>
      </c>
      <c r="D42" s="98">
        <f>AVERAGEIFS(D34:D38,D34:D38,"&gt;"&amp;$B$9,D34:D38,"&lt;"&amp;$B$8)</f>
        <v>64.917500000000004</v>
      </c>
      <c r="E42" s="98">
        <f>AVERAGEIFS(E34:E38,C34:C38,"&gt;"&amp;$B$9,C34:C38,"&lt;"&amp;$B$8)</f>
        <v>32.458750000000002</v>
      </c>
      <c r="F42" s="98">
        <f>AVERAGEIFS(F34:F38,D34:D38,"&gt;"&amp;$B$9,D34:D38,"&lt;"&amp;$B$8)</f>
        <v>32.458750000000002</v>
      </c>
      <c r="G42" s="98">
        <f>AVERAGEIFS(G34:G38,C34:C38,"&gt;"&amp;$B$9,C34:C38,"&lt;"&amp;$B$8)</f>
        <v>3889.1617637669228</v>
      </c>
      <c r="H42" s="99">
        <f>B42</f>
        <v>4</v>
      </c>
      <c r="I42" s="99">
        <f>H42*G42</f>
        <v>15556.647055067691</v>
      </c>
      <c r="J42" s="98">
        <f>J39</f>
        <v>391876.54300000001</v>
      </c>
      <c r="K42" s="99">
        <f>I42/J42</f>
        <v>3.9697826606242395E-2</v>
      </c>
      <c r="L42" s="99">
        <f>K42*100</f>
        <v>3.9697826606242397</v>
      </c>
      <c r="M42" s="28"/>
    </row>
    <row r="43" spans="1:29" s="28" customFormat="1">
      <c r="A43" s="9"/>
      <c r="B43" s="9"/>
      <c r="C43" s="9"/>
      <c r="D43" s="9"/>
      <c r="E43" s="9"/>
      <c r="F43" s="9"/>
      <c r="G43" s="9"/>
      <c r="H43" s="9"/>
      <c r="I43" s="47"/>
      <c r="J43" s="47"/>
      <c r="K43" s="47"/>
      <c r="L43" s="47"/>
      <c r="M43"/>
    </row>
    <row r="44" spans="1:29">
      <c r="A44" s="9"/>
      <c r="B44" s="9"/>
      <c r="C44" s="9"/>
      <c r="D44" s="9"/>
      <c r="E44" s="9"/>
      <c r="F44" s="9"/>
      <c r="G44" s="9"/>
      <c r="H44" s="9"/>
      <c r="I44" s="47"/>
      <c r="J44" s="47"/>
      <c r="K44" s="47"/>
      <c r="L44" s="47"/>
    </row>
    <row r="45" spans="1:29">
      <c r="A45" s="9"/>
      <c r="B45" s="9"/>
      <c r="C45" s="9"/>
      <c r="D45" s="9"/>
      <c r="E45" s="9"/>
      <c r="F45" s="9"/>
      <c r="G45" s="9"/>
      <c r="H45" s="9"/>
      <c r="I45" s="9"/>
      <c r="J45" s="9"/>
      <c r="K45" s="9"/>
      <c r="L45" s="9"/>
    </row>
    <row r="46" spans="1:29" ht="30">
      <c r="A46" s="2" t="s">
        <v>112</v>
      </c>
      <c r="B46" s="2" t="s">
        <v>113</v>
      </c>
      <c r="C46" s="2" t="s">
        <v>19</v>
      </c>
      <c r="D46" s="2" t="s">
        <v>84</v>
      </c>
      <c r="E46" s="2" t="s">
        <v>20</v>
      </c>
      <c r="F46" s="2" t="s">
        <v>85</v>
      </c>
      <c r="G46" s="2" t="s">
        <v>6</v>
      </c>
      <c r="H46" s="2" t="s">
        <v>21</v>
      </c>
      <c r="I46" s="2" t="s">
        <v>22</v>
      </c>
      <c r="J46" s="2" t="s">
        <v>8</v>
      </c>
      <c r="K46" s="2" t="s">
        <v>23</v>
      </c>
      <c r="L46" s="2" t="s">
        <v>24</v>
      </c>
      <c r="AC46" s="6"/>
    </row>
    <row r="47" spans="1:29">
      <c r="A47" s="28" t="s">
        <v>204</v>
      </c>
      <c r="C47" s="9">
        <v>161.67699999999999</v>
      </c>
      <c r="D47" s="9">
        <v>161.67699999999999</v>
      </c>
      <c r="E47">
        <f t="shared" ref="E47:E88" si="18">C47/2</f>
        <v>80.838499999999996</v>
      </c>
      <c r="F47">
        <f t="shared" ref="F47:F88" si="19">D47/2</f>
        <v>80.838499999999996</v>
      </c>
      <c r="G47">
        <f t="shared" ref="G47:G88" si="20">PI()*E47*F47</f>
        <v>20529.877851411751</v>
      </c>
    </row>
    <row r="48" spans="1:29">
      <c r="C48" s="31">
        <v>88.251000000000005</v>
      </c>
      <c r="D48" s="31">
        <v>88.251000000000005</v>
      </c>
      <c r="E48">
        <f t="shared" si="18"/>
        <v>44.125500000000002</v>
      </c>
      <c r="F48">
        <f t="shared" si="19"/>
        <v>44.125500000000002</v>
      </c>
      <c r="G48">
        <f t="shared" si="20"/>
        <v>6116.8686074857778</v>
      </c>
    </row>
    <row r="49" spans="3:29">
      <c r="C49" s="31">
        <v>65.512</v>
      </c>
      <c r="D49" s="31">
        <v>65.512</v>
      </c>
      <c r="E49">
        <f t="shared" si="18"/>
        <v>32.756</v>
      </c>
      <c r="F49">
        <f t="shared" si="19"/>
        <v>32.756</v>
      </c>
      <c r="G49">
        <f t="shared" si="20"/>
        <v>3370.789229526099</v>
      </c>
      <c r="AC49" s="6"/>
    </row>
    <row r="50" spans="3:29">
      <c r="C50" s="31">
        <v>81.834000000000003</v>
      </c>
      <c r="D50" s="31">
        <v>81.834000000000003</v>
      </c>
      <c r="E50">
        <f t="shared" si="18"/>
        <v>40.917000000000002</v>
      </c>
      <c r="F50">
        <f t="shared" si="19"/>
        <v>40.917000000000002</v>
      </c>
      <c r="G50">
        <f t="shared" si="20"/>
        <v>5259.6572135159013</v>
      </c>
      <c r="AC50" s="6"/>
    </row>
    <row r="51" spans="3:29">
      <c r="C51" s="31">
        <v>48.087000000000003</v>
      </c>
      <c r="D51" s="31">
        <v>48.087000000000003</v>
      </c>
      <c r="E51">
        <f t="shared" si="18"/>
        <v>24.043500000000002</v>
      </c>
      <c r="F51">
        <f t="shared" si="19"/>
        <v>24.043500000000002</v>
      </c>
      <c r="G51">
        <f t="shared" si="20"/>
        <v>1816.1229586071154</v>
      </c>
      <c r="AC51" s="6"/>
    </row>
    <row r="52" spans="3:29">
      <c r="C52" s="9">
        <v>43.011000000000003</v>
      </c>
      <c r="D52" s="9">
        <v>43.011000000000003</v>
      </c>
      <c r="E52">
        <f t="shared" si="18"/>
        <v>21.505500000000001</v>
      </c>
      <c r="F52">
        <f t="shared" si="19"/>
        <v>21.505500000000001</v>
      </c>
      <c r="G52">
        <f t="shared" si="20"/>
        <v>1452.9442858176337</v>
      </c>
      <c r="AC52" s="6"/>
    </row>
    <row r="53" spans="3:29">
      <c r="C53" s="9">
        <v>46.323999999999998</v>
      </c>
      <c r="D53" s="9">
        <v>46.323999999999998</v>
      </c>
      <c r="E53">
        <f t="shared" si="18"/>
        <v>23.161999999999999</v>
      </c>
      <c r="F53">
        <f t="shared" si="19"/>
        <v>23.161999999999999</v>
      </c>
      <c r="G53">
        <f t="shared" si="20"/>
        <v>1685.3961101611524</v>
      </c>
    </row>
    <row r="54" spans="3:29">
      <c r="C54" s="9">
        <v>33.677999999999997</v>
      </c>
      <c r="D54" s="9">
        <v>33.677999999999997</v>
      </c>
      <c r="E54">
        <f t="shared" si="18"/>
        <v>16.838999999999999</v>
      </c>
      <c r="F54">
        <f t="shared" si="19"/>
        <v>16.838999999999999</v>
      </c>
      <c r="G54">
        <f t="shared" si="20"/>
        <v>890.80463192487332</v>
      </c>
    </row>
    <row r="55" spans="3:29">
      <c r="C55" s="27">
        <v>107.81100000000001</v>
      </c>
      <c r="D55" s="27">
        <v>107.81100000000001</v>
      </c>
      <c r="E55">
        <f t="shared" si="18"/>
        <v>53.905500000000004</v>
      </c>
      <c r="F55">
        <f t="shared" si="19"/>
        <v>53.905500000000004</v>
      </c>
      <c r="G55">
        <f t="shared" si="20"/>
        <v>9128.8491384530953</v>
      </c>
    </row>
    <row r="56" spans="3:29">
      <c r="C56" s="9">
        <v>38.844000000000001</v>
      </c>
      <c r="D56" s="9">
        <v>38.844000000000001</v>
      </c>
      <c r="E56">
        <f t="shared" si="18"/>
        <v>19.422000000000001</v>
      </c>
      <c r="F56">
        <f t="shared" si="19"/>
        <v>19.422000000000001</v>
      </c>
      <c r="G56">
        <f t="shared" si="20"/>
        <v>1185.0529951250032</v>
      </c>
    </row>
    <row r="57" spans="3:29">
      <c r="C57" s="9">
        <v>56.335999999999999</v>
      </c>
      <c r="D57" s="9">
        <v>56.335999999999999</v>
      </c>
      <c r="E57">
        <f t="shared" si="18"/>
        <v>28.167999999999999</v>
      </c>
      <c r="F57">
        <f t="shared" si="19"/>
        <v>28.167999999999999</v>
      </c>
      <c r="G57">
        <f t="shared" si="20"/>
        <v>2492.6534124104255</v>
      </c>
    </row>
    <row r="58" spans="3:29">
      <c r="C58" s="9">
        <v>152.97900000000001</v>
      </c>
      <c r="D58" s="9">
        <v>152.97900000000001</v>
      </c>
      <c r="E58">
        <f t="shared" si="18"/>
        <v>76.489500000000007</v>
      </c>
      <c r="F58">
        <f t="shared" si="19"/>
        <v>76.489500000000007</v>
      </c>
      <c r="G58">
        <f t="shared" si="20"/>
        <v>18380.338984733469</v>
      </c>
    </row>
    <row r="59" spans="3:29">
      <c r="C59" s="9">
        <v>289.76600000000002</v>
      </c>
      <c r="D59" s="9">
        <v>289.76600000000002</v>
      </c>
      <c r="E59">
        <f t="shared" si="18"/>
        <v>144.88300000000001</v>
      </c>
      <c r="F59">
        <f t="shared" si="19"/>
        <v>144.88300000000001</v>
      </c>
      <c r="G59">
        <f t="shared" si="20"/>
        <v>65945.434308250944</v>
      </c>
    </row>
    <row r="60" spans="3:29">
      <c r="C60" s="9">
        <v>453.49799999999999</v>
      </c>
      <c r="D60" s="9">
        <v>453.49799999999999</v>
      </c>
      <c r="E60">
        <f t="shared" si="18"/>
        <v>226.749</v>
      </c>
      <c r="F60">
        <f t="shared" si="19"/>
        <v>226.749</v>
      </c>
      <c r="G60">
        <f t="shared" si="20"/>
        <v>161525.32872106004</v>
      </c>
    </row>
    <row r="61" spans="3:29">
      <c r="C61" s="9">
        <v>242.279</v>
      </c>
      <c r="D61" s="9">
        <v>242.279</v>
      </c>
      <c r="E61">
        <f t="shared" si="18"/>
        <v>121.1395</v>
      </c>
      <c r="F61">
        <f t="shared" si="19"/>
        <v>121.1395</v>
      </c>
      <c r="G61">
        <f t="shared" si="20"/>
        <v>46102.176203779134</v>
      </c>
    </row>
    <row r="62" spans="3:29">
      <c r="C62" s="9">
        <v>224.62799999999999</v>
      </c>
      <c r="D62" s="9">
        <v>224.62799999999999</v>
      </c>
      <c r="E62">
        <f t="shared" si="18"/>
        <v>112.31399999999999</v>
      </c>
      <c r="F62">
        <f t="shared" si="19"/>
        <v>112.31399999999999</v>
      </c>
      <c r="G62">
        <f t="shared" si="20"/>
        <v>39629.415055982521</v>
      </c>
    </row>
    <row r="63" spans="3:29">
      <c r="C63" s="9">
        <v>274.19400000000002</v>
      </c>
      <c r="D63" s="9">
        <v>274.19400000000002</v>
      </c>
      <c r="E63">
        <f t="shared" si="18"/>
        <v>137.09700000000001</v>
      </c>
      <c r="F63">
        <f t="shared" si="19"/>
        <v>137.09700000000001</v>
      </c>
      <c r="G63">
        <f t="shared" si="20"/>
        <v>59048.079324019222</v>
      </c>
    </row>
    <row r="64" spans="3:29">
      <c r="C64" s="9">
        <v>91.808000000000007</v>
      </c>
      <c r="D64" s="9">
        <v>91.808000000000007</v>
      </c>
      <c r="E64">
        <f t="shared" si="18"/>
        <v>45.904000000000003</v>
      </c>
      <c r="F64">
        <f t="shared" si="19"/>
        <v>45.904000000000003</v>
      </c>
      <c r="G64">
        <f t="shared" si="20"/>
        <v>6619.8924615973938</v>
      </c>
    </row>
    <row r="65" spans="3:29">
      <c r="C65" s="9">
        <v>35.484000000000002</v>
      </c>
      <c r="D65" s="9">
        <v>35.484000000000002</v>
      </c>
      <c r="E65">
        <f t="shared" si="18"/>
        <v>17.742000000000001</v>
      </c>
      <c r="F65">
        <f t="shared" si="19"/>
        <v>17.742000000000001</v>
      </c>
      <c r="G65">
        <f t="shared" si="20"/>
        <v>988.90602416994466</v>
      </c>
    </row>
    <row r="66" spans="3:29">
      <c r="C66" s="9">
        <v>30.431999999999999</v>
      </c>
      <c r="D66" s="9">
        <v>30.431999999999999</v>
      </c>
      <c r="E66">
        <f t="shared" si="18"/>
        <v>15.215999999999999</v>
      </c>
      <c r="F66">
        <f t="shared" si="19"/>
        <v>15.215999999999999</v>
      </c>
      <c r="G66">
        <f t="shared" si="20"/>
        <v>727.36244159981106</v>
      </c>
    </row>
    <row r="67" spans="3:29">
      <c r="C67" s="31">
        <v>50.078000000000003</v>
      </c>
      <c r="D67" s="31">
        <v>50.078000000000003</v>
      </c>
      <c r="E67">
        <f t="shared" si="18"/>
        <v>25.039000000000001</v>
      </c>
      <c r="F67">
        <f t="shared" si="19"/>
        <v>25.039000000000001</v>
      </c>
      <c r="G67">
        <f t="shared" si="20"/>
        <v>1969.6262925305473</v>
      </c>
    </row>
    <row r="68" spans="3:29">
      <c r="C68" s="31">
        <v>99.635000000000005</v>
      </c>
      <c r="D68" s="31">
        <v>99.635000000000005</v>
      </c>
      <c r="E68">
        <f t="shared" si="18"/>
        <v>49.817500000000003</v>
      </c>
      <c r="F68">
        <f t="shared" si="19"/>
        <v>49.817500000000003</v>
      </c>
      <c r="G68">
        <f t="shared" si="20"/>
        <v>7796.7522027167879</v>
      </c>
    </row>
    <row r="69" spans="3:29">
      <c r="C69" s="31">
        <v>45.62</v>
      </c>
      <c r="D69" s="31">
        <v>45.62</v>
      </c>
      <c r="E69">
        <f t="shared" si="18"/>
        <v>22.81</v>
      </c>
      <c r="F69">
        <f t="shared" si="19"/>
        <v>22.81</v>
      </c>
      <c r="G69">
        <f t="shared" si="20"/>
        <v>1634.5584054514202</v>
      </c>
    </row>
    <row r="70" spans="3:29">
      <c r="C70" s="31">
        <v>95.91</v>
      </c>
      <c r="D70" s="31">
        <v>95.91</v>
      </c>
      <c r="E70">
        <f t="shared" si="18"/>
        <v>47.954999999999998</v>
      </c>
      <c r="F70">
        <f t="shared" si="19"/>
        <v>47.954999999999998</v>
      </c>
      <c r="G70">
        <f t="shared" si="20"/>
        <v>7224.6641553324989</v>
      </c>
    </row>
    <row r="71" spans="3:29">
      <c r="C71" s="9">
        <v>171.78700000000001</v>
      </c>
      <c r="D71" s="9">
        <v>171.78700000000001</v>
      </c>
      <c r="E71">
        <f t="shared" si="18"/>
        <v>85.893500000000003</v>
      </c>
      <c r="F71">
        <f t="shared" si="19"/>
        <v>85.893500000000003</v>
      </c>
      <c r="G71">
        <f t="shared" si="20"/>
        <v>23177.70720445093</v>
      </c>
      <c r="AC71" s="6"/>
    </row>
    <row r="72" spans="3:29">
      <c r="C72" s="9">
        <v>79.867000000000004</v>
      </c>
      <c r="D72" s="9">
        <v>79.867000000000004</v>
      </c>
      <c r="E72">
        <f t="shared" si="18"/>
        <v>39.933500000000002</v>
      </c>
      <c r="F72">
        <f t="shared" si="19"/>
        <v>39.933500000000002</v>
      </c>
      <c r="G72">
        <f t="shared" si="20"/>
        <v>5009.8488657346843</v>
      </c>
      <c r="AC72" s="6"/>
    </row>
    <row r="73" spans="3:29">
      <c r="C73" s="9">
        <v>34.743000000000002</v>
      </c>
      <c r="D73" s="9">
        <v>34.743000000000002</v>
      </c>
      <c r="E73">
        <f t="shared" si="18"/>
        <v>17.371500000000001</v>
      </c>
      <c r="F73">
        <f t="shared" si="19"/>
        <v>17.371500000000001</v>
      </c>
      <c r="G73">
        <f t="shared" si="20"/>
        <v>948.03531196564836</v>
      </c>
      <c r="AC73" s="6"/>
    </row>
    <row r="74" spans="3:29">
      <c r="C74" s="27">
        <v>78.022000000000006</v>
      </c>
      <c r="D74" s="27">
        <v>78.022000000000006</v>
      </c>
      <c r="E74">
        <f t="shared" si="18"/>
        <v>39.011000000000003</v>
      </c>
      <c r="F74">
        <f t="shared" si="19"/>
        <v>39.011000000000003</v>
      </c>
      <c r="G74">
        <f t="shared" si="20"/>
        <v>4781.0582927395672</v>
      </c>
      <c r="AC74" s="6"/>
    </row>
    <row r="75" spans="3:29">
      <c r="C75" s="9">
        <v>33.212000000000003</v>
      </c>
      <c r="D75" s="9">
        <v>33.212000000000003</v>
      </c>
      <c r="E75">
        <f t="shared" si="18"/>
        <v>16.606000000000002</v>
      </c>
      <c r="F75">
        <f t="shared" si="19"/>
        <v>16.606000000000002</v>
      </c>
      <c r="G75">
        <f t="shared" si="20"/>
        <v>866.32318997713423</v>
      </c>
    </row>
    <row r="76" spans="3:29">
      <c r="C76" s="9">
        <v>93.548000000000002</v>
      </c>
      <c r="D76" s="9">
        <v>93.548000000000002</v>
      </c>
      <c r="E76">
        <f t="shared" si="18"/>
        <v>46.774000000000001</v>
      </c>
      <c r="F76">
        <f t="shared" si="19"/>
        <v>46.774000000000001</v>
      </c>
      <c r="G76">
        <f t="shared" si="20"/>
        <v>6873.1986374333665</v>
      </c>
    </row>
    <row r="77" spans="3:29">
      <c r="C77" s="9">
        <v>75.238</v>
      </c>
      <c r="D77" s="9">
        <v>75.238</v>
      </c>
      <c r="E77">
        <f t="shared" si="18"/>
        <v>37.619</v>
      </c>
      <c r="F77">
        <f t="shared" si="19"/>
        <v>37.619</v>
      </c>
      <c r="G77">
        <f t="shared" si="20"/>
        <v>4445.9478716375033</v>
      </c>
    </row>
    <row r="78" spans="3:29">
      <c r="C78" s="9">
        <v>90.38</v>
      </c>
      <c r="D78" s="9">
        <v>90.38</v>
      </c>
      <c r="E78">
        <f t="shared" si="18"/>
        <v>45.19</v>
      </c>
      <c r="F78">
        <f t="shared" si="19"/>
        <v>45.19</v>
      </c>
      <c r="G78">
        <f t="shared" si="20"/>
        <v>6415.5597693905102</v>
      </c>
    </row>
    <row r="79" spans="3:29">
      <c r="C79" s="9">
        <v>65.793999999999997</v>
      </c>
      <c r="D79" s="9">
        <v>65.793999999999997</v>
      </c>
      <c r="E79">
        <f t="shared" si="18"/>
        <v>32.896999999999998</v>
      </c>
      <c r="F79">
        <f t="shared" si="19"/>
        <v>32.896999999999998</v>
      </c>
      <c r="G79">
        <f t="shared" si="20"/>
        <v>3399.8711820566432</v>
      </c>
    </row>
    <row r="80" spans="3:29">
      <c r="C80" s="9">
        <v>55.216999999999999</v>
      </c>
      <c r="D80" s="9">
        <v>55.216999999999999</v>
      </c>
      <c r="E80">
        <f t="shared" si="18"/>
        <v>27.608499999999999</v>
      </c>
      <c r="F80">
        <f t="shared" si="19"/>
        <v>27.608499999999999</v>
      </c>
      <c r="G80">
        <f t="shared" si="20"/>
        <v>2394.6138820516944</v>
      </c>
    </row>
    <row r="81" spans="1:12">
      <c r="C81" s="9">
        <v>25.806000000000001</v>
      </c>
      <c r="D81" s="9">
        <v>25.806000000000001</v>
      </c>
      <c r="E81">
        <f t="shared" si="18"/>
        <v>12.903</v>
      </c>
      <c r="F81">
        <f t="shared" si="19"/>
        <v>12.903</v>
      </c>
      <c r="G81">
        <f t="shared" si="20"/>
        <v>523.03562102959927</v>
      </c>
    </row>
    <row r="82" spans="1:12">
      <c r="C82" s="9">
        <v>66.501999999999995</v>
      </c>
      <c r="D82" s="9">
        <v>66.501999999999995</v>
      </c>
      <c r="E82">
        <f t="shared" si="18"/>
        <v>33.250999999999998</v>
      </c>
      <c r="F82">
        <f t="shared" si="19"/>
        <v>33.250999999999998</v>
      </c>
      <c r="G82">
        <f t="shared" si="20"/>
        <v>3473.4359471374214</v>
      </c>
    </row>
    <row r="83" spans="1:12">
      <c r="C83" s="9">
        <v>39.244</v>
      </c>
      <c r="D83" s="9">
        <v>39.244</v>
      </c>
      <c r="E83">
        <f t="shared" si="18"/>
        <v>19.622</v>
      </c>
      <c r="F83">
        <f t="shared" si="19"/>
        <v>19.622</v>
      </c>
      <c r="G83">
        <f t="shared" si="20"/>
        <v>1209.5850638383552</v>
      </c>
    </row>
    <row r="84" spans="1:12">
      <c r="C84" s="9">
        <v>55.216999999999999</v>
      </c>
      <c r="D84" s="9">
        <v>55.216999999999999</v>
      </c>
      <c r="E84">
        <f t="shared" si="18"/>
        <v>27.608499999999999</v>
      </c>
      <c r="F84">
        <f t="shared" si="19"/>
        <v>27.608499999999999</v>
      </c>
      <c r="G84">
        <f t="shared" si="20"/>
        <v>2394.6138820516944</v>
      </c>
    </row>
    <row r="85" spans="1:12">
      <c r="C85" s="9">
        <v>129.03200000000001</v>
      </c>
      <c r="D85" s="9">
        <v>129.03200000000001</v>
      </c>
      <c r="E85">
        <f t="shared" si="18"/>
        <v>64.516000000000005</v>
      </c>
      <c r="F85">
        <f t="shared" si="19"/>
        <v>64.516000000000005</v>
      </c>
      <c r="G85">
        <f t="shared" si="20"/>
        <v>13076.295888581668</v>
      </c>
    </row>
    <row r="86" spans="1:12">
      <c r="C86" s="9">
        <v>69.635999999999996</v>
      </c>
      <c r="D86" s="9">
        <v>69.635999999999996</v>
      </c>
      <c r="E86">
        <f t="shared" si="18"/>
        <v>34.817999999999998</v>
      </c>
      <c r="F86">
        <f t="shared" si="19"/>
        <v>34.817999999999998</v>
      </c>
      <c r="G86">
        <f t="shared" si="20"/>
        <v>3808.5311723558198</v>
      </c>
    </row>
    <row r="87" spans="1:12">
      <c r="C87" s="9">
        <v>59.481000000000002</v>
      </c>
      <c r="D87" s="9">
        <v>59.481000000000002</v>
      </c>
      <c r="E87">
        <f t="shared" si="18"/>
        <v>29.740500000000001</v>
      </c>
      <c r="F87">
        <f t="shared" si="19"/>
        <v>29.740500000000001</v>
      </c>
      <c r="G87">
        <f t="shared" si="20"/>
        <v>2778.7303462491118</v>
      </c>
    </row>
    <row r="88" spans="1:12">
      <c r="C88" s="9">
        <v>73.134</v>
      </c>
      <c r="D88" s="9">
        <v>73.134</v>
      </c>
      <c r="E88">
        <f t="shared" si="18"/>
        <v>36.567</v>
      </c>
      <c r="F88">
        <f t="shared" si="19"/>
        <v>36.567</v>
      </c>
      <c r="G88">
        <f t="shared" si="20"/>
        <v>4200.7664450231314</v>
      </c>
    </row>
    <row r="89" spans="1:12">
      <c r="A89" s="29" t="s">
        <v>79</v>
      </c>
      <c r="B89" s="96">
        <f>COUNT(C47:C88)</f>
        <v>42</v>
      </c>
      <c r="C89" s="96">
        <f>AVERAGE(C47:C88)</f>
        <v>98.893714285714282</v>
      </c>
      <c r="D89" s="96">
        <f>AVERAGE(D47:D88)</f>
        <v>98.893714285714282</v>
      </c>
      <c r="E89" s="96">
        <f>AVERAGE(E47:E88)</f>
        <v>49.446857142857141</v>
      </c>
      <c r="F89" s="96">
        <f>AVERAGE(F47:F88)</f>
        <v>49.446857142857141</v>
      </c>
      <c r="G89" s="96">
        <f>AVERAGE(G47:G88)</f>
        <v>13364.254990223022</v>
      </c>
      <c r="H89" s="96">
        <f>B89</f>
        <v>42</v>
      </c>
      <c r="I89" s="97">
        <f>H89*G89</f>
        <v>561298.70958936692</v>
      </c>
      <c r="J89" s="9">
        <v>3797741.9350000001</v>
      </c>
      <c r="K89" s="97">
        <f>I89/J89</f>
        <v>0.1477980123969026</v>
      </c>
      <c r="L89" s="97">
        <f>K89*100</f>
        <v>14.77980123969026</v>
      </c>
    </row>
    <row r="90" spans="1:12">
      <c r="A90" s="30" t="s">
        <v>83</v>
      </c>
      <c r="B90" s="98">
        <f>COUNTIF(C47:C88,"&gt;"&amp;$B$7)</f>
        <v>3</v>
      </c>
      <c r="C90" s="99">
        <f>AVERAGEIF(C47:C88,"&gt;"&amp;$B$7)</f>
        <v>339.15266666666668</v>
      </c>
      <c r="D90" s="99">
        <f>AVERAGEIF(D47:D88,"&gt;"&amp;$B$7)</f>
        <v>339.15266666666668</v>
      </c>
      <c r="E90" s="99">
        <f>AVERAGEIF(C47:C88,"&gt;"&amp;$B$7,E47:E88)</f>
        <v>169.57633333333334</v>
      </c>
      <c r="F90" s="99">
        <f>AVERAGEIF(D47:D88,"&gt;"&amp;$B$7,F47:F88)</f>
        <v>169.57633333333334</v>
      </c>
      <c r="G90" s="99">
        <f>AVERAGEIF(C47:C88,"&gt;"&amp;$B$7,G47:G88)</f>
        <v>95506.280784443385</v>
      </c>
      <c r="H90" s="99">
        <f>B90</f>
        <v>3</v>
      </c>
      <c r="I90" s="99">
        <f>H90*G90</f>
        <v>286518.84235333017</v>
      </c>
      <c r="J90" s="98">
        <f>J89</f>
        <v>3797741.9350000001</v>
      </c>
      <c r="K90" s="97">
        <f>I90/J90</f>
        <v>7.5444526578483842E-2</v>
      </c>
      <c r="L90" s="97">
        <f>K90*100</f>
        <v>7.5444526578483844</v>
      </c>
    </row>
    <row r="91" spans="1:12">
      <c r="A91" s="28" t="s">
        <v>25</v>
      </c>
      <c r="B91" s="98">
        <f>COUNTIF(C47:C88,"&gt;"&amp;$B$8)-COUNTIF(C47:C88,"&gt;"&amp;$B$7)</f>
        <v>7</v>
      </c>
      <c r="C91" s="98">
        <f>AVERAGEIFS(C47:C88,C47:C88,"&gt;"&amp;$B$8,C47:C88,"&lt;"&amp;$B$7)</f>
        <v>170.02757142857143</v>
      </c>
      <c r="D91" s="98">
        <f>AVERAGEIFS(D47:D88,D47:D88,"&gt;"&amp;$B$8,D47:D88,"&lt;"&amp;$B$7)</f>
        <v>170.02757142857143</v>
      </c>
      <c r="E91" s="98">
        <f>AVERAGEIFS(E47:E88,C47:C88,"&gt;"&amp;$B$8,C47:C88,"&lt;"&amp;$B$7)</f>
        <v>85.013785714285717</v>
      </c>
      <c r="F91" s="98">
        <f>AVERAGEIFS(F47:F88,D47:D88,"&gt;"&amp;$B$8,D47:D88,"&lt;"&amp;$B$7)</f>
        <v>85.013785714285717</v>
      </c>
      <c r="G91" s="98">
        <f>AVERAGEIFS(G47:G88,C47:C88,"&gt;"&amp;$B$8,C47:C88,"&lt;"&amp;$B$7)</f>
        <v>24289.237189627511</v>
      </c>
      <c r="H91" s="99">
        <f t="shared" ref="H91" si="21">B91</f>
        <v>7</v>
      </c>
      <c r="I91" s="99">
        <f>H91*G91</f>
        <v>170024.66032739257</v>
      </c>
      <c r="J91" s="98">
        <f>J89</f>
        <v>3797741.9350000001</v>
      </c>
      <c r="K91" s="99">
        <f>I91/J91</f>
        <v>4.4769935197661759E-2</v>
      </c>
      <c r="L91" s="99">
        <f>K91*100</f>
        <v>4.4769935197661761</v>
      </c>
    </row>
    <row r="92" spans="1:12">
      <c r="A92" s="31" t="s">
        <v>26</v>
      </c>
      <c r="B92" s="98">
        <f>COUNTIF(C47:C88,"&gt;"&amp;$B$9)-COUNTIF(C47:C88,"&gt;"&amp;$B$8)</f>
        <v>32</v>
      </c>
      <c r="C92" s="98">
        <f>AVERAGEIFS(C47:C88,C47:C88,"&gt;"&amp;$B$9,C47:C88,"&lt;"&amp;$B$8)</f>
        <v>60.80890625</v>
      </c>
      <c r="D92" s="98">
        <f>AVERAGEIFS(D47:D88,D47:D88,"&gt;"&amp;$B$9,D47:D88,"&lt;"&amp;$B$8)</f>
        <v>60.80890625</v>
      </c>
      <c r="E92" s="98">
        <f>AVERAGEIFS(E47:E88,C47:C88,"&gt;"&amp;$B$9,C47:C88,"&lt;"&amp;$B$8)</f>
        <v>30.404453125</v>
      </c>
      <c r="F92" s="98">
        <f>AVERAGEIFS(F47:F88,D47:D88,"&gt;"&amp;$B$9,D47:D88,"&lt;"&amp;$B$8)</f>
        <v>30.404453125</v>
      </c>
      <c r="G92" s="98">
        <f>AVERAGEIFS(G47:G88,C47:C88,"&gt;"&amp;$B$9,C47:C88,"&lt;"&amp;$B$8)</f>
        <v>3273.6002158951333</v>
      </c>
      <c r="H92" s="99">
        <f>B92</f>
        <v>32</v>
      </c>
      <c r="I92" s="99">
        <f>H92*G92</f>
        <v>104755.20690864426</v>
      </c>
      <c r="J92" s="98">
        <f>J89</f>
        <v>3797741.9350000001</v>
      </c>
      <c r="K92" s="99">
        <f>I92/J92</f>
        <v>2.7583550620757031E-2</v>
      </c>
      <c r="L92" s="99">
        <f>K92*100</f>
        <v>2.7583550620757031</v>
      </c>
    </row>
    <row r="93" spans="1:12">
      <c r="A93" s="9"/>
      <c r="B93" s="9"/>
      <c r="C93" s="9"/>
      <c r="D93" s="9"/>
      <c r="E93" s="9"/>
      <c r="F93" s="9"/>
      <c r="G93" s="9"/>
      <c r="H93" s="9"/>
      <c r="I93" s="9"/>
      <c r="J93" s="9"/>
      <c r="K93" s="9"/>
      <c r="L93" s="9"/>
    </row>
    <row r="94" spans="1:12">
      <c r="A94" s="9"/>
      <c r="B94" s="9"/>
      <c r="C94" s="9"/>
      <c r="D94" s="9"/>
      <c r="E94" s="9"/>
      <c r="F94" s="9"/>
      <c r="G94" s="9"/>
      <c r="H94" s="9"/>
      <c r="I94" s="9"/>
      <c r="J94" s="9"/>
      <c r="K94" s="9"/>
      <c r="L94" s="9"/>
    </row>
    <row r="95" spans="1:12" ht="30">
      <c r="A95" s="2" t="s">
        <v>112</v>
      </c>
      <c r="B95" s="2" t="s">
        <v>113</v>
      </c>
      <c r="C95" s="2" t="s">
        <v>19</v>
      </c>
      <c r="D95" s="2" t="s">
        <v>84</v>
      </c>
      <c r="E95" s="2" t="s">
        <v>20</v>
      </c>
      <c r="F95" s="2" t="s">
        <v>85</v>
      </c>
      <c r="G95" s="2" t="s">
        <v>6</v>
      </c>
      <c r="H95" s="2" t="s">
        <v>21</v>
      </c>
      <c r="I95" s="2" t="s">
        <v>22</v>
      </c>
      <c r="J95" s="2" t="s">
        <v>8</v>
      </c>
      <c r="K95" s="2" t="s">
        <v>23</v>
      </c>
      <c r="L95" s="2" t="s">
        <v>24</v>
      </c>
    </row>
    <row r="96" spans="1:12">
      <c r="A96" s="28" t="s">
        <v>208</v>
      </c>
      <c r="C96">
        <v>14.819000000000001</v>
      </c>
      <c r="D96">
        <v>14.819000000000001</v>
      </c>
      <c r="E96">
        <f t="shared" ref="E96:E133" si="22">C96/2</f>
        <v>7.4095000000000004</v>
      </c>
      <c r="F96">
        <f t="shared" ref="F96:F133" si="23">D96/2</f>
        <v>7.4095000000000004</v>
      </c>
      <c r="G96">
        <f t="shared" ref="G96:G133" si="24">PI()*E96*F96</f>
        <v>172.4756051664088</v>
      </c>
    </row>
    <row r="97" spans="3:7">
      <c r="C97">
        <v>16.687999999999999</v>
      </c>
      <c r="D97">
        <v>16.687999999999999</v>
      </c>
      <c r="E97">
        <f t="shared" si="22"/>
        <v>8.3439999999999994</v>
      </c>
      <c r="F97">
        <f t="shared" si="23"/>
        <v>8.3439999999999994</v>
      </c>
      <c r="G97">
        <f t="shared" si="24"/>
        <v>218.72501930336014</v>
      </c>
    </row>
    <row r="98" spans="3:7">
      <c r="C98">
        <v>42.093000000000004</v>
      </c>
      <c r="D98">
        <v>42.093000000000004</v>
      </c>
      <c r="E98">
        <f t="shared" si="22"/>
        <v>21.046500000000002</v>
      </c>
      <c r="F98">
        <f t="shared" si="23"/>
        <v>21.046500000000002</v>
      </c>
      <c r="G98">
        <f t="shared" si="24"/>
        <v>1391.584683594275</v>
      </c>
    </row>
    <row r="99" spans="3:7">
      <c r="C99">
        <v>41.238</v>
      </c>
      <c r="D99">
        <v>41.238</v>
      </c>
      <c r="E99">
        <f t="shared" si="22"/>
        <v>20.619</v>
      </c>
      <c r="F99">
        <f t="shared" si="23"/>
        <v>20.619</v>
      </c>
      <c r="G99">
        <f t="shared" si="24"/>
        <v>1335.6266313215426</v>
      </c>
    </row>
    <row r="100" spans="3:7">
      <c r="C100">
        <v>23.994</v>
      </c>
      <c r="D100">
        <v>23.994</v>
      </c>
      <c r="E100">
        <f t="shared" si="22"/>
        <v>11.997</v>
      </c>
      <c r="F100">
        <f t="shared" si="23"/>
        <v>11.997</v>
      </c>
      <c r="G100">
        <f t="shared" si="24"/>
        <v>452.16317572020563</v>
      </c>
    </row>
    <row r="101" spans="3:7">
      <c r="C101">
        <v>32.685000000000002</v>
      </c>
      <c r="D101">
        <v>32.685000000000002</v>
      </c>
      <c r="E101">
        <f t="shared" si="22"/>
        <v>16.342500000000001</v>
      </c>
      <c r="F101">
        <f t="shared" si="23"/>
        <v>16.342500000000001</v>
      </c>
      <c r="G101">
        <f t="shared" si="24"/>
        <v>839.04810325555138</v>
      </c>
    </row>
    <row r="102" spans="3:7">
      <c r="C102">
        <v>14.926</v>
      </c>
      <c r="D102">
        <v>14.926</v>
      </c>
      <c r="E102">
        <f t="shared" si="22"/>
        <v>7.4630000000000001</v>
      </c>
      <c r="F102">
        <f t="shared" si="23"/>
        <v>7.4630000000000001</v>
      </c>
      <c r="G102">
        <f t="shared" si="24"/>
        <v>174.97530368202629</v>
      </c>
    </row>
    <row r="103" spans="3:7">
      <c r="C103">
        <v>14.819000000000001</v>
      </c>
      <c r="D103">
        <v>14.819000000000001</v>
      </c>
      <c r="E103">
        <f t="shared" si="22"/>
        <v>7.4095000000000004</v>
      </c>
      <c r="F103">
        <f t="shared" si="23"/>
        <v>7.4095000000000004</v>
      </c>
      <c r="G103">
        <f t="shared" si="24"/>
        <v>172.4756051664088</v>
      </c>
    </row>
    <row r="104" spans="3:7">
      <c r="C104">
        <v>18.193000000000001</v>
      </c>
      <c r="D104">
        <v>18.193000000000001</v>
      </c>
      <c r="E104">
        <f t="shared" si="22"/>
        <v>9.0965000000000007</v>
      </c>
      <c r="F104">
        <f t="shared" si="23"/>
        <v>9.0965000000000007</v>
      </c>
      <c r="G104">
        <f t="shared" si="24"/>
        <v>259.95520667624714</v>
      </c>
    </row>
    <row r="105" spans="3:7">
      <c r="C105">
        <v>22.061</v>
      </c>
      <c r="D105">
        <v>22.061</v>
      </c>
      <c r="E105">
        <f t="shared" si="22"/>
        <v>11.0305</v>
      </c>
      <c r="F105">
        <f t="shared" si="23"/>
        <v>11.0305</v>
      </c>
      <c r="G105">
        <f t="shared" si="24"/>
        <v>382.24364222148972</v>
      </c>
    </row>
    <row r="106" spans="3:7">
      <c r="C106">
        <v>35.817</v>
      </c>
      <c r="D106">
        <v>35.817</v>
      </c>
      <c r="E106">
        <f t="shared" si="22"/>
        <v>17.9085</v>
      </c>
      <c r="F106">
        <f t="shared" si="23"/>
        <v>17.9085</v>
      </c>
      <c r="G106">
        <f t="shared" si="24"/>
        <v>1007.5539157612621</v>
      </c>
    </row>
    <row r="107" spans="3:7">
      <c r="C107">
        <v>39.195</v>
      </c>
      <c r="D107">
        <v>39.195</v>
      </c>
      <c r="E107">
        <f t="shared" si="22"/>
        <v>19.5975</v>
      </c>
      <c r="F107">
        <f t="shared" si="23"/>
        <v>19.5975</v>
      </c>
      <c r="G107">
        <f t="shared" si="24"/>
        <v>1206.5663773579572</v>
      </c>
    </row>
    <row r="108" spans="3:7">
      <c r="C108">
        <v>72.772000000000006</v>
      </c>
      <c r="D108">
        <v>72.772000000000006</v>
      </c>
      <c r="E108">
        <f t="shared" si="22"/>
        <v>36.386000000000003</v>
      </c>
      <c r="F108">
        <f t="shared" si="23"/>
        <v>36.386000000000003</v>
      </c>
      <c r="G108">
        <f t="shared" si="24"/>
        <v>4159.2833068199543</v>
      </c>
    </row>
    <row r="109" spans="3:7">
      <c r="C109">
        <v>28.483000000000001</v>
      </c>
      <c r="D109">
        <v>28.483000000000001</v>
      </c>
      <c r="E109">
        <f t="shared" si="22"/>
        <v>14.2415</v>
      </c>
      <c r="F109">
        <f t="shared" si="23"/>
        <v>14.2415</v>
      </c>
      <c r="G109">
        <f t="shared" si="24"/>
        <v>637.17883437931448</v>
      </c>
    </row>
    <row r="110" spans="3:7">
      <c r="C110">
        <v>22.132999999999999</v>
      </c>
      <c r="D110">
        <v>22.132999999999999</v>
      </c>
      <c r="E110">
        <f t="shared" si="22"/>
        <v>11.0665</v>
      </c>
      <c r="F110">
        <f t="shared" si="23"/>
        <v>11.0665</v>
      </c>
      <c r="G110">
        <f t="shared" si="24"/>
        <v>384.7427540446792</v>
      </c>
    </row>
    <row r="111" spans="3:7">
      <c r="C111">
        <v>54.767000000000003</v>
      </c>
      <c r="D111">
        <v>54.767000000000003</v>
      </c>
      <c r="E111">
        <f t="shared" si="22"/>
        <v>27.383500000000002</v>
      </c>
      <c r="F111">
        <f t="shared" si="23"/>
        <v>27.383500000000002</v>
      </c>
      <c r="G111">
        <f t="shared" si="24"/>
        <v>2355.7423278302972</v>
      </c>
    </row>
    <row r="112" spans="3:7">
      <c r="C112">
        <v>34.531999999999996</v>
      </c>
      <c r="D112">
        <v>34.531999999999996</v>
      </c>
      <c r="E112">
        <f t="shared" si="22"/>
        <v>17.265999999999998</v>
      </c>
      <c r="F112">
        <f t="shared" si="23"/>
        <v>17.265999999999998</v>
      </c>
      <c r="G112">
        <f t="shared" si="24"/>
        <v>936.55512737631352</v>
      </c>
    </row>
    <row r="113" spans="3:7">
      <c r="C113">
        <v>18.442</v>
      </c>
      <c r="D113">
        <v>18.442</v>
      </c>
      <c r="E113">
        <f t="shared" si="22"/>
        <v>9.2210000000000001</v>
      </c>
      <c r="F113">
        <f t="shared" si="23"/>
        <v>9.2210000000000001</v>
      </c>
      <c r="G113">
        <f t="shared" si="24"/>
        <v>267.11969904354743</v>
      </c>
    </row>
    <row r="114" spans="3:7">
      <c r="C114">
        <v>13.513999999999999</v>
      </c>
      <c r="D114">
        <v>13.513999999999999</v>
      </c>
      <c r="E114">
        <f t="shared" si="22"/>
        <v>6.7569999999999997</v>
      </c>
      <c r="F114">
        <f t="shared" si="23"/>
        <v>6.7569999999999997</v>
      </c>
      <c r="G114">
        <f t="shared" si="24"/>
        <v>143.43584972298919</v>
      </c>
    </row>
    <row r="115" spans="3:7">
      <c r="C115">
        <v>35.368000000000002</v>
      </c>
      <c r="D115">
        <v>35.368000000000002</v>
      </c>
      <c r="E115">
        <f t="shared" si="22"/>
        <v>17.684000000000001</v>
      </c>
      <c r="F115">
        <f t="shared" si="23"/>
        <v>17.684000000000001</v>
      </c>
      <c r="G115">
        <f t="shared" si="24"/>
        <v>982.45096861187244</v>
      </c>
    </row>
    <row r="116" spans="3:7">
      <c r="C116">
        <v>21.632000000000001</v>
      </c>
      <c r="D116">
        <v>21.632000000000001</v>
      </c>
      <c r="E116">
        <f t="shared" si="22"/>
        <v>10.816000000000001</v>
      </c>
      <c r="F116">
        <f t="shared" si="23"/>
        <v>10.816000000000001</v>
      </c>
      <c r="G116">
        <f t="shared" si="24"/>
        <v>367.52190578351349</v>
      </c>
    </row>
    <row r="117" spans="3:7">
      <c r="C117">
        <v>29.148</v>
      </c>
      <c r="D117">
        <v>29.148</v>
      </c>
      <c r="E117">
        <f t="shared" si="22"/>
        <v>14.574</v>
      </c>
      <c r="F117">
        <f t="shared" si="23"/>
        <v>14.574</v>
      </c>
      <c r="G117">
        <f t="shared" si="24"/>
        <v>667.27891661322872</v>
      </c>
    </row>
    <row r="118" spans="3:7">
      <c r="C118">
        <v>23.888999999999999</v>
      </c>
      <c r="D118">
        <v>23.888999999999999</v>
      </c>
      <c r="E118">
        <f t="shared" si="22"/>
        <v>11.9445</v>
      </c>
      <c r="F118">
        <f t="shared" si="23"/>
        <v>11.9445</v>
      </c>
      <c r="G118">
        <f t="shared" si="24"/>
        <v>448.21441759311978</v>
      </c>
    </row>
    <row r="119" spans="3:7">
      <c r="C119">
        <v>110.654</v>
      </c>
      <c r="D119">
        <v>110.654</v>
      </c>
      <c r="E119">
        <f t="shared" si="22"/>
        <v>55.326999999999998</v>
      </c>
      <c r="F119">
        <f t="shared" si="23"/>
        <v>55.326999999999998</v>
      </c>
      <c r="G119">
        <f t="shared" si="24"/>
        <v>9616.6567922196045</v>
      </c>
    </row>
    <row r="120" spans="3:7">
      <c r="C120">
        <v>53.447000000000003</v>
      </c>
      <c r="D120">
        <v>53.447000000000003</v>
      </c>
      <c r="E120">
        <f t="shared" si="22"/>
        <v>26.723500000000001</v>
      </c>
      <c r="F120">
        <f t="shared" si="23"/>
        <v>26.723500000000001</v>
      </c>
      <c r="G120">
        <f t="shared" si="24"/>
        <v>2243.5541063831606</v>
      </c>
    </row>
    <row r="121" spans="3:7">
      <c r="C121">
        <v>14.444000000000001</v>
      </c>
      <c r="D121">
        <v>14.444000000000001</v>
      </c>
      <c r="E121">
        <f t="shared" si="22"/>
        <v>7.2220000000000004</v>
      </c>
      <c r="F121">
        <f t="shared" si="23"/>
        <v>7.2220000000000004</v>
      </c>
      <c r="G121">
        <f t="shared" si="24"/>
        <v>163.85694024559649</v>
      </c>
    </row>
    <row r="122" spans="3:7">
      <c r="C122">
        <v>22.582000000000001</v>
      </c>
      <c r="D122">
        <v>22.582000000000001</v>
      </c>
      <c r="E122">
        <f t="shared" si="22"/>
        <v>11.291</v>
      </c>
      <c r="F122">
        <f t="shared" si="23"/>
        <v>11.291</v>
      </c>
      <c r="G122">
        <f t="shared" si="24"/>
        <v>400.51122046014547</v>
      </c>
    </row>
    <row r="123" spans="3:7">
      <c r="C123">
        <v>37.473999999999997</v>
      </c>
      <c r="D123">
        <v>37.473999999999997</v>
      </c>
      <c r="E123">
        <f t="shared" si="22"/>
        <v>18.736999999999998</v>
      </c>
      <c r="F123">
        <f t="shared" si="23"/>
        <v>18.736999999999998</v>
      </c>
      <c r="G123">
        <f t="shared" si="24"/>
        <v>1102.9351717881948</v>
      </c>
    </row>
    <row r="124" spans="3:7">
      <c r="C124">
        <v>54.579000000000001</v>
      </c>
      <c r="D124">
        <v>54.579000000000001</v>
      </c>
      <c r="E124">
        <f t="shared" si="22"/>
        <v>27.2895</v>
      </c>
      <c r="F124">
        <f t="shared" si="23"/>
        <v>27.2895</v>
      </c>
      <c r="G124">
        <f t="shared" si="24"/>
        <v>2339.5968600862243</v>
      </c>
    </row>
    <row r="125" spans="3:7">
      <c r="C125">
        <v>21.216999999999999</v>
      </c>
      <c r="D125">
        <v>21.216999999999999</v>
      </c>
      <c r="E125">
        <f t="shared" si="22"/>
        <v>10.608499999999999</v>
      </c>
      <c r="F125">
        <f t="shared" si="23"/>
        <v>10.608499999999999</v>
      </c>
      <c r="G125">
        <f t="shared" si="24"/>
        <v>353.55569253359516</v>
      </c>
    </row>
    <row r="126" spans="3:7">
      <c r="C126">
        <v>13.462999999999999</v>
      </c>
      <c r="D126">
        <v>13.462999999999999</v>
      </c>
      <c r="E126">
        <f t="shared" si="22"/>
        <v>6.7314999999999996</v>
      </c>
      <c r="F126">
        <f t="shared" si="23"/>
        <v>6.7314999999999996</v>
      </c>
      <c r="G126">
        <f t="shared" si="24"/>
        <v>142.35527772403657</v>
      </c>
    </row>
    <row r="127" spans="3:7">
      <c r="C127">
        <v>22.863</v>
      </c>
      <c r="D127">
        <v>22.863</v>
      </c>
      <c r="E127">
        <f t="shared" si="22"/>
        <v>11.4315</v>
      </c>
      <c r="F127">
        <f t="shared" si="23"/>
        <v>11.4315</v>
      </c>
      <c r="G127">
        <f t="shared" si="24"/>
        <v>410.5407903496482</v>
      </c>
    </row>
    <row r="128" spans="3:7">
      <c r="C128">
        <v>17.619</v>
      </c>
      <c r="D128">
        <v>17.619</v>
      </c>
      <c r="E128">
        <f t="shared" si="22"/>
        <v>8.8094999999999999</v>
      </c>
      <c r="F128">
        <f t="shared" si="23"/>
        <v>8.8094999999999999</v>
      </c>
      <c r="G128">
        <f t="shared" si="24"/>
        <v>243.81049291441079</v>
      </c>
    </row>
    <row r="129" spans="1:12">
      <c r="C129">
        <v>20.516999999999999</v>
      </c>
      <c r="D129">
        <v>20.516999999999999</v>
      </c>
      <c r="E129">
        <f t="shared" si="22"/>
        <v>10.2585</v>
      </c>
      <c r="F129">
        <f t="shared" si="23"/>
        <v>10.2585</v>
      </c>
      <c r="G129">
        <f t="shared" si="24"/>
        <v>330.61122766773485</v>
      </c>
    </row>
    <row r="130" spans="1:12">
      <c r="C130">
        <v>21.021999999999998</v>
      </c>
      <c r="D130">
        <v>21.021999999999998</v>
      </c>
      <c r="E130">
        <f t="shared" si="22"/>
        <v>10.510999999999999</v>
      </c>
      <c r="F130">
        <f t="shared" si="23"/>
        <v>10.510999999999999</v>
      </c>
      <c r="G130">
        <f t="shared" si="24"/>
        <v>347.08667809396496</v>
      </c>
    </row>
    <row r="131" spans="1:12">
      <c r="C131">
        <v>17.265999999999998</v>
      </c>
      <c r="D131">
        <v>17.265999999999998</v>
      </c>
      <c r="E131">
        <f t="shared" si="22"/>
        <v>8.6329999999999991</v>
      </c>
      <c r="F131">
        <f t="shared" si="23"/>
        <v>8.6329999999999991</v>
      </c>
      <c r="G131">
        <f t="shared" si="24"/>
        <v>234.13878184407838</v>
      </c>
    </row>
    <row r="132" spans="1:12">
      <c r="C132">
        <v>23.803000000000001</v>
      </c>
      <c r="D132">
        <v>23.803000000000001</v>
      </c>
      <c r="E132">
        <f t="shared" si="22"/>
        <v>11.9015</v>
      </c>
      <c r="F132">
        <f t="shared" si="23"/>
        <v>11.9015</v>
      </c>
      <c r="G132">
        <f t="shared" si="24"/>
        <v>444.99309760116728</v>
      </c>
    </row>
    <row r="133" spans="1:12">
      <c r="C133">
        <v>28.297999999999998</v>
      </c>
      <c r="D133">
        <v>28.297999999999998</v>
      </c>
      <c r="E133">
        <f t="shared" si="22"/>
        <v>14.148999999999999</v>
      </c>
      <c r="F133">
        <f t="shared" si="23"/>
        <v>14.148999999999999</v>
      </c>
      <c r="G133">
        <f t="shared" si="24"/>
        <v>628.92863115287832</v>
      </c>
    </row>
    <row r="134" spans="1:12">
      <c r="A134" s="29" t="s">
        <v>79</v>
      </c>
      <c r="B134" s="96">
        <f>COUNT(C96:C133)</f>
        <v>38</v>
      </c>
      <c r="C134" s="96">
        <f>AVERAGE(C96:C133)</f>
        <v>30.275157894736839</v>
      </c>
      <c r="D134" s="96">
        <f>AVERAGE(D96:D133)</f>
        <v>30.275157894736839</v>
      </c>
      <c r="E134" s="96">
        <f>AVERAGE(E96:E133)</f>
        <v>15.13757894736842</v>
      </c>
      <c r="F134" s="96">
        <f>AVERAGE(F96:F133)</f>
        <v>15.13757894736842</v>
      </c>
      <c r="G134" s="96">
        <f>AVERAGE(G96:G133)</f>
        <v>999.10655626605262</v>
      </c>
      <c r="H134" s="96">
        <f>B134</f>
        <v>38</v>
      </c>
      <c r="I134" s="97">
        <f>H134*G134</f>
        <v>37966.04913811</v>
      </c>
      <c r="J134" s="9">
        <v>493533.14500000002</v>
      </c>
      <c r="K134" s="97">
        <f>I134/J134</f>
        <v>7.6927050437737066E-2</v>
      </c>
      <c r="L134" s="97">
        <f>K134*100</f>
        <v>7.6927050437737066</v>
      </c>
    </row>
    <row r="135" spans="1:12">
      <c r="A135" s="30" t="s">
        <v>83</v>
      </c>
      <c r="B135" s="98">
        <f>COUNTIF(C96:C133,"&gt;"&amp;$B$7)</f>
        <v>0</v>
      </c>
      <c r="C135" s="99" t="e">
        <f>AVERAGEIF(C96:C133,"&gt;"&amp;$B$7)</f>
        <v>#DIV/0!</v>
      </c>
      <c r="D135" s="99" t="e">
        <f>AVERAGEIF(D96:D133,"&gt;"&amp;$B$7)</f>
        <v>#DIV/0!</v>
      </c>
      <c r="E135" s="99" t="e">
        <f>AVERAGEIF(C96:C133,"&gt;"&amp;$B$7,E96:E133)</f>
        <v>#DIV/0!</v>
      </c>
      <c r="F135" s="99" t="e">
        <f>AVERAGEIF(D96:D133,"&gt;"&amp;$B$7,F96:F133)</f>
        <v>#DIV/0!</v>
      </c>
      <c r="G135" s="99" t="e">
        <f>AVERAGEIF(C96:C133,"&gt;"&amp;$B$7,G96:G133)</f>
        <v>#DIV/0!</v>
      </c>
      <c r="H135" s="99">
        <f>B135</f>
        <v>0</v>
      </c>
      <c r="I135" s="99" t="e">
        <f>H135*G135</f>
        <v>#DIV/0!</v>
      </c>
      <c r="J135" s="98">
        <f>J134</f>
        <v>493533.14500000002</v>
      </c>
      <c r="K135" s="97" t="e">
        <f>I135/J135</f>
        <v>#DIV/0!</v>
      </c>
      <c r="L135" s="97" t="e">
        <f>K135*100</f>
        <v>#DIV/0!</v>
      </c>
    </row>
    <row r="136" spans="1:12">
      <c r="A136" s="28" t="s">
        <v>25</v>
      </c>
      <c r="B136" s="98">
        <f>COUNTIF(C96:C133,"&gt;"&amp;$B$8)-COUNTIF(C96:C133,"&gt;"&amp;$B$7)</f>
        <v>1</v>
      </c>
      <c r="C136" s="98">
        <f>AVERAGEIFS(C96:C133,C96:C133,"&gt;"&amp;$B$8,C96:C133,"&lt;"&amp;$B$7)</f>
        <v>110.654</v>
      </c>
      <c r="D136" s="98">
        <f>AVERAGEIFS(D96:D133,D96:D133,"&gt;"&amp;$B$8,D96:D133,"&lt;"&amp;$B$7)</f>
        <v>110.654</v>
      </c>
      <c r="E136" s="98">
        <f>AVERAGEIFS(E96:E133,C96:C133,"&gt;"&amp;$B$8,C96:C133,"&lt;"&amp;$B$7)</f>
        <v>55.326999999999998</v>
      </c>
      <c r="F136" s="98">
        <f>AVERAGEIFS(F96:F133,D96:D133,"&gt;"&amp;$B$8,D96:D133,"&lt;"&amp;$B$7)</f>
        <v>55.326999999999998</v>
      </c>
      <c r="G136" s="98">
        <f>AVERAGEIFS(G96:G133,C96:C133,"&gt;"&amp;$B$8,C96:C133,"&lt;"&amp;$B$7)</f>
        <v>9616.6567922196045</v>
      </c>
      <c r="H136" s="99">
        <f t="shared" ref="H136" si="25">B136</f>
        <v>1</v>
      </c>
      <c r="I136" s="99">
        <f>H136*G136</f>
        <v>9616.6567922196045</v>
      </c>
      <c r="J136" s="98">
        <f>J134</f>
        <v>493533.14500000002</v>
      </c>
      <c r="K136" s="99">
        <f>I136/J136</f>
        <v>1.9485331207531369E-2</v>
      </c>
      <c r="L136" s="99">
        <f>K136*100</f>
        <v>1.9485331207531369</v>
      </c>
    </row>
    <row r="137" spans="1:12">
      <c r="A137" s="31" t="s">
        <v>26</v>
      </c>
      <c r="B137" s="98">
        <f>COUNTIF(C96:C133,"&gt;"&amp;$B$9)-COUNTIF(C96:C133,"&gt;"&amp;$B$8)</f>
        <v>37</v>
      </c>
      <c r="C137" s="98">
        <f>AVERAGEIFS(C96:C133,C96:C133,"&gt;"&amp;$B$9,C96:C133,"&lt;"&amp;$B$8)</f>
        <v>28.102756756756754</v>
      </c>
      <c r="D137" s="98">
        <f>AVERAGEIFS(D96:D133,D96:D133,"&gt;"&amp;$B$9,D96:D133,"&lt;"&amp;$B$8)</f>
        <v>28.102756756756754</v>
      </c>
      <c r="E137" s="98">
        <f>AVERAGEIFS(E96:E133,C96:C133,"&gt;"&amp;$B$9,C96:C133,"&lt;"&amp;$B$8)</f>
        <v>14.051378378378377</v>
      </c>
      <c r="F137" s="98">
        <f>AVERAGEIFS(F96:F133,D96:D133,"&gt;"&amp;$B$9,D96:D133,"&lt;"&amp;$B$8)</f>
        <v>14.051378378378377</v>
      </c>
      <c r="G137" s="98">
        <f>AVERAGEIFS(G96:G133,C96:C133,"&gt;"&amp;$B$9,C96:C133,"&lt;"&amp;$B$8)</f>
        <v>766.199793132173</v>
      </c>
      <c r="H137" s="99">
        <f>B137</f>
        <v>37</v>
      </c>
      <c r="I137" s="99">
        <f>H137*G137</f>
        <v>28349.392345890403</v>
      </c>
      <c r="J137" s="98">
        <f>J134</f>
        <v>493533.14500000002</v>
      </c>
      <c r="K137" s="99">
        <f>I137/J137</f>
        <v>5.7441719230205704E-2</v>
      </c>
      <c r="L137" s="99">
        <f>K137*100</f>
        <v>5.7441719230205708</v>
      </c>
    </row>
    <row r="138" spans="1:12">
      <c r="A138" s="9"/>
      <c r="B138" s="9"/>
      <c r="C138" s="9"/>
      <c r="D138" s="9"/>
      <c r="E138" s="9"/>
      <c r="F138" s="9"/>
      <c r="G138" s="9"/>
      <c r="H138" s="9"/>
      <c r="I138" s="9"/>
      <c r="J138" s="9"/>
      <c r="K138" s="9"/>
      <c r="L138" s="9"/>
    </row>
    <row r="139" spans="1:12">
      <c r="A139" s="9"/>
      <c r="B139" s="9"/>
      <c r="C139" s="9"/>
      <c r="D139" s="9"/>
      <c r="E139" s="9"/>
      <c r="F139" s="9"/>
      <c r="G139" s="9"/>
      <c r="H139" s="9"/>
      <c r="I139" s="9"/>
      <c r="J139" s="9"/>
      <c r="K139" s="9"/>
      <c r="L139" s="9"/>
    </row>
    <row r="140" spans="1:12">
      <c r="A140" s="9"/>
      <c r="B140" s="9"/>
      <c r="C140" s="9"/>
      <c r="D140" s="9"/>
      <c r="E140" s="9"/>
      <c r="F140" s="9"/>
      <c r="G140" s="9"/>
      <c r="H140" s="9"/>
      <c r="I140" s="9"/>
      <c r="J140" s="9"/>
      <c r="K140" s="9"/>
      <c r="L140" s="9"/>
    </row>
    <row r="141" spans="1:12">
      <c r="A141" s="9"/>
      <c r="B141" s="9"/>
      <c r="C141" s="9"/>
      <c r="D141" s="9"/>
      <c r="E141" s="9"/>
      <c r="F141" s="9"/>
      <c r="G141" s="9"/>
      <c r="H141" s="9"/>
      <c r="I141" s="9"/>
      <c r="J141" s="9"/>
      <c r="K141" s="9"/>
      <c r="L141" s="9"/>
    </row>
    <row r="142" spans="1:12">
      <c r="A142" s="9"/>
      <c r="B142" s="9"/>
      <c r="C142" s="9"/>
      <c r="D142" s="9"/>
      <c r="E142" s="9"/>
      <c r="F142" s="9"/>
      <c r="G142" s="9"/>
      <c r="H142" s="9"/>
      <c r="I142" s="9"/>
      <c r="J142" s="9"/>
      <c r="K142" s="9"/>
      <c r="L142" s="9"/>
    </row>
    <row r="143" spans="1:12">
      <c r="A143" s="9"/>
      <c r="B143" s="9"/>
      <c r="C143" s="9"/>
      <c r="D143" s="9"/>
      <c r="E143" s="9"/>
      <c r="F143" s="9"/>
      <c r="G143" s="9"/>
      <c r="H143" s="9"/>
      <c r="I143" s="9"/>
      <c r="J143" s="9"/>
      <c r="K143" s="9"/>
      <c r="L143" s="9"/>
    </row>
    <row r="144" spans="1:12">
      <c r="A144" s="9"/>
      <c r="B144" s="9"/>
      <c r="C144" s="9"/>
      <c r="D144" s="9"/>
      <c r="E144" s="9"/>
      <c r="F144" s="9"/>
      <c r="G144" s="9"/>
      <c r="H144" s="9"/>
      <c r="I144" s="9"/>
      <c r="J144" s="9"/>
      <c r="K144" s="9"/>
      <c r="L144" s="9"/>
    </row>
    <row r="145" spans="1:12">
      <c r="A145" s="9"/>
      <c r="B145" s="9"/>
      <c r="C145" s="9"/>
      <c r="D145" s="9"/>
      <c r="E145" s="9"/>
      <c r="F145" s="9"/>
      <c r="G145" s="9"/>
      <c r="H145" s="9"/>
      <c r="I145" s="9"/>
      <c r="J145" s="9"/>
      <c r="K145" s="9"/>
      <c r="L145" s="9"/>
    </row>
    <row r="146" spans="1:12">
      <c r="A146" s="9"/>
      <c r="B146" s="9"/>
      <c r="C146" s="9"/>
      <c r="D146" s="9"/>
      <c r="E146" s="9"/>
      <c r="F146" s="9"/>
      <c r="G146" s="9"/>
      <c r="H146" s="9"/>
      <c r="I146" s="9"/>
      <c r="J146" s="9"/>
      <c r="K146" s="9"/>
      <c r="L146" s="9"/>
    </row>
    <row r="147" spans="1:12">
      <c r="A147" s="9"/>
      <c r="B147" s="9"/>
      <c r="C147" s="9"/>
      <c r="D147" s="9"/>
      <c r="E147" s="9"/>
      <c r="F147" s="9"/>
      <c r="G147" s="9"/>
      <c r="H147" s="9"/>
      <c r="I147" s="9"/>
      <c r="J147" s="9"/>
      <c r="K147" s="9"/>
      <c r="L147" s="9"/>
    </row>
    <row r="148" spans="1:12">
      <c r="A148" s="9"/>
      <c r="B148" s="9"/>
      <c r="C148" s="9"/>
      <c r="D148" s="9"/>
      <c r="E148" s="9"/>
      <c r="F148" s="9"/>
      <c r="G148" s="9"/>
      <c r="H148" s="9"/>
      <c r="I148" s="9"/>
      <c r="J148" s="9"/>
      <c r="K148" s="9"/>
      <c r="L148" s="9"/>
    </row>
    <row r="149" spans="1:12">
      <c r="A149" s="9"/>
      <c r="B149" s="9"/>
      <c r="C149" s="9"/>
      <c r="D149" s="9"/>
      <c r="E149" s="9"/>
      <c r="F149" s="9"/>
      <c r="G149" s="9"/>
      <c r="H149" s="9"/>
      <c r="I149" s="9"/>
      <c r="J149" s="9"/>
      <c r="K149" s="9"/>
      <c r="L149" s="9"/>
    </row>
    <row r="150" spans="1:12">
      <c r="A150" s="9"/>
      <c r="B150" s="9"/>
      <c r="C150" s="9"/>
      <c r="D150" s="9"/>
      <c r="E150" s="9"/>
      <c r="F150" s="9"/>
      <c r="G150" s="9"/>
      <c r="H150" s="9"/>
      <c r="I150" s="9"/>
      <c r="J150" s="9"/>
      <c r="K150" s="9"/>
      <c r="L150" s="9"/>
    </row>
    <row r="151" spans="1:12">
      <c r="A151" s="9"/>
      <c r="B151" s="9"/>
      <c r="C151" s="9"/>
      <c r="D151" s="9"/>
      <c r="E151" s="9"/>
      <c r="F151" s="9"/>
      <c r="G151" s="9"/>
      <c r="H151" s="9"/>
      <c r="I151" s="9"/>
      <c r="J151" s="9"/>
      <c r="K151" s="9"/>
      <c r="L151" s="9"/>
    </row>
    <row r="152" spans="1:12">
      <c r="A152" s="9"/>
      <c r="B152" s="9"/>
      <c r="C152" s="9"/>
      <c r="D152" s="9"/>
      <c r="E152" s="9"/>
      <c r="F152" s="9"/>
      <c r="G152" s="9"/>
      <c r="H152" s="9"/>
      <c r="I152" s="9"/>
      <c r="J152" s="9"/>
      <c r="K152" s="9"/>
      <c r="L152" s="9"/>
    </row>
    <row r="153" spans="1:12">
      <c r="A153" s="9"/>
      <c r="B153" s="9"/>
      <c r="C153" s="9"/>
      <c r="D153" s="9"/>
      <c r="E153" s="9"/>
      <c r="F153" s="9"/>
      <c r="G153" s="9"/>
      <c r="H153" s="9"/>
      <c r="I153" s="9"/>
      <c r="J153" s="9"/>
      <c r="K153" s="9"/>
      <c r="L153" s="9"/>
    </row>
    <row r="154" spans="1:12">
      <c r="A154" s="9"/>
      <c r="B154" s="9"/>
      <c r="C154" s="9"/>
      <c r="D154" s="9"/>
      <c r="E154" s="9"/>
      <c r="F154" s="9"/>
      <c r="G154" s="9"/>
      <c r="H154" s="9"/>
      <c r="I154" s="9"/>
      <c r="J154" s="9"/>
      <c r="K154" s="9"/>
      <c r="L154" s="9"/>
    </row>
    <row r="155" spans="1:12">
      <c r="A155" s="31"/>
      <c r="B155" s="31"/>
      <c r="C155" s="31"/>
      <c r="D155" s="31"/>
      <c r="E155" s="31"/>
      <c r="F155" s="31"/>
      <c r="G155" s="31"/>
      <c r="H155" s="31"/>
      <c r="I155" s="31"/>
      <c r="J155" s="9"/>
      <c r="K155" s="31"/>
      <c r="L155" s="31"/>
    </row>
    <row r="156" spans="1:12">
      <c r="A156" s="9"/>
      <c r="B156" s="9"/>
      <c r="C156" s="9"/>
      <c r="D156" s="9"/>
      <c r="E156" s="9"/>
      <c r="F156" s="9"/>
      <c r="G156" s="9"/>
      <c r="H156" s="9"/>
      <c r="I156" s="9"/>
      <c r="J156" s="9"/>
      <c r="K156" s="31"/>
      <c r="L156" s="31"/>
    </row>
    <row r="157" spans="1:12">
      <c r="A157" s="9"/>
      <c r="B157" s="9"/>
      <c r="C157" s="9"/>
      <c r="D157" s="9"/>
      <c r="E157" s="9"/>
      <c r="F157" s="9"/>
      <c r="G157" s="9"/>
      <c r="H157" s="9"/>
      <c r="I157" s="9"/>
      <c r="J157" s="9"/>
      <c r="K157" s="31"/>
      <c r="L157" s="31"/>
    </row>
    <row r="158" spans="1:12">
      <c r="A158" s="31"/>
      <c r="B158" s="9"/>
      <c r="C158" s="9"/>
      <c r="D158" s="9"/>
      <c r="E158" s="9"/>
      <c r="F158" s="9"/>
      <c r="G158" s="9"/>
      <c r="H158" s="9"/>
      <c r="I158" s="9"/>
      <c r="J158" s="9"/>
      <c r="K158" s="31"/>
      <c r="L158" s="31"/>
    </row>
    <row r="159" spans="1:12">
      <c r="A159" s="9"/>
      <c r="B159" s="9"/>
      <c r="C159" s="9"/>
      <c r="D159" s="9"/>
      <c r="E159" s="9"/>
      <c r="F159" s="9"/>
      <c r="G159" s="9"/>
      <c r="H159" s="9"/>
      <c r="I159" s="9"/>
      <c r="J159" s="9"/>
      <c r="K159" s="9"/>
      <c r="L159" s="9"/>
    </row>
    <row r="160" spans="1:12">
      <c r="A160" s="9"/>
      <c r="B160" s="9"/>
      <c r="C160" s="9"/>
      <c r="D160" s="9"/>
      <c r="E160" s="9"/>
      <c r="F160" s="9"/>
      <c r="G160" s="9"/>
      <c r="H160" s="9"/>
      <c r="I160" s="9"/>
      <c r="J160" s="9"/>
      <c r="K160" s="9"/>
      <c r="L160" s="9"/>
    </row>
    <row r="161" spans="1:12">
      <c r="A161" s="9"/>
      <c r="B161" s="9"/>
      <c r="C161" s="9"/>
      <c r="D161" s="9"/>
      <c r="E161" s="9"/>
      <c r="F161" s="9"/>
      <c r="G161" s="9"/>
      <c r="H161" s="9"/>
      <c r="I161" s="9"/>
      <c r="J161" s="9"/>
      <c r="K161" s="27"/>
      <c r="L161" s="27"/>
    </row>
    <row r="162" spans="1:12">
      <c r="A162" s="9"/>
      <c r="B162" s="9"/>
      <c r="C162" s="9"/>
      <c r="D162" s="9"/>
      <c r="E162" s="9"/>
      <c r="F162" s="9"/>
      <c r="G162" s="9"/>
      <c r="H162" s="9"/>
      <c r="I162" s="31"/>
      <c r="J162" s="9"/>
      <c r="K162" s="9"/>
      <c r="L162" s="9"/>
    </row>
    <row r="163" spans="1:12">
      <c r="A163" s="9"/>
      <c r="B163" s="9"/>
      <c r="C163" s="9"/>
      <c r="D163" s="9"/>
      <c r="E163" s="9"/>
      <c r="F163" s="9"/>
      <c r="G163" s="9"/>
      <c r="H163" s="9"/>
      <c r="I163" s="9"/>
      <c r="J163" s="9"/>
      <c r="K163" s="9"/>
      <c r="L163" s="9"/>
    </row>
    <row r="164" spans="1:12">
      <c r="A164" s="9"/>
      <c r="B164" s="9"/>
      <c r="C164" s="9"/>
      <c r="D164" s="9"/>
      <c r="E164" s="9"/>
      <c r="F164" s="9"/>
      <c r="G164" s="9"/>
      <c r="H164" s="9"/>
      <c r="I164" s="9"/>
      <c r="J164" s="9"/>
      <c r="K164" s="9"/>
      <c r="L164" s="9"/>
    </row>
    <row r="165" spans="1:12">
      <c r="A165" s="9"/>
      <c r="B165" s="9"/>
      <c r="C165" s="9"/>
      <c r="D165" s="9"/>
      <c r="E165" s="9"/>
      <c r="F165" s="9"/>
      <c r="G165" s="9"/>
      <c r="H165" s="9"/>
      <c r="I165" s="9"/>
      <c r="J165" s="9"/>
      <c r="K165" s="9"/>
      <c r="L165" s="9"/>
    </row>
    <row r="166" spans="1:12">
      <c r="A166" s="9"/>
      <c r="B166" s="9"/>
      <c r="C166" s="9"/>
      <c r="D166" s="9"/>
      <c r="E166" s="9"/>
      <c r="F166" s="9"/>
      <c r="G166" s="9"/>
      <c r="H166" s="9"/>
      <c r="I166" s="9"/>
      <c r="J166" s="9"/>
      <c r="K166" s="9"/>
      <c r="L166" s="9"/>
    </row>
    <row r="167" spans="1:12">
      <c r="A167" s="9"/>
      <c r="B167" s="9"/>
      <c r="C167" s="9"/>
      <c r="D167" s="9"/>
      <c r="E167" s="9"/>
      <c r="F167" s="9"/>
      <c r="G167" s="9"/>
      <c r="H167" s="9"/>
      <c r="I167" s="9"/>
      <c r="J167" s="9"/>
      <c r="K167" s="9"/>
      <c r="L167" s="9"/>
    </row>
    <row r="168" spans="1:12">
      <c r="A168" s="31"/>
      <c r="B168" s="31"/>
      <c r="C168" s="31"/>
      <c r="D168" s="31"/>
      <c r="E168" s="31"/>
      <c r="F168" s="31"/>
      <c r="G168" s="31"/>
      <c r="H168" s="31"/>
      <c r="I168" s="31"/>
      <c r="J168" s="9"/>
      <c r="K168" s="31"/>
      <c r="L168" s="31"/>
    </row>
    <row r="169" spans="1:12">
      <c r="A169" s="9"/>
      <c r="B169" s="9"/>
      <c r="C169" s="9"/>
      <c r="D169" s="9"/>
      <c r="E169" s="9"/>
      <c r="F169" s="9"/>
      <c r="G169" s="9"/>
      <c r="H169" s="9"/>
      <c r="I169" s="9"/>
      <c r="J169" s="9"/>
      <c r="K169" s="31"/>
      <c r="L169" s="31"/>
    </row>
    <row r="170" spans="1:12">
      <c r="A170" s="9"/>
      <c r="B170" s="9"/>
      <c r="C170" s="9"/>
      <c r="D170" s="9"/>
      <c r="E170" s="9"/>
      <c r="F170" s="9"/>
      <c r="G170" s="9"/>
      <c r="H170" s="9"/>
      <c r="I170" s="9"/>
      <c r="J170" s="9"/>
      <c r="K170" s="31"/>
      <c r="L170" s="31"/>
    </row>
    <row r="171" spans="1:12">
      <c r="A171" s="31"/>
      <c r="B171" s="9"/>
      <c r="C171" s="9"/>
      <c r="D171" s="9"/>
      <c r="E171" s="9"/>
      <c r="F171" s="9"/>
      <c r="G171" s="9"/>
      <c r="H171" s="9"/>
      <c r="I171" s="9"/>
      <c r="J171" s="9"/>
      <c r="K171" s="31"/>
      <c r="L171" s="31"/>
    </row>
    <row r="172" spans="1:12">
      <c r="A172" s="9"/>
      <c r="B172" s="9"/>
      <c r="C172" s="9"/>
      <c r="D172" s="9"/>
      <c r="E172" s="9"/>
      <c r="F172" s="9"/>
      <c r="G172" s="9"/>
      <c r="H172" s="9"/>
      <c r="I172" s="9"/>
      <c r="J172" s="9"/>
      <c r="K172" s="9"/>
      <c r="L172" s="9"/>
    </row>
    <row r="173" spans="1:12">
      <c r="A173" s="9"/>
      <c r="B173" s="9"/>
      <c r="C173" s="9"/>
      <c r="D173" s="9"/>
      <c r="E173" s="9"/>
      <c r="F173" s="9"/>
      <c r="G173" s="9"/>
      <c r="H173" s="9"/>
      <c r="I173" s="9"/>
      <c r="J173" s="9"/>
      <c r="K173" s="9"/>
      <c r="L173" s="9"/>
    </row>
    <row r="174" spans="1:12">
      <c r="A174" s="9"/>
      <c r="B174" s="9"/>
      <c r="C174" s="9"/>
      <c r="D174" s="9"/>
      <c r="E174" s="9"/>
      <c r="F174" s="9"/>
      <c r="G174" s="9"/>
      <c r="H174" s="9"/>
      <c r="I174" s="9"/>
      <c r="J174" s="9"/>
      <c r="K174" s="9"/>
      <c r="L174" s="9"/>
    </row>
    <row r="175" spans="1:12">
      <c r="A175" s="9"/>
      <c r="B175" s="9"/>
      <c r="C175" s="9"/>
      <c r="D175" s="9"/>
      <c r="E175" s="9"/>
      <c r="F175" s="9"/>
      <c r="G175" s="9"/>
      <c r="H175" s="9"/>
      <c r="I175" s="9"/>
      <c r="J175" s="9"/>
      <c r="K175" s="9"/>
      <c r="L175" s="9"/>
    </row>
    <row r="176" spans="1:12">
      <c r="A176" s="9"/>
      <c r="B176" s="9"/>
      <c r="C176" s="9"/>
      <c r="D176" s="9"/>
      <c r="E176" s="9"/>
      <c r="F176" s="9"/>
      <c r="G176" s="9"/>
      <c r="H176" s="9"/>
      <c r="I176" s="9"/>
      <c r="J176" s="9"/>
      <c r="K176" s="9"/>
      <c r="L176" s="9"/>
    </row>
    <row r="177" spans="1:12">
      <c r="A177" s="9"/>
      <c r="B177" s="9"/>
      <c r="C177" s="9"/>
      <c r="D177" s="9"/>
      <c r="E177" s="9"/>
      <c r="F177" s="9"/>
      <c r="G177" s="9"/>
      <c r="H177" s="9"/>
      <c r="I177" s="9"/>
      <c r="J177" s="9"/>
      <c r="K177" s="9"/>
      <c r="L177" s="9"/>
    </row>
    <row r="178" spans="1:12">
      <c r="A178" s="9"/>
      <c r="B178" s="9"/>
      <c r="C178" s="9"/>
      <c r="D178" s="9"/>
      <c r="E178" s="9"/>
      <c r="F178" s="9"/>
      <c r="G178" s="9"/>
      <c r="H178" s="9"/>
      <c r="I178" s="9"/>
      <c r="J178" s="9"/>
      <c r="K178" s="9"/>
      <c r="L178" s="9"/>
    </row>
    <row r="179" spans="1:12">
      <c r="A179" s="9"/>
      <c r="B179" s="9"/>
      <c r="C179" s="9"/>
      <c r="D179" s="9"/>
      <c r="E179" s="9"/>
      <c r="F179" s="9"/>
      <c r="G179" s="9"/>
      <c r="H179" s="9"/>
      <c r="I179" s="9"/>
      <c r="J179" s="9"/>
      <c r="K179" s="9"/>
      <c r="L179" s="9"/>
    </row>
    <row r="180" spans="1:12">
      <c r="A180" s="9"/>
      <c r="B180" s="9"/>
      <c r="C180" s="9"/>
      <c r="D180" s="9"/>
      <c r="E180" s="9"/>
      <c r="F180" s="9"/>
      <c r="G180" s="9"/>
      <c r="H180" s="9"/>
      <c r="I180" s="9"/>
      <c r="J180" s="9"/>
      <c r="K180" s="9"/>
      <c r="L180" s="9"/>
    </row>
    <row r="181" spans="1:12">
      <c r="A181" s="9"/>
      <c r="B181" s="9"/>
      <c r="C181" s="9"/>
      <c r="D181" s="9"/>
      <c r="E181" s="9"/>
      <c r="F181" s="9"/>
      <c r="G181" s="9"/>
      <c r="H181" s="9"/>
      <c r="I181" s="9"/>
      <c r="J181" s="9"/>
      <c r="K181" s="9"/>
      <c r="L181" s="9"/>
    </row>
    <row r="182" spans="1:12">
      <c r="A182" s="9"/>
      <c r="B182" s="9"/>
      <c r="C182" s="9"/>
      <c r="D182" s="9"/>
      <c r="E182" s="9"/>
      <c r="F182" s="9"/>
      <c r="G182" s="9"/>
      <c r="H182" s="9"/>
      <c r="I182" s="9"/>
      <c r="J182" s="9"/>
      <c r="K182" s="9"/>
      <c r="L182" s="9"/>
    </row>
    <row r="183" spans="1:12">
      <c r="A183" s="9"/>
      <c r="B183" s="9"/>
      <c r="C183" s="9"/>
      <c r="D183" s="9"/>
      <c r="E183" s="9"/>
      <c r="F183" s="9"/>
      <c r="G183" s="9"/>
      <c r="H183" s="9"/>
      <c r="I183" s="9"/>
      <c r="J183" s="9"/>
      <c r="K183" s="9"/>
      <c r="L183" s="9"/>
    </row>
  </sheetData>
  <pageMargins left="0.75" right="0.75" top="1" bottom="1" header="0.5" footer="0.5"/>
  <pageSetup orientation="portrait" horizontalDpi="4294967292" verticalDpi="4294967292"/>
  <drawing r:id="rId1"/>
  <legacyDrawing r:id="rId2"/>
  <extLst>
    <ext xmlns:mx="http://schemas.microsoft.com/office/mac/excel/2008/main" uri="{64002731-A6B0-56B0-2670-7721B7C09600}">
      <mx:PLV Mode="0" OnePage="0" WScale="0"/>
    </ext>
  </extLst>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P42"/>
  <sheetViews>
    <sheetView topLeftCell="A7" workbookViewId="0">
      <selection activeCell="C26" sqref="C26"/>
    </sheetView>
  </sheetViews>
  <sheetFormatPr baseColWidth="10" defaultColWidth="11" defaultRowHeight="15" x14ac:dyDescent="0"/>
  <cols>
    <col min="1" max="1" width="24.1640625" customWidth="1"/>
    <col min="3" max="3" width="11" customWidth="1"/>
    <col min="5" max="5" width="12.6640625" customWidth="1"/>
    <col min="7" max="7" width="18.33203125" customWidth="1"/>
    <col min="8" max="8" width="14.1640625" customWidth="1"/>
    <col min="9" max="9" width="15.33203125" customWidth="1"/>
    <col min="10" max="10" width="16.83203125" customWidth="1"/>
  </cols>
  <sheetData>
    <row r="1" spans="1:10">
      <c r="C1" s="84"/>
      <c r="D1" t="s">
        <v>185</v>
      </c>
    </row>
    <row r="2" spans="1:10">
      <c r="A2" t="s">
        <v>27</v>
      </c>
      <c r="C2" s="82"/>
      <c r="D2" t="s">
        <v>186</v>
      </c>
    </row>
    <row r="4" spans="1:10">
      <c r="A4" t="s">
        <v>165</v>
      </c>
    </row>
    <row r="5" spans="1:10">
      <c r="A5" s="44" t="s">
        <v>166</v>
      </c>
    </row>
    <row r="6" spans="1:10">
      <c r="A6" s="44"/>
    </row>
    <row r="8" spans="1:10">
      <c r="A8" t="s">
        <v>3</v>
      </c>
    </row>
    <row r="9" spans="1:10">
      <c r="A9" s="3"/>
      <c r="C9" s="6"/>
      <c r="D9" s="6"/>
      <c r="E9" s="6"/>
      <c r="F9" s="6"/>
      <c r="G9" s="6"/>
      <c r="H9" s="12"/>
      <c r="I9" s="11"/>
      <c r="J9" s="10"/>
    </row>
    <row r="10" spans="1:10">
      <c r="A10" t="s">
        <v>43</v>
      </c>
    </row>
    <row r="11" spans="1:10" ht="46" thickBot="1">
      <c r="A11" s="54" t="s">
        <v>18</v>
      </c>
      <c r="B11" s="55" t="s">
        <v>109</v>
      </c>
      <c r="C11" s="55" t="s">
        <v>110</v>
      </c>
      <c r="D11" s="55" t="s">
        <v>111</v>
      </c>
      <c r="E11" s="55" t="s">
        <v>115</v>
      </c>
    </row>
    <row r="12" spans="1:10" ht="16" thickTop="1">
      <c r="A12" s="104" t="str">
        <f>A32</f>
        <v>Hal-ost-RR-17</v>
      </c>
      <c r="B12" s="84">
        <f>B38</f>
        <v>2.3719999999999999</v>
      </c>
      <c r="C12" s="84">
        <f>C38</f>
        <v>2.3719999999999999</v>
      </c>
      <c r="D12" s="84">
        <f>D38</f>
        <v>17.675806640675152</v>
      </c>
      <c r="E12" s="89">
        <f>G41</f>
        <v>53.923563654238905</v>
      </c>
    </row>
    <row r="13" spans="1:10">
      <c r="A13" s="84"/>
      <c r="B13" s="84"/>
      <c r="C13" s="84"/>
      <c r="D13" s="84"/>
      <c r="E13" s="89"/>
    </row>
    <row r="14" spans="1:10">
      <c r="A14" s="105"/>
      <c r="B14" s="89"/>
      <c r="C14" s="89"/>
      <c r="D14" s="89"/>
      <c r="E14" s="89"/>
    </row>
    <row r="15" spans="1:10">
      <c r="A15" s="89"/>
      <c r="B15" s="89"/>
      <c r="C15" s="89"/>
      <c r="D15" s="89"/>
      <c r="E15" s="89"/>
    </row>
    <row r="16" spans="1:10">
      <c r="A16" t="s">
        <v>106</v>
      </c>
      <c r="B16" s="82">
        <f>AVERAGE(B12:B15)</f>
        <v>2.3719999999999999</v>
      </c>
      <c r="C16" s="82">
        <f>AVERAGE(C12:C15)</f>
        <v>2.3719999999999999</v>
      </c>
      <c r="D16" s="82">
        <f>AVERAGE(D12:D15)</f>
        <v>17.675806640675152</v>
      </c>
      <c r="E16" s="82">
        <f>AVERAGE(E12:E15)</f>
        <v>53.923563654238905</v>
      </c>
    </row>
    <row r="17" spans="1:16">
      <c r="B17" s="15"/>
      <c r="C17" s="15"/>
      <c r="D17" s="15"/>
      <c r="E17" s="15"/>
      <c r="F17" s="15"/>
      <c r="G17" s="15"/>
      <c r="H17" s="15"/>
      <c r="I17" s="15"/>
      <c r="J17" s="15"/>
      <c r="K17" s="15"/>
      <c r="L17" s="15"/>
      <c r="M17" s="15"/>
      <c r="N17" s="15"/>
      <c r="O17" s="15"/>
      <c r="P17" s="15"/>
    </row>
    <row r="18" spans="1:16">
      <c r="B18" s="15"/>
      <c r="C18" s="15"/>
      <c r="D18" s="15"/>
      <c r="E18" s="15"/>
      <c r="F18" s="15"/>
      <c r="G18" s="15"/>
      <c r="H18" s="15"/>
      <c r="I18" s="15"/>
      <c r="J18" s="15"/>
      <c r="K18" s="15"/>
      <c r="L18" s="15"/>
      <c r="M18" s="15"/>
      <c r="N18" s="15"/>
      <c r="O18" s="15"/>
      <c r="P18" s="15"/>
    </row>
    <row r="19" spans="1:16">
      <c r="A19" t="s">
        <v>156</v>
      </c>
      <c r="B19" s="83">
        <f>Apopyle!F14</f>
        <v>166.03700478757392</v>
      </c>
      <c r="C19" s="15"/>
      <c r="D19" s="15"/>
      <c r="E19" s="15"/>
      <c r="F19" s="15"/>
      <c r="G19" s="15"/>
      <c r="H19" s="15"/>
      <c r="I19" s="15"/>
      <c r="J19" s="15"/>
      <c r="K19" s="15"/>
      <c r="L19" s="15"/>
      <c r="M19" s="15"/>
      <c r="N19" s="15"/>
      <c r="O19" s="15"/>
      <c r="P19" s="15"/>
    </row>
    <row r="20" spans="1:16">
      <c r="A20" t="s">
        <v>157</v>
      </c>
      <c r="B20" s="82">
        <f>'Choanocyte Chambers'!M13</f>
        <v>2554.9913768936467</v>
      </c>
      <c r="C20" s="15"/>
      <c r="D20" s="15"/>
      <c r="E20" s="15"/>
      <c r="F20" s="15"/>
      <c r="G20" s="15"/>
      <c r="H20" s="15"/>
      <c r="I20" s="15"/>
      <c r="J20" s="15"/>
      <c r="K20" s="15"/>
      <c r="L20" s="15"/>
      <c r="M20" s="15"/>
      <c r="N20" s="15"/>
      <c r="O20" s="15"/>
      <c r="P20" s="15"/>
    </row>
    <row r="21" spans="1:16">
      <c r="A21" t="s">
        <v>159</v>
      </c>
      <c r="B21" s="83">
        <f>B20-B19</f>
        <v>2388.9543721060727</v>
      </c>
      <c r="C21" s="15" t="s">
        <v>158</v>
      </c>
      <c r="D21" s="15"/>
      <c r="E21" s="15"/>
      <c r="F21" s="15"/>
      <c r="G21" s="15"/>
      <c r="H21" s="15"/>
      <c r="I21" s="15"/>
      <c r="J21" s="15"/>
      <c r="K21" s="15"/>
      <c r="L21" s="15"/>
      <c r="M21" s="15"/>
      <c r="N21" s="15"/>
      <c r="O21" s="15"/>
      <c r="P21" s="15"/>
    </row>
    <row r="23" spans="1:16" ht="49">
      <c r="A23" s="58"/>
      <c r="B23" s="56" t="s">
        <v>116</v>
      </c>
      <c r="C23" s="56" t="s">
        <v>117</v>
      </c>
      <c r="D23" s="56" t="s">
        <v>118</v>
      </c>
      <c r="E23" s="57" t="s">
        <v>119</v>
      </c>
    </row>
    <row r="24" spans="1:16">
      <c r="A24" s="58"/>
      <c r="B24" s="102">
        <f>'Choanocyte Chambers'!G13</f>
        <v>2684.4549619863928</v>
      </c>
      <c r="C24" s="102">
        <f>(E16/100)*B21</f>
        <v>1288.2093315133413</v>
      </c>
      <c r="D24" s="103">
        <f>B24*C24</f>
        <v>3458139.9320581635</v>
      </c>
      <c r="E24" s="101">
        <f>D24/1000000</f>
        <v>3.4581399320581636</v>
      </c>
    </row>
    <row r="26" spans="1:16">
      <c r="D26" s="6"/>
    </row>
    <row r="27" spans="1:16">
      <c r="D27" s="6"/>
    </row>
    <row r="28" spans="1:16">
      <c r="D28" s="6"/>
    </row>
    <row r="29" spans="1:16">
      <c r="D29" s="6"/>
    </row>
    <row r="30" spans="1:16">
      <c r="D30" s="6"/>
    </row>
    <row r="31" spans="1:16" ht="46" thickBot="1">
      <c r="A31" s="41" t="s">
        <v>18</v>
      </c>
      <c r="B31" s="43" t="s">
        <v>109</v>
      </c>
      <c r="C31" s="43" t="s">
        <v>110</v>
      </c>
      <c r="D31" s="43" t="s">
        <v>111</v>
      </c>
      <c r="E31" s="43" t="s">
        <v>205</v>
      </c>
      <c r="F31" s="46" t="s">
        <v>167</v>
      </c>
      <c r="G31" s="43" t="s">
        <v>115</v>
      </c>
    </row>
    <row r="32" spans="1:16" ht="16" thickTop="1">
      <c r="A32" t="s">
        <v>207</v>
      </c>
      <c r="B32">
        <v>1.9990000000000001</v>
      </c>
      <c r="C32">
        <v>1.8560000000000001</v>
      </c>
      <c r="D32" s="6">
        <f t="shared" ref="D32:D39" si="0">PI()*B32*C32</f>
        <v>11.655761134160251</v>
      </c>
    </row>
    <row r="33" spans="2:8">
      <c r="B33">
        <v>2.726</v>
      </c>
      <c r="C33">
        <v>1.8580000000000001</v>
      </c>
      <c r="D33" s="6">
        <f t="shared" si="0"/>
        <v>15.911877763908173</v>
      </c>
    </row>
    <row r="34" spans="2:8">
      <c r="B34">
        <v>1.91</v>
      </c>
      <c r="C34">
        <v>1.335</v>
      </c>
      <c r="D34" s="6">
        <f t="shared" si="0"/>
        <v>8.0105900277559332</v>
      </c>
    </row>
    <row r="35" spans="2:8">
      <c r="B35">
        <v>2.2309999999999999</v>
      </c>
      <c r="C35">
        <v>2.0150000000000001</v>
      </c>
      <c r="D35" s="6">
        <f t="shared" si="0"/>
        <v>14.122919818470038</v>
      </c>
      <c r="H35" s="6"/>
    </row>
    <row r="36" spans="2:8">
      <c r="B36">
        <v>1.694</v>
      </c>
      <c r="C36">
        <v>1.8149999999999999</v>
      </c>
      <c r="D36" s="6">
        <f t="shared" si="0"/>
        <v>9.6591721886537147</v>
      </c>
      <c r="H36" s="6"/>
    </row>
    <row r="37" spans="2:8">
      <c r="B37">
        <v>1.871</v>
      </c>
      <c r="C37">
        <v>1.637</v>
      </c>
      <c r="D37" s="6">
        <f t="shared" si="0"/>
        <v>9.6221548024164658</v>
      </c>
      <c r="H37" s="6"/>
    </row>
    <row r="38" spans="2:8">
      <c r="B38">
        <v>2.3719999999999999</v>
      </c>
      <c r="C38">
        <v>2.3719999999999999</v>
      </c>
      <c r="D38" s="6">
        <f t="shared" si="0"/>
        <v>17.675806640675152</v>
      </c>
      <c r="H38" s="6"/>
    </row>
    <row r="39" spans="2:8">
      <c r="D39" s="6">
        <f t="shared" si="0"/>
        <v>0</v>
      </c>
      <c r="H39" s="6"/>
    </row>
    <row r="40" spans="2:8">
      <c r="B40" s="45"/>
      <c r="C40" s="45"/>
      <c r="D40" s="45"/>
      <c r="E40" s="45"/>
      <c r="F40" s="45"/>
      <c r="G40" s="45"/>
      <c r="H40" s="6"/>
    </row>
    <row r="41" spans="2:8">
      <c r="C41" t="s">
        <v>206</v>
      </c>
      <c r="D41">
        <f>AVERAGE(D32:D40)</f>
        <v>10.832285297004965</v>
      </c>
      <c r="E41">
        <v>18</v>
      </c>
      <c r="F41">
        <v>361.58800000000002</v>
      </c>
      <c r="G41">
        <f>((D41*E41)/F41)*100</f>
        <v>53.923563654238905</v>
      </c>
      <c r="H41" s="6"/>
    </row>
    <row r="42" spans="2:8">
      <c r="B42" s="6"/>
      <c r="C42" s="6"/>
      <c r="D42" s="6"/>
      <c r="E42" s="6"/>
      <c r="F42" s="6"/>
      <c r="G42" s="6"/>
      <c r="H42" s="6"/>
    </row>
  </sheetData>
  <pageMargins left="0.75" right="0.75" top="1" bottom="1" header="0.5" footer="0.5"/>
  <pageSetup orientation="portrait" horizontalDpi="4294967292" verticalDpi="4294967292"/>
  <drawing r:id="rId1"/>
  <extLst>
    <ext xmlns:mx="http://schemas.microsoft.com/office/mac/excel/2008/main" uri="{64002731-A6B0-56B0-2670-7721B7C09600}">
      <mx:PLV Mode="0" OnePage="0" WScale="0"/>
    </ext>
  </extLst>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1:T1048531"/>
  <sheetViews>
    <sheetView topLeftCell="A13" workbookViewId="0">
      <selection activeCell="E17" sqref="E17"/>
    </sheetView>
  </sheetViews>
  <sheetFormatPr baseColWidth="10" defaultColWidth="11" defaultRowHeight="15" x14ac:dyDescent="0.75"/>
  <cols>
    <col min="1" max="1" width="21.83203125" customWidth="1"/>
    <col min="2" max="2" width="13.5" customWidth="1"/>
    <col min="3" max="3" width="13.1640625" customWidth="1"/>
    <col min="4" max="4" width="13" customWidth="1"/>
    <col min="5" max="5" width="14.1640625" customWidth="1"/>
    <col min="6" max="6" width="16.6640625" customWidth="1"/>
    <col min="7" max="7" width="13.83203125" customWidth="1"/>
    <col min="8" max="8" width="13.1640625" customWidth="1"/>
    <col min="9" max="9" width="14" customWidth="1"/>
    <col min="10" max="10" width="14.1640625" customWidth="1"/>
    <col min="11" max="11" width="14" customWidth="1"/>
    <col min="12" max="13" width="15.5" customWidth="1"/>
    <col min="14" max="16" width="15" customWidth="1"/>
    <col min="17" max="17" width="16.6640625" customWidth="1"/>
    <col min="18" max="18" width="14.83203125" customWidth="1"/>
    <col min="19" max="19" width="14.5" customWidth="1"/>
    <col min="20" max="20" width="17" customWidth="1"/>
  </cols>
  <sheetData>
    <row r="1" spans="1:20">
      <c r="C1" s="138"/>
      <c r="D1" s="3" t="s">
        <v>185</v>
      </c>
    </row>
    <row r="2" spans="1:20">
      <c r="C2" s="139"/>
      <c r="D2" s="3" t="s">
        <v>186</v>
      </c>
    </row>
    <row r="4" spans="1:20">
      <c r="A4" t="s">
        <v>216</v>
      </c>
    </row>
    <row r="5" spans="1:20">
      <c r="A5" t="s">
        <v>217</v>
      </c>
    </row>
    <row r="6" spans="1:20">
      <c r="A6" t="s">
        <v>168</v>
      </c>
    </row>
    <row r="7" spans="1:20">
      <c r="A7" t="s">
        <v>169</v>
      </c>
    </row>
    <row r="12" spans="1:20">
      <c r="A12" t="s">
        <v>28</v>
      </c>
    </row>
    <row r="14" spans="1:20">
      <c r="A14" t="s">
        <v>3</v>
      </c>
    </row>
    <row r="16" spans="1:20" ht="61" thickBot="1">
      <c r="A16" s="7" t="s">
        <v>18</v>
      </c>
      <c r="B16" s="7" t="s">
        <v>29</v>
      </c>
      <c r="C16" s="7" t="s">
        <v>30</v>
      </c>
      <c r="D16" s="7" t="s">
        <v>31</v>
      </c>
      <c r="E16" s="7" t="s">
        <v>32</v>
      </c>
      <c r="F16" s="7" t="s">
        <v>170</v>
      </c>
      <c r="G16" s="7" t="s">
        <v>33</v>
      </c>
      <c r="H16" s="7" t="s">
        <v>34</v>
      </c>
      <c r="I16" s="7" t="s">
        <v>39</v>
      </c>
      <c r="J16" s="7" t="s">
        <v>35</v>
      </c>
      <c r="K16" s="7" t="s">
        <v>36</v>
      </c>
      <c r="L16" s="7" t="s">
        <v>37</v>
      </c>
      <c r="M16" s="7" t="s">
        <v>38</v>
      </c>
      <c r="N16" s="7" t="s">
        <v>40</v>
      </c>
      <c r="O16" s="7" t="s">
        <v>41</v>
      </c>
      <c r="P16" s="27"/>
      <c r="Q16" s="27"/>
      <c r="R16" s="27"/>
      <c r="S16" s="27"/>
      <c r="T16" s="27"/>
    </row>
    <row r="17" spans="1:20" ht="16" thickTop="1">
      <c r="A17" s="4"/>
      <c r="B17" s="82">
        <f>B64</f>
        <v>40.285714285714285</v>
      </c>
      <c r="C17" s="82">
        <f t="shared" ref="C17:J17" si="0">C64</f>
        <v>0.1002</v>
      </c>
      <c r="D17" s="82">
        <f t="shared" si="0"/>
        <v>0.1096</v>
      </c>
      <c r="E17" s="82">
        <f t="shared" si="0"/>
        <v>3.3032222222222223</v>
      </c>
      <c r="F17" s="82">
        <f t="shared" si="0"/>
        <v>0.16566666666666663</v>
      </c>
      <c r="G17" s="82">
        <f t="shared" si="0"/>
        <v>0.36203315555555554</v>
      </c>
      <c r="H17" s="82">
        <f t="shared" si="0"/>
        <v>14.584764266666665</v>
      </c>
      <c r="I17" s="82">
        <f t="shared" si="0"/>
        <v>139.33333333333334</v>
      </c>
      <c r="J17" s="82">
        <f t="shared" si="0"/>
        <v>2032.1438211555555</v>
      </c>
      <c r="K17" s="82">
        <f>'Choanocyte Chambers'!G13</f>
        <v>2684.4549619863928</v>
      </c>
      <c r="L17" s="82">
        <f>J17*K17</f>
        <v>5455198.5641710199</v>
      </c>
      <c r="M17" s="82">
        <f>L17/1000000</f>
        <v>5.4551985641710203</v>
      </c>
      <c r="N17" s="82">
        <f>N64</f>
        <v>3.2782142857142857</v>
      </c>
      <c r="O17" s="82">
        <f>O64</f>
        <v>1.6827500000000002</v>
      </c>
      <c r="P17" s="9"/>
      <c r="Q17" s="9"/>
      <c r="R17" s="9"/>
      <c r="S17" s="9"/>
      <c r="T17" s="9"/>
    </row>
    <row r="18" spans="1:20">
      <c r="A18" s="4"/>
      <c r="B18" s="4"/>
      <c r="C18" s="4"/>
      <c r="D18" s="4"/>
      <c r="E18" s="4"/>
      <c r="F18" s="4"/>
      <c r="G18" s="4"/>
      <c r="H18" s="4"/>
      <c r="I18" s="4"/>
      <c r="J18" s="4"/>
      <c r="K18" s="4"/>
      <c r="L18" s="4"/>
      <c r="M18" s="4"/>
      <c r="N18" s="4"/>
      <c r="O18" s="4"/>
      <c r="P18" s="9"/>
      <c r="Q18" s="9"/>
      <c r="R18" s="9"/>
      <c r="S18" s="9"/>
      <c r="T18" s="9"/>
    </row>
    <row r="19" spans="1:20" ht="75">
      <c r="C19" s="2" t="s">
        <v>154</v>
      </c>
      <c r="D19" s="82">
        <f>(C17+D17)/1000</f>
        <v>2.0979999999999998E-4</v>
      </c>
      <c r="P19" s="9"/>
      <c r="Q19" s="9"/>
      <c r="R19" s="9"/>
      <c r="S19" s="9"/>
      <c r="T19" s="9"/>
    </row>
    <row r="20" spans="1:20">
      <c r="C20" s="2"/>
      <c r="P20" s="9"/>
      <c r="Q20" s="9"/>
      <c r="R20" s="9"/>
      <c r="S20" s="9"/>
      <c r="T20" s="9"/>
    </row>
    <row r="21" spans="1:20">
      <c r="A21" s="78" t="s">
        <v>178</v>
      </c>
      <c r="B21" s="79"/>
      <c r="C21" s="79"/>
      <c r="D21" s="79"/>
      <c r="E21" s="79"/>
      <c r="F21" s="79"/>
      <c r="G21" s="79"/>
      <c r="P21" s="9"/>
      <c r="Q21" s="9"/>
      <c r="R21" s="9"/>
      <c r="S21" s="9"/>
      <c r="T21" s="9"/>
    </row>
    <row r="22" spans="1:20" ht="45">
      <c r="A22" s="80"/>
      <c r="B22" s="2" t="s">
        <v>19</v>
      </c>
      <c r="C22" s="2" t="s">
        <v>179</v>
      </c>
      <c r="D22" s="2" t="s">
        <v>141</v>
      </c>
      <c r="E22" s="2" t="s">
        <v>180</v>
      </c>
      <c r="F22" s="2" t="s">
        <v>181</v>
      </c>
      <c r="G22" s="2" t="s">
        <v>182</v>
      </c>
      <c r="P22" s="9"/>
      <c r="Q22" s="9"/>
      <c r="R22" s="9"/>
      <c r="S22" s="9"/>
      <c r="T22" s="9"/>
    </row>
    <row r="23" spans="1:20">
      <c r="A23" s="81" t="s">
        <v>183</v>
      </c>
      <c r="B23">
        <v>5.7110000000000003</v>
      </c>
      <c r="C23">
        <v>3.63</v>
      </c>
      <c r="D23" s="82">
        <f>B23*C23</f>
        <v>20.730930000000001</v>
      </c>
      <c r="E23" s="106">
        <f>D23*I17</f>
        <v>2888.5095800000004</v>
      </c>
      <c r="F23" s="82">
        <f>E23*K17</f>
        <v>7754073.874776233</v>
      </c>
      <c r="G23" s="101">
        <f>F23/1000000</f>
        <v>7.7540738747762328</v>
      </c>
      <c r="P23" s="9"/>
      <c r="Q23" s="9"/>
      <c r="R23" s="9"/>
      <c r="S23" s="9"/>
      <c r="T23" s="9"/>
    </row>
    <row r="24" spans="1:20">
      <c r="A24" s="81" t="s">
        <v>184</v>
      </c>
      <c r="B24" s="86">
        <f>N17</f>
        <v>3.2782142857142857</v>
      </c>
      <c r="C24" s="86">
        <f>E17</f>
        <v>3.3032222222222223</v>
      </c>
      <c r="D24" s="82">
        <f>B24*C24</f>
        <v>10.828670277777778</v>
      </c>
      <c r="E24" s="106">
        <f>D24*I17</f>
        <v>1508.7947253703705</v>
      </c>
      <c r="F24" s="82">
        <f>E24*K17</f>
        <v>4050291.487139388</v>
      </c>
      <c r="G24" s="101">
        <f>F24/1000000</f>
        <v>4.050291487139388</v>
      </c>
      <c r="P24" s="9"/>
      <c r="Q24" s="9"/>
      <c r="R24" s="9"/>
      <c r="S24" s="9"/>
      <c r="T24" s="9"/>
    </row>
    <row r="25" spans="1:20">
      <c r="A25" s="15"/>
      <c r="B25" s="9"/>
      <c r="C25" s="9"/>
      <c r="D25" s="15"/>
      <c r="E25" s="72"/>
      <c r="F25" s="15"/>
      <c r="G25" s="34"/>
      <c r="P25" s="9"/>
      <c r="Q25" s="9"/>
      <c r="R25" s="9"/>
      <c r="S25" s="9"/>
      <c r="T25" s="9"/>
    </row>
    <row r="26" spans="1:20">
      <c r="A26" s="15"/>
      <c r="B26" s="9"/>
      <c r="C26" s="9"/>
      <c r="D26" s="15"/>
      <c r="E26" s="72"/>
      <c r="F26" s="15"/>
      <c r="G26" s="34"/>
      <c r="P26" s="9"/>
      <c r="Q26" s="9"/>
      <c r="R26" s="9"/>
      <c r="S26" s="9"/>
      <c r="T26" s="9"/>
    </row>
    <row r="27" spans="1:20" ht="60">
      <c r="A27" s="2" t="s">
        <v>18</v>
      </c>
      <c r="B27" s="61" t="s">
        <v>29</v>
      </c>
      <c r="C27" s="61" t="s">
        <v>30</v>
      </c>
      <c r="D27" s="61" t="s">
        <v>31</v>
      </c>
      <c r="E27" s="61" t="s">
        <v>32</v>
      </c>
      <c r="F27" s="61" t="s">
        <v>170</v>
      </c>
      <c r="G27" s="2" t="s">
        <v>33</v>
      </c>
      <c r="H27" s="2" t="s">
        <v>34</v>
      </c>
      <c r="I27" s="61" t="s">
        <v>39</v>
      </c>
      <c r="J27" s="2" t="s">
        <v>35</v>
      </c>
      <c r="K27" s="2" t="s">
        <v>36</v>
      </c>
      <c r="L27" s="2" t="s">
        <v>37</v>
      </c>
      <c r="M27" s="2" t="s">
        <v>38</v>
      </c>
      <c r="N27" s="61" t="s">
        <v>40</v>
      </c>
      <c r="O27" s="61" t="s">
        <v>41</v>
      </c>
      <c r="P27" s="27"/>
      <c r="Q27" s="27"/>
      <c r="R27" s="27"/>
      <c r="S27" s="27"/>
      <c r="T27" s="27"/>
    </row>
    <row r="28" spans="1:20">
      <c r="A28" s="5" t="s">
        <v>218</v>
      </c>
      <c r="B28" s="107"/>
      <c r="C28" s="89">
        <v>7.8E-2</v>
      </c>
      <c r="D28" s="89">
        <v>0.1</v>
      </c>
      <c r="E28" s="89">
        <v>3.6160000000000001</v>
      </c>
      <c r="F28" s="107"/>
      <c r="G28" s="5"/>
      <c r="H28" s="5"/>
      <c r="I28" s="107"/>
      <c r="J28" s="5"/>
      <c r="K28" s="5"/>
      <c r="L28" s="5"/>
      <c r="M28" s="5"/>
      <c r="N28" s="107">
        <v>2.9569999999999999</v>
      </c>
      <c r="O28" s="89">
        <v>0.85699999999999998</v>
      </c>
    </row>
    <row r="29" spans="1:20">
      <c r="A29" s="6"/>
      <c r="B29" s="89"/>
      <c r="C29" s="89">
        <v>8.8999999999999996E-2</v>
      </c>
      <c r="D29" s="89">
        <v>0.1</v>
      </c>
      <c r="E29" s="89">
        <v>3.6259999999999999</v>
      </c>
      <c r="F29" s="89"/>
      <c r="G29" s="6"/>
      <c r="H29" s="6"/>
      <c r="I29" s="89"/>
      <c r="J29" s="6"/>
      <c r="K29" s="6"/>
      <c r="L29" s="6"/>
      <c r="M29" s="6"/>
      <c r="N29" s="89">
        <v>2.9790000000000001</v>
      </c>
      <c r="O29" s="89">
        <v>1.4810000000000001</v>
      </c>
    </row>
    <row r="30" spans="1:20">
      <c r="A30" s="6"/>
      <c r="B30" s="89"/>
      <c r="C30" s="89">
        <v>8.8999999999999996E-2</v>
      </c>
      <c r="D30" s="89">
        <v>0.13400000000000001</v>
      </c>
      <c r="E30" s="89">
        <v>3.331</v>
      </c>
      <c r="F30" s="89"/>
      <c r="G30" s="6"/>
      <c r="H30" s="6"/>
      <c r="I30" s="89"/>
      <c r="J30" s="6"/>
      <c r="K30" s="6"/>
      <c r="L30" s="6"/>
      <c r="M30" s="6"/>
      <c r="N30" s="89"/>
      <c r="O30" s="89">
        <v>1.5309999999999999</v>
      </c>
    </row>
    <row r="31" spans="1:20">
      <c r="A31" s="45"/>
      <c r="B31" s="90"/>
      <c r="C31" s="90">
        <v>8.8999999999999996E-2</v>
      </c>
      <c r="D31" s="90">
        <v>0.14599999999999999</v>
      </c>
      <c r="E31" s="90">
        <v>3.056</v>
      </c>
      <c r="F31" s="90"/>
      <c r="G31" s="45"/>
      <c r="H31" s="45"/>
      <c r="I31" s="90"/>
      <c r="J31" s="45"/>
      <c r="K31" s="45"/>
      <c r="L31" s="45"/>
      <c r="M31" s="45"/>
      <c r="N31" s="90"/>
      <c r="O31" s="90"/>
    </row>
    <row r="32" spans="1:20">
      <c r="A32" s="6" t="s">
        <v>219</v>
      </c>
      <c r="B32" s="84"/>
      <c r="C32" s="89"/>
      <c r="D32" s="89"/>
      <c r="E32" s="84">
        <v>3.7639999999999998</v>
      </c>
      <c r="F32" s="89"/>
      <c r="G32" s="6"/>
      <c r="H32" s="6"/>
      <c r="I32" s="89"/>
      <c r="J32" s="6"/>
      <c r="K32" s="6"/>
      <c r="L32" s="6"/>
      <c r="M32" s="6"/>
      <c r="N32" s="89">
        <v>3.01</v>
      </c>
      <c r="O32" s="89">
        <v>0.96499999999999997</v>
      </c>
    </row>
    <row r="33" spans="1:15">
      <c r="A33" s="6"/>
      <c r="B33" s="84"/>
      <c r="C33" s="89"/>
      <c r="D33" s="89"/>
      <c r="E33" s="89">
        <v>2.8690000000000002</v>
      </c>
      <c r="F33" s="89"/>
      <c r="G33" s="6"/>
      <c r="H33" s="6"/>
      <c r="I33" s="89"/>
      <c r="J33" s="6"/>
      <c r="K33" s="6"/>
      <c r="L33" s="6"/>
      <c r="M33" s="6"/>
      <c r="N33" s="89">
        <v>3.3730000000000002</v>
      </c>
      <c r="O33" s="89">
        <v>1.1890000000000001</v>
      </c>
    </row>
    <row r="34" spans="1:15">
      <c r="A34" s="6"/>
      <c r="B34" s="84"/>
      <c r="C34" s="89"/>
      <c r="D34" s="89"/>
      <c r="E34" s="89">
        <v>3.032</v>
      </c>
      <c r="F34" s="89"/>
      <c r="G34" s="6"/>
      <c r="H34" s="6"/>
      <c r="I34" s="89"/>
      <c r="J34" s="6"/>
      <c r="K34" s="6"/>
      <c r="L34" s="6"/>
      <c r="M34" s="6"/>
      <c r="N34" s="89">
        <v>3.3940000000000001</v>
      </c>
      <c r="O34" s="89">
        <v>1.264</v>
      </c>
    </row>
    <row r="35" spans="1:15">
      <c r="A35" s="6"/>
      <c r="B35" s="84"/>
      <c r="C35" s="89"/>
      <c r="D35" s="89"/>
      <c r="E35" s="89">
        <v>3.601</v>
      </c>
      <c r="F35" s="89"/>
      <c r="G35" s="6"/>
      <c r="H35" s="6"/>
      <c r="I35" s="89"/>
      <c r="J35" s="6"/>
      <c r="K35" s="6"/>
      <c r="L35" s="6"/>
      <c r="M35" s="6"/>
      <c r="N35" s="89">
        <v>3.1890000000000001</v>
      </c>
      <c r="O35" s="89"/>
    </row>
    <row r="36" spans="1:15">
      <c r="A36" s="6"/>
      <c r="B36" s="84"/>
      <c r="C36" s="89"/>
      <c r="D36" s="89"/>
      <c r="E36" s="89">
        <v>2.8340000000000001</v>
      </c>
      <c r="F36" s="89"/>
      <c r="G36" s="6"/>
      <c r="H36" s="6"/>
      <c r="I36" s="89"/>
      <c r="J36" s="6"/>
      <c r="K36" s="6"/>
      <c r="L36" s="6"/>
      <c r="M36" s="6"/>
      <c r="N36" s="89">
        <v>2.8919999999999999</v>
      </c>
      <c r="O36" s="89"/>
    </row>
    <row r="37" spans="1:15">
      <c r="A37" s="45"/>
      <c r="B37" s="90"/>
      <c r="C37" s="145"/>
      <c r="D37" s="90"/>
      <c r="E37" s="90"/>
      <c r="F37" s="90"/>
      <c r="G37" s="45"/>
      <c r="H37" s="45"/>
      <c r="I37" s="90"/>
      <c r="J37" s="45"/>
      <c r="K37" s="45"/>
      <c r="L37" s="45"/>
      <c r="M37" s="45"/>
      <c r="N37" s="90">
        <v>3.4279999999999999</v>
      </c>
      <c r="O37" s="90"/>
    </row>
    <row r="38" spans="1:15">
      <c r="A38" s="6" t="s">
        <v>220</v>
      </c>
      <c r="B38" s="89">
        <v>37</v>
      </c>
      <c r="C38" s="89">
        <v>7.8E-2</v>
      </c>
      <c r="D38" s="89">
        <v>0.09</v>
      </c>
      <c r="E38" s="89"/>
      <c r="F38" s="89"/>
      <c r="G38" s="143"/>
      <c r="H38" s="6"/>
      <c r="I38" s="89"/>
      <c r="J38" s="6"/>
      <c r="K38" s="6"/>
      <c r="L38" s="6"/>
      <c r="M38" s="6"/>
      <c r="N38" s="89"/>
      <c r="O38" s="89"/>
    </row>
    <row r="39" spans="1:15">
      <c r="A39" s="6"/>
      <c r="B39" s="89"/>
      <c r="C39" s="89">
        <v>0.09</v>
      </c>
      <c r="D39" s="89">
        <v>0.10100000000000001</v>
      </c>
      <c r="E39" s="89"/>
      <c r="F39" s="89"/>
      <c r="G39" s="143"/>
      <c r="H39" s="6"/>
      <c r="I39" s="89"/>
      <c r="J39" s="6"/>
      <c r="K39" s="6"/>
      <c r="L39" s="6"/>
      <c r="M39" s="6"/>
      <c r="N39" s="89"/>
      <c r="O39" s="89"/>
    </row>
    <row r="40" spans="1:15">
      <c r="A40" s="6"/>
      <c r="B40" s="89"/>
      <c r="C40" s="89">
        <v>9.6000000000000002E-2</v>
      </c>
      <c r="D40" s="89">
        <v>0.123</v>
      </c>
      <c r="E40" s="89"/>
      <c r="F40" s="89"/>
      <c r="G40" s="143"/>
      <c r="H40" s="6"/>
      <c r="I40" s="89"/>
      <c r="J40" s="6"/>
      <c r="K40" s="6"/>
      <c r="L40" s="6"/>
      <c r="M40" s="6"/>
      <c r="N40" s="89"/>
      <c r="O40" s="89"/>
    </row>
    <row r="41" spans="1:15">
      <c r="A41" s="45"/>
      <c r="B41" s="90"/>
      <c r="C41" s="90">
        <v>9.2999999999999999E-2</v>
      </c>
      <c r="D41" s="90">
        <v>0.105</v>
      </c>
      <c r="E41" s="90"/>
      <c r="F41" s="90"/>
      <c r="G41" s="60"/>
      <c r="H41" s="45"/>
      <c r="I41" s="90"/>
      <c r="J41" s="45"/>
      <c r="K41" s="45"/>
      <c r="L41" s="45"/>
      <c r="M41" s="45"/>
      <c r="N41" s="90"/>
      <c r="O41" s="90"/>
    </row>
    <row r="42" spans="1:15">
      <c r="A42" s="6" t="s">
        <v>221</v>
      </c>
      <c r="B42" s="89">
        <v>41</v>
      </c>
      <c r="C42" s="89">
        <v>0.106</v>
      </c>
      <c r="D42" s="89">
        <v>0.13900000000000001</v>
      </c>
      <c r="E42" s="89"/>
      <c r="F42" s="89"/>
      <c r="G42" s="143"/>
      <c r="H42" s="6"/>
      <c r="I42" s="89"/>
      <c r="J42" s="6"/>
      <c r="K42" s="6"/>
      <c r="L42" s="6"/>
      <c r="M42" s="6"/>
      <c r="N42" s="89">
        <v>3.3740000000000001</v>
      </c>
      <c r="O42" s="89">
        <v>1.7310000000000001</v>
      </c>
    </row>
    <row r="43" spans="1:15">
      <c r="A43" s="6"/>
      <c r="B43" s="89">
        <v>39</v>
      </c>
      <c r="C43" s="89">
        <v>9.6000000000000002E-2</v>
      </c>
      <c r="D43" s="89">
        <v>0.112</v>
      </c>
      <c r="E43" s="89"/>
      <c r="F43" s="89"/>
      <c r="G43" s="143"/>
      <c r="H43" s="6"/>
      <c r="I43" s="89"/>
      <c r="J43" s="6"/>
      <c r="K43" s="6"/>
      <c r="L43" s="6"/>
      <c r="M43" s="6"/>
      <c r="N43" s="89">
        <v>3.6080000000000001</v>
      </c>
      <c r="O43" s="89">
        <v>1.409</v>
      </c>
    </row>
    <row r="44" spans="1:15">
      <c r="A44" s="6"/>
      <c r="B44" s="89">
        <v>43</v>
      </c>
      <c r="C44" s="89">
        <v>8.8999999999999996E-2</v>
      </c>
      <c r="D44" s="89">
        <v>0.11</v>
      </c>
      <c r="E44" s="89"/>
      <c r="F44" s="89"/>
      <c r="G44" s="143"/>
      <c r="H44" s="6"/>
      <c r="I44" s="89"/>
      <c r="J44" s="6"/>
      <c r="K44" s="6"/>
      <c r="L44" s="6"/>
      <c r="M44" s="6"/>
      <c r="N44" s="89">
        <v>3.484</v>
      </c>
      <c r="O44" s="89">
        <v>3.4129999999999998</v>
      </c>
    </row>
    <row r="45" spans="1:15">
      <c r="A45" s="6"/>
      <c r="B45" s="89">
        <v>38</v>
      </c>
      <c r="C45" s="89">
        <v>0.105</v>
      </c>
      <c r="D45" s="89">
        <v>0.14000000000000001</v>
      </c>
      <c r="E45" s="89"/>
      <c r="F45" s="89"/>
      <c r="G45" s="6"/>
      <c r="H45" s="6"/>
      <c r="I45" s="89"/>
      <c r="J45" s="6"/>
      <c r="K45" s="6"/>
      <c r="L45" s="6"/>
      <c r="M45" s="6"/>
      <c r="N45" s="89">
        <v>3.4260000000000002</v>
      </c>
      <c r="O45" s="89">
        <v>1.02</v>
      </c>
    </row>
    <row r="46" spans="1:15">
      <c r="A46" s="6"/>
      <c r="B46" s="89">
        <v>45</v>
      </c>
      <c r="C46" s="89">
        <v>0.127</v>
      </c>
      <c r="D46" s="89">
        <v>0.14899999999999999</v>
      </c>
      <c r="E46" s="89"/>
      <c r="F46" s="89"/>
      <c r="G46" s="6"/>
      <c r="H46" s="6"/>
      <c r="I46" s="89"/>
      <c r="J46" s="6"/>
      <c r="K46" s="6"/>
      <c r="L46" s="6"/>
      <c r="M46" s="6"/>
      <c r="N46" s="89">
        <v>3.335</v>
      </c>
      <c r="O46" s="89">
        <v>2.7229999999999999</v>
      </c>
    </row>
    <row r="47" spans="1:15">
      <c r="A47" s="45"/>
      <c r="B47" s="90">
        <v>39</v>
      </c>
      <c r="C47" s="90">
        <v>9.9000000000000005E-2</v>
      </c>
      <c r="D47" s="90">
        <v>8.7999999999999995E-2</v>
      </c>
      <c r="E47" s="90"/>
      <c r="F47" s="90"/>
      <c r="G47" s="45"/>
      <c r="H47" s="45"/>
      <c r="I47" s="90"/>
      <c r="J47" s="45"/>
      <c r="K47" s="45"/>
      <c r="L47" s="45"/>
      <c r="M47" s="45"/>
      <c r="N47" s="90">
        <v>3.4460000000000002</v>
      </c>
      <c r="O47" s="90">
        <v>2.61</v>
      </c>
    </row>
    <row r="48" spans="1:15">
      <c r="A48" s="6" t="s">
        <v>223</v>
      </c>
      <c r="B48" s="89"/>
      <c r="C48">
        <v>0.11799999999999999</v>
      </c>
      <c r="D48">
        <v>7.9000000000000001E-2</v>
      </c>
      <c r="E48" s="89"/>
      <c r="F48">
        <v>0.16500000000000001</v>
      </c>
      <c r="G48" s="6"/>
      <c r="H48" s="143"/>
      <c r="I48" s="89"/>
      <c r="J48" s="6"/>
      <c r="K48" s="6"/>
      <c r="L48" s="6"/>
      <c r="M48" s="6"/>
      <c r="N48" s="89"/>
      <c r="O48" s="89"/>
    </row>
    <row r="49" spans="1:15">
      <c r="A49" s="6"/>
      <c r="B49" s="144"/>
      <c r="C49">
        <v>0.115</v>
      </c>
      <c r="D49">
        <v>8.7999999999999995E-2</v>
      </c>
      <c r="E49" s="89"/>
      <c r="F49">
        <v>0.14699999999999999</v>
      </c>
      <c r="G49" s="6"/>
      <c r="H49" s="143"/>
      <c r="I49" s="89"/>
      <c r="J49" s="6"/>
      <c r="K49" s="6"/>
      <c r="L49" s="6"/>
      <c r="M49" s="6"/>
      <c r="N49" s="89"/>
      <c r="O49" s="89"/>
    </row>
    <row r="50" spans="1:15">
      <c r="A50" s="6"/>
      <c r="B50" s="144"/>
      <c r="C50">
        <v>0.11799999999999999</v>
      </c>
      <c r="D50">
        <v>9.4E-2</v>
      </c>
      <c r="E50" s="89"/>
      <c r="F50">
        <v>0.157</v>
      </c>
      <c r="G50" s="6"/>
      <c r="H50" s="143"/>
      <c r="I50" s="144"/>
      <c r="J50" s="6"/>
      <c r="K50" s="6"/>
      <c r="L50" s="6"/>
      <c r="M50" s="6"/>
      <c r="N50" s="89"/>
      <c r="O50" s="89"/>
    </row>
    <row r="51" spans="1:15">
      <c r="A51" s="6"/>
      <c r="B51" s="144"/>
      <c r="C51">
        <v>0.112</v>
      </c>
      <c r="D51">
        <v>0.112</v>
      </c>
      <c r="E51" s="89"/>
      <c r="F51">
        <v>0.17100000000000001</v>
      </c>
      <c r="G51" s="6"/>
      <c r="H51" s="143"/>
      <c r="I51" s="144"/>
      <c r="J51" s="6"/>
      <c r="K51" s="6"/>
      <c r="L51" s="6"/>
      <c r="M51" s="6"/>
      <c r="N51" s="89"/>
      <c r="O51" s="89"/>
    </row>
    <row r="52" spans="1:15">
      <c r="A52" s="6"/>
      <c r="B52" s="144"/>
      <c r="C52">
        <v>0.10100000000000001</v>
      </c>
      <c r="D52">
        <v>9.7000000000000003E-2</v>
      </c>
      <c r="E52" s="89"/>
      <c r="F52">
        <v>0.218</v>
      </c>
      <c r="G52" s="6"/>
      <c r="H52" s="6"/>
      <c r="I52" s="89"/>
      <c r="J52" s="6"/>
      <c r="K52" s="6"/>
      <c r="L52" s="6"/>
      <c r="M52" s="6"/>
      <c r="N52" s="89"/>
      <c r="O52" s="89"/>
    </row>
    <row r="53" spans="1:15">
      <c r="A53" s="6"/>
      <c r="B53" s="89"/>
      <c r="C53">
        <v>0.11600000000000001</v>
      </c>
      <c r="D53">
        <v>8.5000000000000006E-2</v>
      </c>
      <c r="E53" s="89"/>
      <c r="F53">
        <v>0.151</v>
      </c>
      <c r="G53" s="6"/>
      <c r="H53" s="143"/>
      <c r="I53" s="89"/>
      <c r="J53" s="6"/>
      <c r="K53" s="6"/>
      <c r="L53" s="6"/>
      <c r="M53" s="6"/>
      <c r="N53" s="89"/>
      <c r="O53" s="89"/>
    </row>
    <row r="54" spans="1:15">
      <c r="A54" s="6"/>
      <c r="B54" s="89"/>
      <c r="C54" s="89"/>
      <c r="D54" s="89"/>
      <c r="E54" s="89"/>
      <c r="F54">
        <v>0.16200000000000001</v>
      </c>
      <c r="G54" s="6"/>
      <c r="H54" s="143"/>
      <c r="I54" s="89"/>
      <c r="J54" s="6"/>
      <c r="K54" s="6"/>
      <c r="L54" s="6"/>
      <c r="M54" s="6"/>
      <c r="N54" s="89"/>
      <c r="O54" s="89"/>
    </row>
    <row r="55" spans="1:15">
      <c r="A55" s="6"/>
      <c r="B55" s="89"/>
      <c r="C55" s="89"/>
      <c r="D55" s="89"/>
      <c r="E55" s="89"/>
      <c r="F55">
        <v>0.188</v>
      </c>
      <c r="G55" s="6"/>
      <c r="H55" s="143"/>
      <c r="I55" s="89"/>
      <c r="J55" s="6"/>
      <c r="K55" s="6"/>
      <c r="L55" s="6"/>
      <c r="M55" s="6"/>
      <c r="N55" s="89"/>
      <c r="O55" s="89"/>
    </row>
    <row r="56" spans="1:15">
      <c r="A56" s="45"/>
      <c r="B56" s="90"/>
      <c r="C56" s="90"/>
      <c r="D56" s="90"/>
      <c r="E56" s="90"/>
      <c r="F56" s="45">
        <v>0.13200000000000001</v>
      </c>
      <c r="G56" s="45"/>
      <c r="H56" s="60"/>
      <c r="I56" s="90"/>
      <c r="J56" s="45"/>
      <c r="K56" s="45"/>
      <c r="L56" s="45"/>
      <c r="M56" s="45"/>
      <c r="N56" s="90"/>
      <c r="O56" s="90"/>
    </row>
    <row r="57" spans="1:15">
      <c r="A57" s="6" t="s">
        <v>222</v>
      </c>
      <c r="B57" s="89"/>
      <c r="C57" s="89"/>
      <c r="D57" s="89"/>
      <c r="E57" s="89"/>
      <c r="F57" s="89"/>
      <c r="G57" s="6"/>
      <c r="H57" s="143"/>
      <c r="I57" s="89">
        <v>89</v>
      </c>
      <c r="J57" s="6"/>
      <c r="K57" s="6"/>
      <c r="L57" s="6"/>
      <c r="M57" s="6"/>
      <c r="N57" s="89"/>
      <c r="O57" s="89"/>
    </row>
    <row r="58" spans="1:15">
      <c r="A58" s="6" t="s">
        <v>224</v>
      </c>
      <c r="B58" s="89"/>
      <c r="C58" s="89"/>
      <c r="D58" s="89"/>
      <c r="E58" s="89"/>
      <c r="F58" s="89"/>
      <c r="G58" s="6"/>
      <c r="H58" s="143"/>
      <c r="I58" s="89">
        <v>62</v>
      </c>
      <c r="J58" s="6"/>
      <c r="K58" s="6"/>
      <c r="L58" s="6"/>
      <c r="M58" s="6"/>
      <c r="N58" s="89"/>
      <c r="O58" s="89"/>
    </row>
    <row r="59" spans="1:15">
      <c r="A59" s="6" t="s">
        <v>225</v>
      </c>
      <c r="B59" s="89"/>
      <c r="C59" s="89"/>
      <c r="D59" s="89"/>
      <c r="E59" s="89"/>
      <c r="F59" s="89"/>
      <c r="G59" s="6"/>
      <c r="H59" s="143"/>
      <c r="I59" s="89">
        <v>58</v>
      </c>
      <c r="J59" s="6"/>
      <c r="K59" s="6"/>
      <c r="L59" s="6"/>
      <c r="M59" s="6"/>
      <c r="N59" s="89"/>
      <c r="O59" s="89"/>
    </row>
    <row r="60" spans="1:15">
      <c r="A60" s="6"/>
      <c r="B60" s="89"/>
      <c r="C60" s="89"/>
      <c r="D60" s="89"/>
      <c r="E60" s="89"/>
      <c r="F60" s="89"/>
      <c r="G60" s="6"/>
      <c r="H60" s="143"/>
      <c r="I60" s="89"/>
      <c r="J60" s="6"/>
      <c r="K60" s="6"/>
      <c r="L60" s="6"/>
      <c r="M60" s="6"/>
      <c r="N60" s="89"/>
      <c r="O60" s="89"/>
    </row>
    <row r="61" spans="1:15">
      <c r="A61" s="6"/>
      <c r="B61" s="89"/>
      <c r="C61" s="89"/>
      <c r="D61" s="89"/>
      <c r="E61" s="89"/>
      <c r="F61" s="89"/>
      <c r="G61" s="6"/>
      <c r="H61" s="143"/>
      <c r="I61" s="89"/>
      <c r="J61" s="6"/>
      <c r="K61" s="6"/>
      <c r="L61" s="6"/>
      <c r="M61" s="6"/>
      <c r="N61" s="89"/>
      <c r="O61" s="89"/>
    </row>
    <row r="62" spans="1:15">
      <c r="A62" s="6"/>
      <c r="B62" s="89"/>
      <c r="C62" s="89"/>
      <c r="D62" s="89"/>
      <c r="E62" s="89"/>
      <c r="F62" s="89"/>
      <c r="G62" s="6"/>
      <c r="H62" s="143"/>
      <c r="I62" s="89"/>
      <c r="J62" s="6"/>
      <c r="K62" s="6"/>
      <c r="L62" s="6"/>
      <c r="M62" s="6"/>
      <c r="N62" s="89"/>
      <c r="O62" s="89"/>
    </row>
    <row r="63" spans="1:15">
      <c r="A63" s="45"/>
      <c r="B63" s="90"/>
      <c r="C63" s="90"/>
      <c r="D63" s="90"/>
      <c r="E63" s="90"/>
      <c r="F63" s="90"/>
      <c r="G63" s="45"/>
      <c r="H63" s="60"/>
      <c r="I63" s="90"/>
      <c r="J63" s="45"/>
      <c r="K63" s="45"/>
      <c r="L63" s="45"/>
      <c r="M63" s="45"/>
      <c r="N63" s="90"/>
      <c r="O63" s="90"/>
    </row>
    <row r="64" spans="1:15">
      <c r="B64" s="82">
        <f>AVERAGE(B28:B63)</f>
        <v>40.285714285714285</v>
      </c>
      <c r="C64" s="82">
        <f t="shared" ref="C64:F64" si="1">AVERAGE(C28:C63)</f>
        <v>0.1002</v>
      </c>
      <c r="D64" s="82">
        <f t="shared" si="1"/>
        <v>0.1096</v>
      </c>
      <c r="E64" s="82">
        <f>AVERAGE(E28:E63)</f>
        <v>3.3032222222222223</v>
      </c>
      <c r="F64" s="82">
        <f t="shared" si="1"/>
        <v>0.16566666666666663</v>
      </c>
      <c r="G64" s="82">
        <f>(E64/F64)*(F64*D64)</f>
        <v>0.36203315555555554</v>
      </c>
      <c r="H64" s="82">
        <f>G64*B64</f>
        <v>14.584764266666665</v>
      </c>
      <c r="I64" s="82">
        <f>AVERAGE(I28:I63)*2</f>
        <v>139.33333333333334</v>
      </c>
      <c r="J64" s="82">
        <f>H64*I64</f>
        <v>2032.1438211555555</v>
      </c>
      <c r="K64" s="82"/>
      <c r="L64" s="82"/>
      <c r="M64" s="82"/>
      <c r="N64" s="82">
        <f t="shared" ref="N64" si="2">AVERAGE(N28:N63)</f>
        <v>3.2782142857142857</v>
      </c>
      <c r="O64" s="82">
        <f t="shared" ref="O64" si="3">AVERAGE(O28:O63)</f>
        <v>1.6827500000000002</v>
      </c>
    </row>
    <row r="68" spans="4:9">
      <c r="E68" s="59"/>
    </row>
    <row r="69" spans="4:9">
      <c r="E69" s="59"/>
    </row>
    <row r="70" spans="4:9">
      <c r="D70" s="59"/>
      <c r="E70" s="59"/>
      <c r="I70" s="59"/>
    </row>
    <row r="71" spans="4:9">
      <c r="D71" s="59"/>
      <c r="E71" s="59"/>
      <c r="I71" s="59"/>
    </row>
    <row r="72" spans="4:9">
      <c r="D72" s="59"/>
      <c r="E72" s="59"/>
      <c r="I72" s="59"/>
    </row>
    <row r="73" spans="4:9">
      <c r="D73" s="59"/>
      <c r="E73" s="59"/>
      <c r="I73" s="59"/>
    </row>
    <row r="74" spans="4:9">
      <c r="D74" s="59"/>
      <c r="I74" s="59"/>
    </row>
    <row r="75" spans="4:9">
      <c r="D75" s="59"/>
      <c r="I75" s="59"/>
    </row>
    <row r="76" spans="4:9">
      <c r="D76" s="59"/>
    </row>
    <row r="77" spans="4:9">
      <c r="D77" s="59"/>
    </row>
    <row r="78" spans="4:9">
      <c r="D78" s="59"/>
    </row>
    <row r="1048531" spans="1:1">
      <c r="A1048531" s="5"/>
    </row>
  </sheetData>
  <pageMargins left="0.75" right="0.75" top="1" bottom="1" header="0.5" footer="0.5"/>
  <pageSetup orientation="portrait" horizontalDpi="4294967292" verticalDpi="4294967292"/>
  <drawing r:id="rId1"/>
  <legacyDrawing r:id="rId2"/>
  <extLst>
    <ext xmlns:mx="http://schemas.microsoft.com/office/mac/excel/2008/main" uri="{64002731-A6B0-56B0-2670-7721B7C09600}">
      <mx:PLV Mode="0" OnePage="0" WScale="0"/>
    </ext>
  </extLst>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1:P71"/>
  <sheetViews>
    <sheetView workbookViewId="0">
      <selection activeCell="I21" sqref="I21"/>
    </sheetView>
  </sheetViews>
  <sheetFormatPr baseColWidth="10" defaultColWidth="11" defaultRowHeight="15" x14ac:dyDescent="0"/>
  <cols>
    <col min="1" max="1" width="22.6640625" customWidth="1"/>
    <col min="15" max="15" width="15" customWidth="1"/>
  </cols>
  <sheetData>
    <row r="1" spans="1:16">
      <c r="D1" s="138"/>
      <c r="E1" s="3" t="s">
        <v>185</v>
      </c>
    </row>
    <row r="2" spans="1:16">
      <c r="D2" s="139"/>
      <c r="E2" s="3" t="s">
        <v>186</v>
      </c>
    </row>
    <row r="3" spans="1:16">
      <c r="A3" t="s">
        <v>171</v>
      </c>
    </row>
    <row r="4" spans="1:16">
      <c r="A4" t="s">
        <v>174</v>
      </c>
    </row>
    <row r="5" spans="1:16">
      <c r="A5" t="s">
        <v>177</v>
      </c>
    </row>
    <row r="6" spans="1:16">
      <c r="A6" t="s">
        <v>175</v>
      </c>
    </row>
    <row r="7" spans="1:16">
      <c r="A7" t="s">
        <v>176</v>
      </c>
    </row>
    <row r="9" spans="1:16" ht="133">
      <c r="A9" s="62" t="s">
        <v>4</v>
      </c>
      <c r="B9" s="62" t="s">
        <v>14</v>
      </c>
      <c r="C9" s="62" t="s">
        <v>52</v>
      </c>
      <c r="D9" s="63" t="s">
        <v>53</v>
      </c>
      <c r="E9" s="63" t="s">
        <v>120</v>
      </c>
      <c r="F9" s="63" t="s">
        <v>173</v>
      </c>
      <c r="G9" s="63" t="s">
        <v>172</v>
      </c>
      <c r="H9" s="62" t="s">
        <v>54</v>
      </c>
      <c r="I9" s="62" t="s">
        <v>55</v>
      </c>
      <c r="J9" s="62" t="s">
        <v>56</v>
      </c>
      <c r="K9" s="62" t="s">
        <v>57</v>
      </c>
      <c r="L9" s="62" t="s">
        <v>58</v>
      </c>
      <c r="M9" s="62" t="s">
        <v>59</v>
      </c>
      <c r="N9" s="62" t="s">
        <v>60</v>
      </c>
      <c r="O9" s="62" t="s">
        <v>61</v>
      </c>
      <c r="P9" s="62" t="s">
        <v>121</v>
      </c>
    </row>
    <row r="10" spans="1:16">
      <c r="A10" s="6" t="str">
        <f>A18</f>
        <v>Hal-cho-RR-10</v>
      </c>
      <c r="B10" s="89">
        <f>B71</f>
        <v>493533.14500000002</v>
      </c>
      <c r="C10" s="89">
        <f t="shared" ref="C10" si="0">C71</f>
        <v>53</v>
      </c>
      <c r="D10" s="89">
        <f>(D71+E71)/2</f>
        <v>28.518047169811318</v>
      </c>
      <c r="E10" s="82">
        <f>1000000/B10</f>
        <v>2.026206365531944</v>
      </c>
      <c r="F10" s="82">
        <f>C10*E10*0.75</f>
        <v>80.541703029894776</v>
      </c>
      <c r="G10" s="82">
        <f t="shared" ref="G10" si="1">F10*33.33</f>
        <v>2684.4549619863928</v>
      </c>
      <c r="H10" s="89">
        <f>D10/2</f>
        <v>14.259023584905659</v>
      </c>
      <c r="I10" s="89">
        <f>H71</f>
        <v>638.80994612864674</v>
      </c>
      <c r="J10" s="82">
        <f t="shared" ref="J10" si="2">I10*G10/1000000</f>
        <v>1.7148565296513061</v>
      </c>
      <c r="K10" s="82">
        <f t="shared" ref="K10" si="3">I10*C10</f>
        <v>33856.927144818277</v>
      </c>
      <c r="L10" s="82">
        <f t="shared" ref="L10" si="4">K10/B10</f>
        <v>6.8601121298182063E-2</v>
      </c>
      <c r="M10" s="82">
        <f>4*PI()*(H10^2)</f>
        <v>2554.9913768936467</v>
      </c>
      <c r="N10" s="82">
        <f>(4/3)*PI()*(H10^3)</f>
        <v>12143.894100785697</v>
      </c>
      <c r="O10" s="82">
        <f>N10/1000000000</f>
        <v>1.2143894100785697E-5</v>
      </c>
      <c r="P10" s="82">
        <f>M10*G10/1000000</f>
        <v>6.8587592795345964</v>
      </c>
    </row>
    <row r="11" spans="1:16">
      <c r="A11" s="6"/>
      <c r="B11" s="89"/>
      <c r="C11" s="89"/>
      <c r="D11" s="89"/>
      <c r="E11" s="84"/>
      <c r="F11" s="84"/>
      <c r="G11" s="84"/>
      <c r="H11" s="89"/>
      <c r="I11" s="89"/>
      <c r="J11" s="84"/>
      <c r="K11" s="84"/>
      <c r="L11" s="84"/>
      <c r="M11" s="84"/>
      <c r="N11" s="84"/>
      <c r="O11" s="84"/>
      <c r="P11" s="84"/>
    </row>
    <row r="12" spans="1:16">
      <c r="A12" s="6"/>
      <c r="B12" s="89"/>
      <c r="C12" s="89"/>
      <c r="D12" s="89"/>
      <c r="E12" s="84"/>
      <c r="F12" s="84"/>
      <c r="G12" s="84"/>
      <c r="H12" s="89"/>
      <c r="I12" s="89"/>
      <c r="J12" s="84"/>
      <c r="K12" s="84"/>
      <c r="L12" s="84"/>
      <c r="M12" s="84"/>
      <c r="N12" s="84"/>
      <c r="O12" s="84"/>
      <c r="P12" s="84"/>
    </row>
    <row r="13" spans="1:16">
      <c r="A13" s="5"/>
      <c r="B13" s="85">
        <f t="shared" ref="B13:P13" si="5">AVERAGE(B10:B10)</f>
        <v>493533.14500000002</v>
      </c>
      <c r="C13" s="85">
        <f t="shared" si="5"/>
        <v>53</v>
      </c>
      <c r="D13" s="85">
        <f t="shared" si="5"/>
        <v>28.518047169811318</v>
      </c>
      <c r="E13" s="85">
        <f t="shared" si="5"/>
        <v>2.026206365531944</v>
      </c>
      <c r="F13" s="85">
        <f t="shared" si="5"/>
        <v>80.541703029894776</v>
      </c>
      <c r="G13" s="85">
        <f t="shared" si="5"/>
        <v>2684.4549619863928</v>
      </c>
      <c r="H13" s="85">
        <f t="shared" si="5"/>
        <v>14.259023584905659</v>
      </c>
      <c r="I13" s="85">
        <f t="shared" si="5"/>
        <v>638.80994612864674</v>
      </c>
      <c r="J13" s="85">
        <f t="shared" si="5"/>
        <v>1.7148565296513061</v>
      </c>
      <c r="K13" s="85">
        <f t="shared" si="5"/>
        <v>33856.927144818277</v>
      </c>
      <c r="L13" s="85">
        <f t="shared" si="5"/>
        <v>6.8601121298182063E-2</v>
      </c>
      <c r="M13" s="85">
        <f t="shared" si="5"/>
        <v>2554.9913768936467</v>
      </c>
      <c r="N13" s="85">
        <f t="shared" si="5"/>
        <v>12143.894100785697</v>
      </c>
      <c r="O13" s="85">
        <f t="shared" si="5"/>
        <v>1.2143894100785697E-5</v>
      </c>
      <c r="P13" s="85">
        <f t="shared" si="5"/>
        <v>6.8587592795345964</v>
      </c>
    </row>
    <row r="17" spans="1:8" ht="45">
      <c r="A17" s="2" t="s">
        <v>4</v>
      </c>
      <c r="B17" s="2" t="s">
        <v>14</v>
      </c>
      <c r="C17" s="2" t="s">
        <v>62</v>
      </c>
      <c r="D17" s="2" t="s">
        <v>63</v>
      </c>
      <c r="E17" s="2" t="s">
        <v>209</v>
      </c>
      <c r="F17" s="2" t="s">
        <v>54</v>
      </c>
      <c r="G17" s="2" t="s">
        <v>210</v>
      </c>
      <c r="H17" s="2" t="s">
        <v>55</v>
      </c>
    </row>
    <row r="18" spans="1:8">
      <c r="A18" s="28" t="s">
        <v>208</v>
      </c>
      <c r="D18">
        <v>29.798999999999999</v>
      </c>
      <c r="E18">
        <v>21.547999999999998</v>
      </c>
      <c r="F18" s="82">
        <f>D18/2</f>
        <v>14.8995</v>
      </c>
      <c r="G18" s="82">
        <f>E18/2</f>
        <v>10.773999999999999</v>
      </c>
      <c r="H18" s="82">
        <f>PI()*F18*G18</f>
        <v>504.31111306204389</v>
      </c>
    </row>
    <row r="19" spans="1:8">
      <c r="D19">
        <v>43.923999999999999</v>
      </c>
      <c r="E19">
        <v>23.734999999999999</v>
      </c>
      <c r="F19" s="82">
        <f t="shared" ref="F19:F50" si="6">D19/2</f>
        <v>21.962</v>
      </c>
      <c r="G19" s="82">
        <f t="shared" ref="G19:G70" si="7">E19/2</f>
        <v>11.8675</v>
      </c>
      <c r="H19" s="82">
        <f t="shared" ref="H19:H70" si="8">PI()*F19*G19</f>
        <v>818.80596963146502</v>
      </c>
    </row>
    <row r="20" spans="1:8">
      <c r="D20">
        <v>35.918999999999997</v>
      </c>
      <c r="E20">
        <v>30.771000000000001</v>
      </c>
      <c r="F20" s="82">
        <f t="shared" si="6"/>
        <v>17.959499999999998</v>
      </c>
      <c r="G20" s="82">
        <f t="shared" si="7"/>
        <v>15.3855</v>
      </c>
      <c r="H20" s="82">
        <f t="shared" si="8"/>
        <v>868.07196145474552</v>
      </c>
    </row>
    <row r="21" spans="1:8">
      <c r="D21">
        <v>25.896999999999998</v>
      </c>
      <c r="E21">
        <v>16.715</v>
      </c>
      <c r="F21" s="82">
        <f t="shared" si="6"/>
        <v>12.948499999999999</v>
      </c>
      <c r="G21" s="82">
        <f t="shared" ref="G21" si="9">E21/2</f>
        <v>8.3574999999999999</v>
      </c>
      <c r="H21" s="82">
        <f t="shared" ref="H21" si="10">PI()*F21*G21</f>
        <v>339.97401100987463</v>
      </c>
    </row>
    <row r="22" spans="1:8">
      <c r="D22">
        <v>29.178999999999998</v>
      </c>
      <c r="E22">
        <v>21.632000000000001</v>
      </c>
      <c r="F22" s="82">
        <f t="shared" si="6"/>
        <v>14.589499999999999</v>
      </c>
      <c r="G22" s="82">
        <f t="shared" si="7"/>
        <v>10.816000000000001</v>
      </c>
      <c r="H22" s="82">
        <f t="shared" si="8"/>
        <v>495.74342126743431</v>
      </c>
    </row>
    <row r="23" spans="1:8">
      <c r="D23">
        <v>41.613</v>
      </c>
      <c r="E23">
        <v>23.533000000000001</v>
      </c>
      <c r="F23" s="82">
        <f t="shared" si="6"/>
        <v>20.8065</v>
      </c>
      <c r="G23" s="82">
        <f t="shared" si="7"/>
        <v>11.766500000000001</v>
      </c>
      <c r="H23" s="82">
        <f t="shared" si="8"/>
        <v>769.12371521078751</v>
      </c>
    </row>
    <row r="24" spans="1:8">
      <c r="D24">
        <v>32.685000000000002</v>
      </c>
      <c r="E24">
        <v>27.777000000000001</v>
      </c>
      <c r="F24" s="82">
        <f t="shared" si="6"/>
        <v>16.342500000000001</v>
      </c>
      <c r="G24" s="82">
        <f t="shared" si="7"/>
        <v>13.888500000000001</v>
      </c>
      <c r="H24" s="82">
        <f t="shared" si="8"/>
        <v>713.05611638762275</v>
      </c>
    </row>
    <row r="25" spans="1:8">
      <c r="D25">
        <v>32.042999999999999</v>
      </c>
      <c r="E25">
        <v>20.989000000000001</v>
      </c>
      <c r="F25" s="82">
        <f t="shared" si="6"/>
        <v>16.0215</v>
      </c>
      <c r="G25" s="82">
        <f t="shared" si="7"/>
        <v>10.4945</v>
      </c>
      <c r="H25" s="82">
        <f t="shared" si="8"/>
        <v>528.21994869778598</v>
      </c>
    </row>
    <row r="26" spans="1:8">
      <c r="D26">
        <v>22.308</v>
      </c>
      <c r="E26">
        <v>20.248000000000001</v>
      </c>
      <c r="F26" s="82">
        <f t="shared" si="6"/>
        <v>11.154</v>
      </c>
      <c r="G26" s="82">
        <f t="shared" si="7"/>
        <v>10.124000000000001</v>
      </c>
      <c r="H26" s="82">
        <f t="shared" si="8"/>
        <v>354.75836881421498</v>
      </c>
    </row>
    <row r="27" spans="1:8">
      <c r="D27">
        <v>36.542999999999999</v>
      </c>
      <c r="E27">
        <v>20.957000000000001</v>
      </c>
      <c r="F27" s="82">
        <f t="shared" si="6"/>
        <v>18.2715</v>
      </c>
      <c r="G27" s="82">
        <f t="shared" si="7"/>
        <v>10.4785</v>
      </c>
      <c r="H27" s="82">
        <f t="shared" si="8"/>
        <v>601.48277216703559</v>
      </c>
    </row>
    <row r="28" spans="1:8">
      <c r="D28">
        <v>22.460999999999999</v>
      </c>
      <c r="E28">
        <v>19.699000000000002</v>
      </c>
      <c r="F28" s="82">
        <f t="shared" si="6"/>
        <v>11.230499999999999</v>
      </c>
      <c r="G28" s="82">
        <f t="shared" si="7"/>
        <v>9.8495000000000008</v>
      </c>
      <c r="H28" s="82">
        <f t="shared" si="8"/>
        <v>347.50667368883262</v>
      </c>
    </row>
    <row r="29" spans="1:8">
      <c r="D29">
        <v>35.683</v>
      </c>
      <c r="E29">
        <v>19.872</v>
      </c>
      <c r="F29" s="82">
        <f t="shared" si="6"/>
        <v>17.8415</v>
      </c>
      <c r="G29" s="82">
        <f t="shared" si="7"/>
        <v>9.9359999999999999</v>
      </c>
      <c r="H29" s="82">
        <f t="shared" si="8"/>
        <v>556.92000686916549</v>
      </c>
    </row>
    <row r="30" spans="1:8">
      <c r="D30">
        <v>28.16</v>
      </c>
      <c r="E30">
        <v>20.157</v>
      </c>
      <c r="F30" s="82">
        <f t="shared" si="6"/>
        <v>14.08</v>
      </c>
      <c r="G30" s="82">
        <f t="shared" si="7"/>
        <v>10.0785</v>
      </c>
      <c r="H30" s="82">
        <f t="shared" si="8"/>
        <v>445.80858515360256</v>
      </c>
    </row>
    <row r="31" spans="1:8">
      <c r="D31">
        <v>47.417999999999999</v>
      </c>
      <c r="E31">
        <v>26.567</v>
      </c>
      <c r="F31" s="82">
        <f t="shared" si="6"/>
        <v>23.709</v>
      </c>
      <c r="G31" s="82">
        <f t="shared" si="7"/>
        <v>13.2835</v>
      </c>
      <c r="H31" s="82">
        <f t="shared" si="8"/>
        <v>989.40848264497799</v>
      </c>
    </row>
    <row r="32" spans="1:8">
      <c r="D32">
        <v>33.430999999999997</v>
      </c>
      <c r="E32">
        <v>27.998000000000001</v>
      </c>
      <c r="F32" s="82">
        <f t="shared" si="6"/>
        <v>16.715499999999999</v>
      </c>
      <c r="G32" s="82">
        <f t="shared" si="7"/>
        <v>13.999000000000001</v>
      </c>
      <c r="H32" s="82">
        <f t="shared" si="8"/>
        <v>735.13357472312146</v>
      </c>
    </row>
    <row r="33" spans="4:8">
      <c r="D33">
        <v>35.548999999999999</v>
      </c>
      <c r="E33">
        <v>19.594999999999999</v>
      </c>
      <c r="F33" s="82">
        <f t="shared" si="6"/>
        <v>17.7745</v>
      </c>
      <c r="G33" s="82">
        <f t="shared" si="7"/>
        <v>9.7974999999999994</v>
      </c>
      <c r="H33" s="82">
        <f t="shared" si="8"/>
        <v>547.09473789151832</v>
      </c>
    </row>
    <row r="34" spans="4:8">
      <c r="D34">
        <v>29.062000000000001</v>
      </c>
      <c r="E34">
        <v>31.936</v>
      </c>
      <c r="F34" s="82">
        <f t="shared" si="6"/>
        <v>14.531000000000001</v>
      </c>
      <c r="G34" s="82">
        <f t="shared" si="7"/>
        <v>15.968</v>
      </c>
      <c r="H34" s="82">
        <f t="shared" si="8"/>
        <v>728.94691013783449</v>
      </c>
    </row>
    <row r="35" spans="4:8">
      <c r="D35">
        <v>39.871000000000002</v>
      </c>
      <c r="E35">
        <v>30.434999999999999</v>
      </c>
      <c r="F35" s="82">
        <f t="shared" si="6"/>
        <v>19.935500000000001</v>
      </c>
      <c r="G35" s="82">
        <f t="shared" si="7"/>
        <v>15.217499999999999</v>
      </c>
      <c r="H35" s="82">
        <f t="shared" si="8"/>
        <v>953.0601606097664</v>
      </c>
    </row>
    <row r="36" spans="4:8">
      <c r="D36">
        <v>35.134999999999998</v>
      </c>
      <c r="E36">
        <v>29.125</v>
      </c>
      <c r="F36" s="82">
        <f t="shared" si="6"/>
        <v>17.567499999999999</v>
      </c>
      <c r="G36" s="82">
        <f t="shared" si="7"/>
        <v>14.5625</v>
      </c>
      <c r="H36" s="82">
        <f t="shared" si="8"/>
        <v>803.70334021698216</v>
      </c>
    </row>
    <row r="37" spans="4:8">
      <c r="D37">
        <v>27.702999999999999</v>
      </c>
      <c r="E37">
        <v>22.972999999999999</v>
      </c>
      <c r="F37" s="82">
        <f t="shared" si="6"/>
        <v>13.8515</v>
      </c>
      <c r="G37" s="82">
        <f t="shared" si="7"/>
        <v>11.486499999999999</v>
      </c>
      <c r="H37" s="82">
        <f t="shared" si="8"/>
        <v>499.8438994701325</v>
      </c>
    </row>
    <row r="38" spans="4:8">
      <c r="D38">
        <v>21.622</v>
      </c>
      <c r="E38">
        <v>23.734999999999999</v>
      </c>
      <c r="F38" s="82">
        <f t="shared" si="6"/>
        <v>10.811</v>
      </c>
      <c r="G38" s="82">
        <f t="shared" si="7"/>
        <v>11.8675</v>
      </c>
      <c r="H38" s="82">
        <f t="shared" si="8"/>
        <v>403.06490017693147</v>
      </c>
    </row>
    <row r="39" spans="4:8">
      <c r="D39">
        <v>28.864999999999998</v>
      </c>
      <c r="E39">
        <v>28.706</v>
      </c>
      <c r="F39" s="82">
        <f t="shared" si="6"/>
        <v>14.432499999999999</v>
      </c>
      <c r="G39" s="82">
        <f t="shared" si="7"/>
        <v>14.353</v>
      </c>
      <c r="H39" s="82">
        <f t="shared" si="8"/>
        <v>650.77988931953155</v>
      </c>
    </row>
    <row r="40" spans="4:8">
      <c r="D40">
        <v>33.17</v>
      </c>
      <c r="E40">
        <v>24.06</v>
      </c>
      <c r="F40" s="82">
        <f t="shared" si="6"/>
        <v>16.585000000000001</v>
      </c>
      <c r="G40" s="82">
        <f t="shared" si="7"/>
        <v>12.03</v>
      </c>
      <c r="H40" s="82">
        <f t="shared" si="8"/>
        <v>626.8028693422342</v>
      </c>
    </row>
    <row r="41" spans="4:8">
      <c r="D41">
        <v>29.736999999999998</v>
      </c>
      <c r="E41">
        <v>18.966999999999999</v>
      </c>
      <c r="F41" s="82">
        <f t="shared" si="6"/>
        <v>14.868499999999999</v>
      </c>
      <c r="G41" s="82">
        <f t="shared" si="7"/>
        <v>9.4834999999999994</v>
      </c>
      <c r="H41" s="82">
        <f t="shared" si="8"/>
        <v>442.98159080294505</v>
      </c>
    </row>
    <row r="42" spans="4:8">
      <c r="D42">
        <v>40.11</v>
      </c>
      <c r="E42">
        <v>17.850999999999999</v>
      </c>
      <c r="F42" s="82">
        <f t="shared" si="6"/>
        <v>20.055</v>
      </c>
      <c r="G42" s="82">
        <f t="shared" si="7"/>
        <v>8.9254999999999995</v>
      </c>
      <c r="H42" s="82">
        <f t="shared" si="8"/>
        <v>562.34792027994285</v>
      </c>
    </row>
    <row r="43" spans="4:8">
      <c r="D43">
        <v>21.632000000000001</v>
      </c>
      <c r="E43">
        <v>18.38</v>
      </c>
      <c r="F43" s="82">
        <f t="shared" si="6"/>
        <v>10.816000000000001</v>
      </c>
      <c r="G43" s="82">
        <f t="shared" si="7"/>
        <v>9.19</v>
      </c>
      <c r="H43" s="82">
        <f t="shared" si="8"/>
        <v>312.27129383787803</v>
      </c>
    </row>
    <row r="44" spans="4:8">
      <c r="D44">
        <v>23.062000000000001</v>
      </c>
      <c r="E44">
        <v>21.757999999999999</v>
      </c>
      <c r="F44" s="82">
        <f t="shared" si="6"/>
        <v>11.531000000000001</v>
      </c>
      <c r="G44" s="82">
        <f t="shared" si="7"/>
        <v>10.879</v>
      </c>
      <c r="H44" s="82">
        <f t="shared" si="8"/>
        <v>394.09944348246916</v>
      </c>
    </row>
    <row r="45" spans="4:8">
      <c r="D45">
        <v>40.143999999999998</v>
      </c>
      <c r="E45">
        <v>18.919</v>
      </c>
      <c r="F45" s="82">
        <f t="shared" si="6"/>
        <v>20.071999999999999</v>
      </c>
      <c r="G45" s="82">
        <f t="shared" si="7"/>
        <v>9.4595000000000002</v>
      </c>
      <c r="H45" s="82">
        <f t="shared" si="8"/>
        <v>596.4976026235305</v>
      </c>
    </row>
    <row r="46" spans="4:8">
      <c r="D46">
        <v>20.370999999999999</v>
      </c>
      <c r="E46">
        <v>20.27</v>
      </c>
      <c r="F46" s="82">
        <f t="shared" si="6"/>
        <v>10.185499999999999</v>
      </c>
      <c r="G46" s="82">
        <f t="shared" si="7"/>
        <v>10.135</v>
      </c>
      <c r="H46" s="82">
        <f t="shared" si="8"/>
        <v>324.30674314776212</v>
      </c>
    </row>
    <row r="47" spans="4:8">
      <c r="D47">
        <v>41.701000000000001</v>
      </c>
      <c r="E47">
        <v>32.503</v>
      </c>
      <c r="F47" s="82">
        <f t="shared" si="6"/>
        <v>20.8505</v>
      </c>
      <c r="G47" s="82">
        <f t="shared" si="7"/>
        <v>16.2515</v>
      </c>
      <c r="H47" s="82">
        <f t="shared" si="8"/>
        <v>1064.5346420511378</v>
      </c>
    </row>
    <row r="48" spans="4:8">
      <c r="D48">
        <v>27.027000000000001</v>
      </c>
      <c r="E48">
        <v>35.97</v>
      </c>
      <c r="F48" s="82">
        <f t="shared" si="6"/>
        <v>13.513500000000001</v>
      </c>
      <c r="G48" s="82">
        <f t="shared" si="7"/>
        <v>17.984999999999999</v>
      </c>
      <c r="H48" s="82">
        <f t="shared" si="8"/>
        <v>763.53361315227767</v>
      </c>
    </row>
    <row r="49" spans="4:8">
      <c r="D49">
        <v>29.109000000000002</v>
      </c>
      <c r="E49">
        <v>17.888999999999999</v>
      </c>
      <c r="F49" s="82">
        <f t="shared" si="6"/>
        <v>14.554500000000001</v>
      </c>
      <c r="G49" s="82">
        <f t="shared" si="7"/>
        <v>8.9444999999999997</v>
      </c>
      <c r="H49" s="82">
        <f t="shared" si="8"/>
        <v>408.98109326969848</v>
      </c>
    </row>
    <row r="50" spans="4:8">
      <c r="D50">
        <v>31.763999999999999</v>
      </c>
      <c r="E50">
        <v>32.838000000000001</v>
      </c>
      <c r="F50" s="82">
        <f t="shared" si="6"/>
        <v>15.882</v>
      </c>
      <c r="G50" s="82">
        <f t="shared" si="7"/>
        <v>16.419</v>
      </c>
      <c r="H50" s="82">
        <f t="shared" si="8"/>
        <v>819.22230291469668</v>
      </c>
    </row>
    <row r="51" spans="4:8">
      <c r="D51">
        <v>40.636000000000003</v>
      </c>
      <c r="E51">
        <v>26.282</v>
      </c>
      <c r="F51" s="82">
        <f t="shared" ref="F51:F70" si="11">D51/2</f>
        <v>20.318000000000001</v>
      </c>
      <c r="G51" s="82">
        <f t="shared" si="7"/>
        <v>13.141</v>
      </c>
      <c r="H51" s="82">
        <f t="shared" si="8"/>
        <v>838.80158797781132</v>
      </c>
    </row>
    <row r="52" spans="4:8">
      <c r="D52">
        <v>27.702999999999999</v>
      </c>
      <c r="E52">
        <v>23.649000000000001</v>
      </c>
      <c r="F52" s="82">
        <f t="shared" si="11"/>
        <v>13.8515</v>
      </c>
      <c r="G52" s="82">
        <f t="shared" si="7"/>
        <v>11.8245</v>
      </c>
      <c r="H52" s="82">
        <f t="shared" si="8"/>
        <v>514.55222994685778</v>
      </c>
    </row>
    <row r="53" spans="4:8">
      <c r="D53">
        <v>32.106999999999999</v>
      </c>
      <c r="E53">
        <v>17.774000000000001</v>
      </c>
      <c r="F53" s="82">
        <f t="shared" si="11"/>
        <v>16.0535</v>
      </c>
      <c r="G53" s="82">
        <f t="shared" si="7"/>
        <v>8.8870000000000005</v>
      </c>
      <c r="H53" s="82">
        <f t="shared" si="8"/>
        <v>448.20302696355611</v>
      </c>
    </row>
    <row r="54" spans="4:8">
      <c r="D54">
        <v>39.281999999999996</v>
      </c>
      <c r="E54">
        <v>31.175999999999998</v>
      </c>
      <c r="F54" s="82">
        <f t="shared" si="11"/>
        <v>19.640999999999998</v>
      </c>
      <c r="G54" s="82">
        <f t="shared" si="7"/>
        <v>15.587999999999999</v>
      </c>
      <c r="H54" s="82">
        <f t="shared" si="8"/>
        <v>961.84228416714109</v>
      </c>
    </row>
    <row r="55" spans="4:8">
      <c r="D55">
        <v>32.042999999999999</v>
      </c>
      <c r="E55">
        <v>26.652999999999999</v>
      </c>
      <c r="F55" s="82">
        <f t="shared" si="11"/>
        <v>16.0215</v>
      </c>
      <c r="G55" s="82">
        <f t="shared" si="7"/>
        <v>13.326499999999999</v>
      </c>
      <c r="H55" s="82">
        <f t="shared" si="8"/>
        <v>670.76308031073836</v>
      </c>
    </row>
    <row r="56" spans="4:8">
      <c r="D56">
        <v>33.218000000000004</v>
      </c>
      <c r="E56">
        <v>24.324000000000002</v>
      </c>
      <c r="F56" s="82">
        <f t="shared" si="11"/>
        <v>16.609000000000002</v>
      </c>
      <c r="G56" s="82">
        <f t="shared" si="7"/>
        <v>12.162000000000001</v>
      </c>
      <c r="H56" s="82">
        <f t="shared" si="8"/>
        <v>634.59750000779718</v>
      </c>
    </row>
    <row r="57" spans="4:8">
      <c r="D57">
        <v>23.879000000000001</v>
      </c>
      <c r="E57">
        <v>15.715999999999999</v>
      </c>
      <c r="F57" s="82">
        <f t="shared" si="11"/>
        <v>11.939500000000001</v>
      </c>
      <c r="G57" s="82">
        <f t="shared" si="7"/>
        <v>7.8579999999999997</v>
      </c>
      <c r="H57" s="82">
        <f t="shared" si="8"/>
        <v>294.7460794410527</v>
      </c>
    </row>
    <row r="58" spans="4:8">
      <c r="D58">
        <v>41.454000000000001</v>
      </c>
      <c r="E58">
        <v>33.978999999999999</v>
      </c>
      <c r="F58" s="82">
        <f t="shared" si="11"/>
        <v>20.727</v>
      </c>
      <c r="G58" s="82">
        <f t="shared" si="7"/>
        <v>16.9895</v>
      </c>
      <c r="H58" s="82">
        <f t="shared" si="8"/>
        <v>1106.2847300214708</v>
      </c>
    </row>
    <row r="59" spans="4:8">
      <c r="D59">
        <v>38.252000000000002</v>
      </c>
      <c r="E59">
        <v>30.367999999999999</v>
      </c>
      <c r="F59" s="82">
        <f t="shared" si="11"/>
        <v>19.126000000000001</v>
      </c>
      <c r="G59" s="82">
        <f t="shared" si="7"/>
        <v>15.183999999999999</v>
      </c>
      <c r="H59" s="82">
        <f t="shared" si="8"/>
        <v>912.34735898940653</v>
      </c>
    </row>
    <row r="60" spans="4:8">
      <c r="D60">
        <v>39.281999999999996</v>
      </c>
      <c r="E60">
        <v>35.037999999999997</v>
      </c>
      <c r="F60" s="82">
        <f t="shared" si="11"/>
        <v>19.640999999999998</v>
      </c>
      <c r="G60" s="82">
        <f t="shared" si="7"/>
        <v>17.518999999999998</v>
      </c>
      <c r="H60" s="82">
        <f t="shared" si="8"/>
        <v>1080.9927493151235</v>
      </c>
    </row>
    <row r="61" spans="4:8">
      <c r="D61">
        <v>31.843</v>
      </c>
      <c r="E61">
        <v>24.492999999999999</v>
      </c>
      <c r="F61" s="82">
        <f t="shared" si="11"/>
        <v>15.9215</v>
      </c>
      <c r="G61" s="82">
        <f t="shared" si="7"/>
        <v>12.246499999999999</v>
      </c>
      <c r="H61" s="82">
        <f t="shared" si="8"/>
        <v>612.55606003207163</v>
      </c>
    </row>
    <row r="62" spans="4:8">
      <c r="D62">
        <v>18.256</v>
      </c>
      <c r="E62">
        <v>19.218</v>
      </c>
      <c r="F62" s="82">
        <f t="shared" si="11"/>
        <v>9.1280000000000001</v>
      </c>
      <c r="G62" s="82">
        <f t="shared" si="7"/>
        <v>9.609</v>
      </c>
      <c r="H62" s="82">
        <f t="shared" si="8"/>
        <v>275.55208244256698</v>
      </c>
    </row>
    <row r="63" spans="4:8">
      <c r="D63">
        <v>40.161999999999999</v>
      </c>
      <c r="E63">
        <v>30.134</v>
      </c>
      <c r="F63" s="82">
        <f t="shared" si="11"/>
        <v>20.081</v>
      </c>
      <c r="G63" s="82">
        <f t="shared" si="7"/>
        <v>15.067</v>
      </c>
      <c r="H63" s="82">
        <f t="shared" si="8"/>
        <v>950.52161473019089</v>
      </c>
    </row>
    <row r="64" spans="4:8">
      <c r="D64">
        <v>29.062000000000001</v>
      </c>
      <c r="E64">
        <v>24.324000000000002</v>
      </c>
      <c r="F64" s="82">
        <f t="shared" si="11"/>
        <v>14.531000000000001</v>
      </c>
      <c r="G64" s="82">
        <f t="shared" si="7"/>
        <v>12.162000000000001</v>
      </c>
      <c r="H64" s="82">
        <f t="shared" si="8"/>
        <v>555.20117241334822</v>
      </c>
    </row>
    <row r="65" spans="2:8">
      <c r="D65">
        <v>38.436</v>
      </c>
      <c r="E65">
        <v>29.73</v>
      </c>
      <c r="F65" s="82">
        <f t="shared" si="11"/>
        <v>19.218</v>
      </c>
      <c r="G65" s="82">
        <f t="shared" si="7"/>
        <v>14.865</v>
      </c>
      <c r="H65" s="82">
        <f t="shared" si="8"/>
        <v>897.47627202207673</v>
      </c>
    </row>
    <row r="66" spans="2:8">
      <c r="D66">
        <v>31.198</v>
      </c>
      <c r="E66">
        <v>32.213999999999999</v>
      </c>
      <c r="F66" s="82">
        <f t="shared" si="11"/>
        <v>15.599</v>
      </c>
      <c r="G66" s="82">
        <f t="shared" si="7"/>
        <v>16.106999999999999</v>
      </c>
      <c r="H66" s="82">
        <f t="shared" si="8"/>
        <v>789.33487116051299</v>
      </c>
    </row>
    <row r="67" spans="2:8">
      <c r="D67">
        <v>22.663</v>
      </c>
      <c r="E67">
        <v>19.347999999999999</v>
      </c>
      <c r="F67" s="82">
        <f t="shared" si="11"/>
        <v>11.3315</v>
      </c>
      <c r="G67" s="82">
        <f t="shared" si="7"/>
        <v>9.6739999999999995</v>
      </c>
      <c r="H67" s="82">
        <f t="shared" si="8"/>
        <v>344.38431150927363</v>
      </c>
    </row>
    <row r="68" spans="2:8">
      <c r="D68">
        <v>30.593</v>
      </c>
      <c r="E68">
        <v>21.163</v>
      </c>
      <c r="F68" s="82">
        <f t="shared" si="11"/>
        <v>15.2965</v>
      </c>
      <c r="G68" s="82">
        <f t="shared" si="7"/>
        <v>10.5815</v>
      </c>
      <c r="H68" s="82">
        <f t="shared" si="8"/>
        <v>508.49791908927023</v>
      </c>
    </row>
    <row r="69" spans="2:8">
      <c r="D69">
        <v>34.881</v>
      </c>
      <c r="E69">
        <v>27.931999999999999</v>
      </c>
      <c r="F69" s="82">
        <f t="shared" si="11"/>
        <v>17.4405</v>
      </c>
      <c r="G69" s="82">
        <f t="shared" si="7"/>
        <v>13.965999999999999</v>
      </c>
      <c r="H69" s="82">
        <f t="shared" si="8"/>
        <v>765.21036126211129</v>
      </c>
    </row>
    <row r="70" spans="2:8">
      <c r="D70">
        <v>41.305</v>
      </c>
      <c r="E70">
        <v>22.338000000000001</v>
      </c>
      <c r="F70" s="82">
        <f t="shared" si="11"/>
        <v>20.6525</v>
      </c>
      <c r="G70" s="82">
        <f t="shared" si="7"/>
        <v>11.169</v>
      </c>
      <c r="H70" s="82">
        <f t="shared" si="8"/>
        <v>724.66417950592177</v>
      </c>
    </row>
    <row r="71" spans="2:8">
      <c r="B71" s="9">
        <v>493533.14500000002</v>
      </c>
      <c r="C71" s="85">
        <f>COUNT(D18:D70)</f>
        <v>53</v>
      </c>
      <c r="D71" s="85">
        <f>AVERAGE(D18:D70)</f>
        <v>32.433056603773579</v>
      </c>
      <c r="E71" s="85">
        <f>AVERAGE(E18:E70)</f>
        <v>24.603037735849057</v>
      </c>
      <c r="F71" s="85">
        <f>AVERAGE(F18:F70)</f>
        <v>16.21652830188679</v>
      </c>
      <c r="G71" s="85">
        <f>AVERAGE(G18:G70)</f>
        <v>12.301518867924528</v>
      </c>
      <c r="H71" s="85">
        <f>AVERAGE(H18:H70)</f>
        <v>638.80994612864674</v>
      </c>
    </row>
  </sheetData>
  <pageMargins left="0.75" right="0.75" top="1" bottom="1" header="0.5" footer="0.5"/>
  <pageSetup orientation="portrait" horizontalDpi="4294967292" verticalDpi="4294967292"/>
  <drawing r:id="rId1"/>
  <legacyDrawing r:id="rId2"/>
  <extLst>
    <ext xmlns:mx="http://schemas.microsoft.com/office/mac/excel/2008/main" uri="{64002731-A6B0-56B0-2670-7721B7C09600}">
      <mx:PLV Mode="0" OnePage="0" WScale="0"/>
    </ext>
  </extLst>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1:S149"/>
  <sheetViews>
    <sheetView workbookViewId="0">
      <selection activeCell="Q22" sqref="Q22"/>
    </sheetView>
  </sheetViews>
  <sheetFormatPr baseColWidth="10" defaultRowHeight="15" x14ac:dyDescent="0"/>
  <cols>
    <col min="1" max="1" width="16.83203125" customWidth="1"/>
    <col min="16" max="16" width="15.5" customWidth="1"/>
  </cols>
  <sheetData>
    <row r="1" spans="1:19">
      <c r="D1" s="138"/>
      <c r="E1" s="3" t="s">
        <v>185</v>
      </c>
    </row>
    <row r="2" spans="1:19">
      <c r="A2" t="s">
        <v>131</v>
      </c>
      <c r="D2" s="139"/>
      <c r="E2" s="3" t="s">
        <v>186</v>
      </c>
    </row>
    <row r="4" spans="1:19">
      <c r="A4" t="s">
        <v>130</v>
      </c>
    </row>
    <row r="5" spans="1:19">
      <c r="A5" t="s">
        <v>132</v>
      </c>
    </row>
    <row r="6" spans="1:19">
      <c r="A6" t="s">
        <v>114</v>
      </c>
      <c r="B6">
        <v>250</v>
      </c>
    </row>
    <row r="7" spans="1:19">
      <c r="A7" t="s">
        <v>25</v>
      </c>
      <c r="B7">
        <v>100</v>
      </c>
    </row>
    <row r="8" spans="1:19">
      <c r="A8" t="s">
        <v>26</v>
      </c>
      <c r="B8">
        <v>0</v>
      </c>
    </row>
    <row r="9" spans="1:19">
      <c r="A9" t="s">
        <v>133</v>
      </c>
    </row>
    <row r="10" spans="1:19">
      <c r="A10" t="s">
        <v>134</v>
      </c>
    </row>
    <row r="11" spans="1:19">
      <c r="A11" s="4" t="s">
        <v>17</v>
      </c>
      <c r="B11" s="15"/>
      <c r="C11" s="15"/>
      <c r="D11" s="15"/>
      <c r="E11" s="15"/>
      <c r="F11" s="15"/>
      <c r="G11" s="15"/>
      <c r="H11" s="15"/>
      <c r="I11" s="15"/>
      <c r="J11" s="15"/>
      <c r="K11" s="15"/>
      <c r="L11" s="15"/>
    </row>
    <row r="12" spans="1:19" ht="45">
      <c r="A12" s="51" t="s">
        <v>18</v>
      </c>
      <c r="B12" s="51"/>
      <c r="C12" s="51" t="s">
        <v>19</v>
      </c>
      <c r="D12" s="51"/>
      <c r="E12" s="51" t="s">
        <v>20</v>
      </c>
      <c r="F12" s="51"/>
      <c r="G12" s="51" t="s">
        <v>6</v>
      </c>
      <c r="H12" s="51" t="s">
        <v>21</v>
      </c>
      <c r="I12" s="51" t="s">
        <v>22</v>
      </c>
      <c r="J12" s="51" t="s">
        <v>8</v>
      </c>
      <c r="K12" s="71" t="s">
        <v>23</v>
      </c>
      <c r="L12" s="71" t="s">
        <v>24</v>
      </c>
      <c r="M12" s="71" t="s">
        <v>107</v>
      </c>
      <c r="O12" s="52" t="s">
        <v>82</v>
      </c>
      <c r="P12" s="53" t="s">
        <v>4</v>
      </c>
      <c r="Q12" s="52" t="s">
        <v>83</v>
      </c>
      <c r="R12" s="52" t="s">
        <v>25</v>
      </c>
      <c r="S12" s="52" t="s">
        <v>26</v>
      </c>
    </row>
    <row r="13" spans="1:19">
      <c r="A13" s="107" t="str">
        <f>A38</f>
        <v>Hal-ost-RR-14</v>
      </c>
      <c r="B13" s="107" t="s">
        <v>138</v>
      </c>
      <c r="C13" s="107">
        <f>C56</f>
        <v>411.13499999999999</v>
      </c>
      <c r="D13" s="107">
        <f t="shared" ref="D13:L13" si="0">D56</f>
        <v>411.13499999999999</v>
      </c>
      <c r="E13" s="107">
        <f t="shared" si="0"/>
        <v>205.5675</v>
      </c>
      <c r="F13" s="107">
        <f t="shared" si="0"/>
        <v>205.5675</v>
      </c>
      <c r="G13" s="107">
        <f t="shared" si="0"/>
        <v>132757.41310733411</v>
      </c>
      <c r="H13" s="107">
        <f t="shared" si="0"/>
        <v>1</v>
      </c>
      <c r="I13" s="107">
        <f t="shared" si="0"/>
        <v>132757.41310733411</v>
      </c>
      <c r="J13" s="107">
        <f t="shared" si="0"/>
        <v>1012838</v>
      </c>
      <c r="K13" s="107">
        <f t="shared" si="0"/>
        <v>0.13107467641156248</v>
      </c>
      <c r="L13" s="107">
        <f t="shared" si="0"/>
        <v>13.107467641156248</v>
      </c>
      <c r="M13" s="107">
        <f>K13*100</f>
        <v>13.107467641156248</v>
      </c>
      <c r="O13" s="52"/>
      <c r="P13" s="52" t="str">
        <f>A38</f>
        <v>Hal-ost-RR-14</v>
      </c>
      <c r="Q13" s="100"/>
      <c r="R13">
        <v>492.56200000000001</v>
      </c>
      <c r="S13">
        <v>212.97800000000001</v>
      </c>
    </row>
    <row r="14" spans="1:19">
      <c r="A14" s="89"/>
      <c r="B14" s="89" t="s">
        <v>137</v>
      </c>
      <c r="C14" s="89">
        <f t="shared" ref="C14:L15" si="1">C57</f>
        <v>129.16866666666667</v>
      </c>
      <c r="D14" s="89">
        <f t="shared" si="1"/>
        <v>129.16866666666667</v>
      </c>
      <c r="E14" s="89">
        <f t="shared" si="1"/>
        <v>64.584333333333333</v>
      </c>
      <c r="F14" s="89">
        <f t="shared" si="1"/>
        <v>64.584333333333333</v>
      </c>
      <c r="G14" s="89">
        <f t="shared" si="1"/>
        <v>13168.824085510894</v>
      </c>
      <c r="H14" s="89">
        <f t="shared" si="1"/>
        <v>3</v>
      </c>
      <c r="I14" s="89">
        <f t="shared" si="1"/>
        <v>39506.472256532681</v>
      </c>
      <c r="J14" s="89">
        <f t="shared" si="1"/>
        <v>1012838</v>
      </c>
      <c r="K14" s="89">
        <f t="shared" si="1"/>
        <v>3.9005716863439843E-2</v>
      </c>
      <c r="L14" s="89">
        <f t="shared" si="1"/>
        <v>3.9005716863439845</v>
      </c>
      <c r="M14" s="89">
        <f t="shared" ref="M14:M19" si="2">K14*100</f>
        <v>3.9005716863439845</v>
      </c>
      <c r="O14" s="52"/>
      <c r="P14" s="52" t="str">
        <f>A63</f>
        <v>Hal-ost-RR-34</v>
      </c>
      <c r="Q14" s="100"/>
      <c r="R14" s="100"/>
      <c r="S14">
        <v>305.95499999999998</v>
      </c>
    </row>
    <row r="15" spans="1:19">
      <c r="A15" s="90"/>
      <c r="B15" s="90" t="s">
        <v>136</v>
      </c>
      <c r="C15" s="90">
        <f t="shared" si="1"/>
        <v>45.93976923076923</v>
      </c>
      <c r="D15" s="90">
        <f t="shared" si="1"/>
        <v>45.93976923076923</v>
      </c>
      <c r="E15" s="90">
        <f t="shared" si="1"/>
        <v>22.969884615384615</v>
      </c>
      <c r="F15" s="90">
        <f t="shared" si="1"/>
        <v>22.969884615384615</v>
      </c>
      <c r="G15" s="90">
        <f t="shared" si="1"/>
        <v>2304.1441009336122</v>
      </c>
      <c r="H15" s="90">
        <f t="shared" si="1"/>
        <v>13</v>
      </c>
      <c r="I15" s="90">
        <f t="shared" si="1"/>
        <v>29953.873312136959</v>
      </c>
      <c r="J15" s="90">
        <f t="shared" si="1"/>
        <v>1012838</v>
      </c>
      <c r="K15" s="90">
        <f t="shared" si="1"/>
        <v>2.9574199735927127E-2</v>
      </c>
      <c r="L15" s="90">
        <f t="shared" si="1"/>
        <v>2.9574199735927129</v>
      </c>
      <c r="M15" s="90">
        <f t="shared" si="2"/>
        <v>2.9574199735927129</v>
      </c>
      <c r="O15" s="52"/>
      <c r="P15" s="52" t="str">
        <f>A99</f>
        <v>Hal-cho-RR-10</v>
      </c>
      <c r="Q15" s="100"/>
      <c r="R15">
        <v>600.08100000000002</v>
      </c>
      <c r="S15">
        <v>187.934</v>
      </c>
    </row>
    <row r="16" spans="1:19">
      <c r="A16" s="89" t="str">
        <f>A63</f>
        <v>Hal-ost-RR-34</v>
      </c>
      <c r="B16" s="84" t="s">
        <v>137</v>
      </c>
      <c r="C16" s="89">
        <f>C94</f>
        <v>175.19100000000003</v>
      </c>
      <c r="D16" s="89">
        <f t="shared" ref="D16:L17" si="3">D94</f>
        <v>175.19100000000003</v>
      </c>
      <c r="E16" s="89">
        <f t="shared" si="3"/>
        <v>87.595500000000015</v>
      </c>
      <c r="F16" s="89">
        <f t="shared" si="3"/>
        <v>87.595500000000015</v>
      </c>
      <c r="G16" s="89">
        <f t="shared" si="3"/>
        <v>26424.841420550038</v>
      </c>
      <c r="H16" s="89">
        <f t="shared" si="3"/>
        <v>10</v>
      </c>
      <c r="I16" s="89">
        <f t="shared" si="3"/>
        <v>264248.41420550039</v>
      </c>
      <c r="J16" s="89">
        <f t="shared" si="3"/>
        <v>3797741.9350000001</v>
      </c>
      <c r="K16" s="89">
        <f t="shared" si="3"/>
        <v>6.9580402967928459E-2</v>
      </c>
      <c r="L16" s="89">
        <f t="shared" si="3"/>
        <v>6.9580402967928459</v>
      </c>
      <c r="M16" s="89">
        <f t="shared" si="2"/>
        <v>6.9580402967928459</v>
      </c>
      <c r="O16" s="52"/>
      <c r="P16" s="52"/>
      <c r="Q16" s="100"/>
      <c r="R16" s="100"/>
      <c r="S16">
        <v>110.282</v>
      </c>
    </row>
    <row r="17" spans="1:19">
      <c r="A17" s="90"/>
      <c r="B17" s="90" t="s">
        <v>136</v>
      </c>
      <c r="C17" s="90">
        <f>C95</f>
        <v>68.088210526315791</v>
      </c>
      <c r="D17" s="90">
        <f t="shared" si="3"/>
        <v>68.088210526315791</v>
      </c>
      <c r="E17" s="90">
        <f t="shared" si="3"/>
        <v>34.044105263157896</v>
      </c>
      <c r="F17" s="90">
        <f t="shared" si="3"/>
        <v>34.044105263157896</v>
      </c>
      <c r="G17" s="90">
        <f t="shared" si="3"/>
        <v>3848.9061208603639</v>
      </c>
      <c r="H17" s="90">
        <f t="shared" si="3"/>
        <v>19</v>
      </c>
      <c r="I17" s="90">
        <f t="shared" si="3"/>
        <v>73129.216296346916</v>
      </c>
      <c r="J17" s="90">
        <f t="shared" si="3"/>
        <v>3797741.9350000001</v>
      </c>
      <c r="K17" s="90">
        <f t="shared" si="3"/>
        <v>1.9255973035552484E-2</v>
      </c>
      <c r="L17" s="90">
        <f t="shared" si="3"/>
        <v>1.9255973035552483</v>
      </c>
      <c r="M17" s="142">
        <f t="shared" si="2"/>
        <v>1.9255973035552483</v>
      </c>
      <c r="O17" s="52"/>
      <c r="P17" s="52"/>
      <c r="Q17" s="100"/>
      <c r="R17" s="100"/>
      <c r="S17">
        <v>128.27199999999999</v>
      </c>
    </row>
    <row r="18" spans="1:19">
      <c r="A18" s="89" t="str">
        <f>A99</f>
        <v>Hal-cho-RR-10</v>
      </c>
      <c r="B18" s="89" t="s">
        <v>137</v>
      </c>
      <c r="C18" s="89">
        <f>C148</f>
        <v>159.267</v>
      </c>
      <c r="D18" s="89">
        <f t="shared" ref="D18:L18" si="4">D148</f>
        <v>159.267</v>
      </c>
      <c r="E18" s="89">
        <f t="shared" si="4"/>
        <v>79.633499999999998</v>
      </c>
      <c r="F18" s="89">
        <f t="shared" si="4"/>
        <v>79.633499999999998</v>
      </c>
      <c r="G18" s="89">
        <f t="shared" si="4"/>
        <v>20077.806948194775</v>
      </c>
      <c r="H18" s="89">
        <f t="shared" si="4"/>
        <v>2</v>
      </c>
      <c r="I18" s="89">
        <f t="shared" si="4"/>
        <v>40155.61389638955</v>
      </c>
      <c r="J18" s="89">
        <f t="shared" si="4"/>
        <v>493533.14500000002</v>
      </c>
      <c r="K18" s="89">
        <f t="shared" si="4"/>
        <v>8.1363560488707493E-2</v>
      </c>
      <c r="L18" s="89">
        <f t="shared" si="4"/>
        <v>8.1363560488707485</v>
      </c>
      <c r="M18" s="142">
        <f t="shared" si="2"/>
        <v>8.1363560488707485</v>
      </c>
      <c r="O18" s="52"/>
      <c r="P18" s="52"/>
      <c r="Q18" s="100"/>
      <c r="R18" s="100"/>
      <c r="S18" s="100"/>
    </row>
    <row r="19" spans="1:19">
      <c r="A19" s="89"/>
      <c r="B19" s="89" t="s">
        <v>136</v>
      </c>
      <c r="C19" s="89">
        <f>C149</f>
        <v>41.634822222222219</v>
      </c>
      <c r="D19" s="89">
        <f t="shared" ref="D19:L19" si="5">D149</f>
        <v>41.634822222222219</v>
      </c>
      <c r="E19" s="89">
        <f t="shared" si="5"/>
        <v>20.81741111111111</v>
      </c>
      <c r="F19" s="89">
        <f t="shared" si="5"/>
        <v>20.81741111111111</v>
      </c>
      <c r="G19" s="89">
        <f t="shared" si="5"/>
        <v>1696.8845329139963</v>
      </c>
      <c r="H19" s="89">
        <f t="shared" si="5"/>
        <v>45</v>
      </c>
      <c r="I19" s="89">
        <f t="shared" si="5"/>
        <v>76359.803981129837</v>
      </c>
      <c r="J19" s="89">
        <f t="shared" si="5"/>
        <v>493533.14500000002</v>
      </c>
      <c r="K19" s="89">
        <f t="shared" si="5"/>
        <v>0.15472072089733677</v>
      </c>
      <c r="L19" s="89">
        <f t="shared" si="5"/>
        <v>15.472072089733677</v>
      </c>
      <c r="M19" s="142">
        <f t="shared" si="2"/>
        <v>15.472072089733677</v>
      </c>
      <c r="O19" s="52"/>
      <c r="P19" s="52"/>
      <c r="Q19" s="100"/>
      <c r="R19" s="100"/>
      <c r="S19" s="100"/>
    </row>
    <row r="20" spans="1:19">
      <c r="A20" s="89"/>
      <c r="B20" s="89"/>
      <c r="C20" s="89"/>
      <c r="D20" s="89"/>
      <c r="E20" s="89"/>
      <c r="F20" s="89"/>
      <c r="G20" s="89"/>
      <c r="H20" s="89"/>
      <c r="I20" s="89"/>
      <c r="J20" s="89"/>
      <c r="K20" s="89"/>
      <c r="L20" s="89"/>
      <c r="M20" s="107"/>
      <c r="O20" s="52"/>
      <c r="P20" s="52"/>
      <c r="Q20" s="100"/>
      <c r="R20" s="100"/>
      <c r="S20" s="100"/>
    </row>
    <row r="21" spans="1:19">
      <c r="A21" s="89"/>
      <c r="B21" s="89"/>
      <c r="C21" s="89"/>
      <c r="D21" s="89"/>
      <c r="E21" s="89"/>
      <c r="F21" s="89"/>
      <c r="G21" s="89"/>
      <c r="H21" s="89"/>
      <c r="I21" s="89"/>
      <c r="J21" s="89"/>
      <c r="K21" s="89"/>
      <c r="L21" s="89"/>
      <c r="M21" s="89"/>
      <c r="P21" t="s">
        <v>106</v>
      </c>
      <c r="Q21" s="82">
        <f>'Incurrent Canals'!Q21</f>
        <v>930.02700000000004</v>
      </c>
      <c r="R21" s="82">
        <f>AVERAGE(R13:R20)</f>
        <v>546.32150000000001</v>
      </c>
      <c r="S21" s="82">
        <f>AVERAGE(S13:S20)</f>
        <v>189.08420000000001</v>
      </c>
    </row>
    <row r="22" spans="1:19">
      <c r="A22" s="89"/>
      <c r="B22" s="89"/>
      <c r="C22" s="89"/>
      <c r="D22" s="89"/>
      <c r="E22" s="89"/>
      <c r="F22" s="89"/>
      <c r="G22" s="89"/>
      <c r="H22" s="89"/>
      <c r="I22" s="89"/>
      <c r="J22" s="89"/>
      <c r="K22" s="89"/>
      <c r="L22" s="89"/>
      <c r="M22" s="89"/>
    </row>
    <row r="23" spans="1:19">
      <c r="A23" s="89"/>
      <c r="B23" s="89"/>
      <c r="C23" s="89"/>
      <c r="D23" s="89"/>
      <c r="E23" s="89"/>
      <c r="F23" s="89"/>
      <c r="G23" s="89"/>
      <c r="H23" s="89"/>
      <c r="I23" s="89"/>
      <c r="J23" s="89"/>
      <c r="K23" s="89"/>
      <c r="L23" s="89"/>
      <c r="M23" s="89"/>
    </row>
    <row r="24" spans="1:19">
      <c r="A24" s="89"/>
      <c r="B24" s="89"/>
      <c r="C24" s="89"/>
      <c r="D24" s="89"/>
      <c r="E24" s="89"/>
      <c r="F24" s="89"/>
      <c r="G24" s="89"/>
      <c r="H24" s="89"/>
      <c r="I24" s="89"/>
      <c r="J24" s="89"/>
      <c r="K24" s="89"/>
      <c r="L24" s="89"/>
      <c r="M24" s="89"/>
    </row>
    <row r="25" spans="1:19">
      <c r="A25" s="89"/>
      <c r="B25" s="89"/>
      <c r="C25" s="89"/>
      <c r="D25" s="89"/>
      <c r="E25" s="89"/>
      <c r="F25" s="89"/>
      <c r="G25" s="89"/>
      <c r="H25" s="89"/>
      <c r="I25" s="89"/>
      <c r="J25" s="89"/>
      <c r="K25" s="89"/>
      <c r="L25" s="89"/>
      <c r="M25" s="89"/>
    </row>
    <row r="26" spans="1:19">
      <c r="A26" s="89"/>
      <c r="B26" s="89"/>
      <c r="C26" s="89"/>
      <c r="D26" s="89"/>
      <c r="E26" s="89"/>
      <c r="F26" s="89"/>
      <c r="G26" s="89"/>
      <c r="H26" s="89"/>
      <c r="I26" s="89"/>
      <c r="J26" s="89"/>
      <c r="K26" s="89"/>
      <c r="L26" s="89"/>
      <c r="M26" s="89"/>
    </row>
    <row r="27" spans="1:19">
      <c r="A27" s="89"/>
      <c r="B27" s="89"/>
      <c r="C27" s="89"/>
      <c r="D27" s="89"/>
      <c r="E27" s="89"/>
      <c r="F27" s="89"/>
      <c r="G27" s="89"/>
      <c r="H27" s="89"/>
      <c r="I27" s="89"/>
      <c r="J27" s="89"/>
      <c r="K27" s="89"/>
      <c r="L27" s="89"/>
      <c r="M27" s="89"/>
    </row>
    <row r="28" spans="1:19">
      <c r="A28" s="85" t="s">
        <v>106</v>
      </c>
      <c r="B28" s="85" t="s">
        <v>83</v>
      </c>
      <c r="C28" s="85">
        <f>AVERAGE(C13)</f>
        <v>411.13499999999999</v>
      </c>
      <c r="D28" s="85">
        <f t="shared" ref="D28:M28" si="6">AVERAGE(D13)</f>
        <v>411.13499999999999</v>
      </c>
      <c r="E28" s="85">
        <f t="shared" si="6"/>
        <v>205.5675</v>
      </c>
      <c r="F28" s="85">
        <f t="shared" si="6"/>
        <v>205.5675</v>
      </c>
      <c r="G28" s="85">
        <f t="shared" si="6"/>
        <v>132757.41310733411</v>
      </c>
      <c r="H28" s="85">
        <f t="shared" si="6"/>
        <v>1</v>
      </c>
      <c r="I28" s="85">
        <f t="shared" si="6"/>
        <v>132757.41310733411</v>
      </c>
      <c r="J28" s="85">
        <f t="shared" si="6"/>
        <v>1012838</v>
      </c>
      <c r="K28" s="85">
        <f t="shared" si="6"/>
        <v>0.13107467641156248</v>
      </c>
      <c r="L28" s="85">
        <f t="shared" si="6"/>
        <v>13.107467641156248</v>
      </c>
      <c r="M28" s="85">
        <f t="shared" si="6"/>
        <v>13.107467641156248</v>
      </c>
    </row>
    <row r="29" spans="1:19">
      <c r="A29" s="86"/>
      <c r="B29" s="86" t="s">
        <v>25</v>
      </c>
      <c r="C29" s="86">
        <f>AVERAGE(C14,C16,C18)</f>
        <v>154.54222222222225</v>
      </c>
      <c r="D29" s="86">
        <f t="shared" ref="D29:M29" si="7">AVERAGE(D14,D16,D18)</f>
        <v>154.54222222222225</v>
      </c>
      <c r="E29" s="86">
        <f t="shared" si="7"/>
        <v>77.271111111111125</v>
      </c>
      <c r="F29" s="86">
        <f t="shared" si="7"/>
        <v>77.271111111111125</v>
      </c>
      <c r="G29" s="86">
        <f t="shared" si="7"/>
        <v>19890.490818085236</v>
      </c>
      <c r="H29" s="86">
        <f t="shared" si="7"/>
        <v>5</v>
      </c>
      <c r="I29" s="86">
        <f t="shared" si="7"/>
        <v>114636.83345280755</v>
      </c>
      <c r="J29" s="86">
        <f t="shared" si="7"/>
        <v>1768037.6933333334</v>
      </c>
      <c r="K29" s="86">
        <f t="shared" si="7"/>
        <v>6.3316560106691941E-2</v>
      </c>
      <c r="L29" s="86">
        <f t="shared" si="7"/>
        <v>6.3316560106691924</v>
      </c>
      <c r="M29" s="86">
        <f t="shared" si="7"/>
        <v>6.3316560106691924</v>
      </c>
    </row>
    <row r="30" spans="1:19" ht="16" thickBot="1">
      <c r="A30" s="95"/>
      <c r="B30" s="95" t="s">
        <v>26</v>
      </c>
      <c r="C30" s="95">
        <f>AVERAGE(C15,C17,C19)</f>
        <v>51.887600659769078</v>
      </c>
      <c r="D30" s="95">
        <f t="shared" ref="D30:M30" si="8">AVERAGE(D15,D17,D19)</f>
        <v>51.887600659769078</v>
      </c>
      <c r="E30" s="95">
        <f t="shared" si="8"/>
        <v>25.943800329884539</v>
      </c>
      <c r="F30" s="95">
        <f t="shared" si="8"/>
        <v>25.943800329884539</v>
      </c>
      <c r="G30" s="95">
        <f t="shared" si="8"/>
        <v>2616.6449182359906</v>
      </c>
      <c r="H30" s="95">
        <f t="shared" si="8"/>
        <v>25.666666666666668</v>
      </c>
      <c r="I30" s="95">
        <f t="shared" si="8"/>
        <v>59814.297863204578</v>
      </c>
      <c r="J30" s="95">
        <f t="shared" si="8"/>
        <v>1768037.6933333334</v>
      </c>
      <c r="K30" s="95">
        <f t="shared" si="8"/>
        <v>6.7850297889605463E-2</v>
      </c>
      <c r="L30" s="95">
        <f t="shared" si="8"/>
        <v>6.7850297889605464</v>
      </c>
      <c r="M30" s="95">
        <f t="shared" si="8"/>
        <v>6.7850297889605464</v>
      </c>
    </row>
    <row r="37" spans="1:12" ht="45">
      <c r="A37" s="2" t="s">
        <v>135</v>
      </c>
      <c r="B37" s="2" t="s">
        <v>113</v>
      </c>
      <c r="C37" s="2" t="s">
        <v>19</v>
      </c>
      <c r="D37" s="2" t="s">
        <v>84</v>
      </c>
      <c r="E37" s="2" t="s">
        <v>20</v>
      </c>
      <c r="F37" s="2" t="s">
        <v>85</v>
      </c>
      <c r="G37" s="2" t="s">
        <v>6</v>
      </c>
      <c r="H37" s="2" t="s">
        <v>21</v>
      </c>
      <c r="I37" s="2" t="s">
        <v>22</v>
      </c>
      <c r="J37" s="2" t="s">
        <v>8</v>
      </c>
      <c r="K37" s="2" t="s">
        <v>23</v>
      </c>
      <c r="L37" s="2" t="s">
        <v>24</v>
      </c>
    </row>
    <row r="38" spans="1:12">
      <c r="A38" t="s">
        <v>203</v>
      </c>
      <c r="B38" s="2"/>
      <c r="C38">
        <v>98.432000000000002</v>
      </c>
      <c r="D38">
        <v>98.432000000000002</v>
      </c>
      <c r="E38" s="82">
        <f>C38/2</f>
        <v>49.216000000000001</v>
      </c>
      <c r="F38" s="82">
        <f>D38/2</f>
        <v>49.216000000000001</v>
      </c>
      <c r="G38" s="82">
        <f>PI()*E38*F38</f>
        <v>7609.6117687071273</v>
      </c>
      <c r="H38" s="2"/>
      <c r="I38" s="2"/>
      <c r="J38" s="2"/>
      <c r="K38" s="2"/>
      <c r="L38" s="2"/>
    </row>
    <row r="39" spans="1:12">
      <c r="C39">
        <v>20</v>
      </c>
      <c r="D39">
        <v>20</v>
      </c>
      <c r="E39" s="82">
        <f t="shared" ref="E39:F54" si="9">C39/2</f>
        <v>10</v>
      </c>
      <c r="F39" s="82">
        <f t="shared" si="9"/>
        <v>10</v>
      </c>
      <c r="G39" s="82">
        <f t="shared" ref="G39:G54" si="10">PI()*E39*F39</f>
        <v>314.15926535897933</v>
      </c>
    </row>
    <row r="40" spans="1:12">
      <c r="C40">
        <v>35.901000000000003</v>
      </c>
      <c r="D40">
        <v>35.901000000000003</v>
      </c>
      <c r="E40" s="82">
        <f t="shared" si="9"/>
        <v>17.950500000000002</v>
      </c>
      <c r="F40" s="82">
        <f t="shared" si="9"/>
        <v>17.950500000000002</v>
      </c>
      <c r="G40" s="82">
        <f t="shared" si="10"/>
        <v>1012.2853993417956</v>
      </c>
    </row>
    <row r="41" spans="1:12">
      <c r="C41">
        <v>98.105999999999995</v>
      </c>
      <c r="D41">
        <v>98.105999999999995</v>
      </c>
      <c r="E41" s="82">
        <f t="shared" si="9"/>
        <v>49.052999999999997</v>
      </c>
      <c r="F41" s="82">
        <f t="shared" si="9"/>
        <v>49.052999999999997</v>
      </c>
      <c r="G41" s="82">
        <f t="shared" si="10"/>
        <v>7559.2902182456019</v>
      </c>
    </row>
    <row r="42" spans="1:12">
      <c r="C42">
        <v>142.01400000000001</v>
      </c>
      <c r="D42">
        <v>142.01400000000001</v>
      </c>
      <c r="E42" s="82">
        <f t="shared" si="9"/>
        <v>71.007000000000005</v>
      </c>
      <c r="F42" s="82">
        <f t="shared" si="9"/>
        <v>71.007000000000005</v>
      </c>
      <c r="G42" s="82">
        <f t="shared" si="10"/>
        <v>15839.891463781856</v>
      </c>
    </row>
    <row r="43" spans="1:12">
      <c r="C43">
        <v>411.13499999999999</v>
      </c>
      <c r="D43">
        <v>411.13499999999999</v>
      </c>
      <c r="E43" s="82">
        <f t="shared" si="9"/>
        <v>205.5675</v>
      </c>
      <c r="F43" s="82">
        <f t="shared" si="9"/>
        <v>205.5675</v>
      </c>
      <c r="G43" s="82">
        <f t="shared" si="10"/>
        <v>132757.41310733411</v>
      </c>
    </row>
    <row r="44" spans="1:12">
      <c r="C44">
        <v>122.92700000000001</v>
      </c>
      <c r="D44">
        <v>122.92700000000001</v>
      </c>
      <c r="E44" s="82">
        <f t="shared" si="9"/>
        <v>61.463500000000003</v>
      </c>
      <c r="F44" s="82">
        <f t="shared" si="9"/>
        <v>61.463500000000003</v>
      </c>
      <c r="G44" s="82">
        <f t="shared" si="10"/>
        <v>11868.188819208519</v>
      </c>
    </row>
    <row r="45" spans="1:12">
      <c r="C45">
        <v>24.443999999999999</v>
      </c>
      <c r="D45">
        <v>24.443999999999999</v>
      </c>
      <c r="E45" s="82">
        <f t="shared" si="9"/>
        <v>12.222</v>
      </c>
      <c r="F45" s="82">
        <f t="shared" si="9"/>
        <v>12.222</v>
      </c>
      <c r="G45" s="82">
        <f t="shared" si="10"/>
        <v>469.28257802759606</v>
      </c>
    </row>
    <row r="46" spans="1:12">
      <c r="C46">
        <v>122.565</v>
      </c>
      <c r="D46">
        <v>122.565</v>
      </c>
      <c r="E46" s="82">
        <f t="shared" si="9"/>
        <v>61.282499999999999</v>
      </c>
      <c r="F46" s="82">
        <f t="shared" si="9"/>
        <v>61.282499999999999</v>
      </c>
      <c r="G46" s="82">
        <f t="shared" si="10"/>
        <v>11798.391973542302</v>
      </c>
    </row>
    <row r="47" spans="1:12">
      <c r="C47">
        <v>44.942</v>
      </c>
      <c r="D47">
        <v>44.942</v>
      </c>
      <c r="E47" s="82">
        <f t="shared" si="9"/>
        <v>22.471</v>
      </c>
      <c r="F47" s="82">
        <f t="shared" si="9"/>
        <v>22.471</v>
      </c>
      <c r="G47" s="82">
        <f t="shared" si="10"/>
        <v>1586.3341445463197</v>
      </c>
    </row>
    <row r="48" spans="1:12">
      <c r="C48">
        <v>40.975999999999999</v>
      </c>
      <c r="D48">
        <v>40.975999999999999</v>
      </c>
      <c r="E48" s="82">
        <f t="shared" ref="E48:E50" si="11">C48/2</f>
        <v>20.488</v>
      </c>
      <c r="F48" s="82">
        <f t="shared" ref="F48:F50" si="12">D48/2</f>
        <v>20.488</v>
      </c>
      <c r="G48" s="82">
        <f t="shared" ref="G48:G50" si="13">PI()*E48*F48</f>
        <v>1318.7091014748864</v>
      </c>
    </row>
    <row r="49" spans="1:12">
      <c r="C49">
        <v>47.244999999999997</v>
      </c>
      <c r="D49">
        <v>47.244999999999997</v>
      </c>
      <c r="E49" s="82">
        <f t="shared" si="11"/>
        <v>23.622499999999999</v>
      </c>
      <c r="F49" s="82">
        <f t="shared" si="12"/>
        <v>23.622499999999999</v>
      </c>
      <c r="G49" s="82">
        <f t="shared" si="13"/>
        <v>1753.0794061727643</v>
      </c>
    </row>
    <row r="50" spans="1:12">
      <c r="C50">
        <v>88.805999999999997</v>
      </c>
      <c r="D50">
        <v>88.805999999999997</v>
      </c>
      <c r="E50" s="82">
        <f t="shared" si="11"/>
        <v>44.402999999999999</v>
      </c>
      <c r="F50" s="82">
        <f t="shared" si="12"/>
        <v>44.402999999999999</v>
      </c>
      <c r="G50" s="82">
        <f t="shared" si="13"/>
        <v>6194.0470421380242</v>
      </c>
    </row>
    <row r="51" spans="1:12">
      <c r="C51">
        <v>22.222000000000001</v>
      </c>
      <c r="D51">
        <v>22.222000000000001</v>
      </c>
      <c r="E51" s="82">
        <f t="shared" si="9"/>
        <v>11.111000000000001</v>
      </c>
      <c r="F51" s="82">
        <f t="shared" si="9"/>
        <v>11.111000000000001</v>
      </c>
      <c r="G51" s="82">
        <f t="shared" si="10"/>
        <v>387.84318790751615</v>
      </c>
    </row>
    <row r="52" spans="1:12">
      <c r="C52">
        <v>18.986999999999998</v>
      </c>
      <c r="D52">
        <v>18.986999999999998</v>
      </c>
      <c r="E52" s="82">
        <f t="shared" si="9"/>
        <v>9.4934999999999992</v>
      </c>
      <c r="F52" s="82">
        <f t="shared" si="9"/>
        <v>9.4934999999999992</v>
      </c>
      <c r="G52" s="82">
        <f t="shared" si="10"/>
        <v>283.14088302605006</v>
      </c>
    </row>
    <row r="53" spans="1:12">
      <c r="C53">
        <v>17.777999999999999</v>
      </c>
      <c r="D53">
        <v>17.777999999999999</v>
      </c>
      <c r="E53" s="82">
        <f t="shared" si="9"/>
        <v>8.8889999999999993</v>
      </c>
      <c r="F53" s="82">
        <f t="shared" si="9"/>
        <v>8.8889999999999993</v>
      </c>
      <c r="G53" s="82">
        <f t="shared" si="10"/>
        <v>248.23081038198569</v>
      </c>
    </row>
    <row r="54" spans="1:12">
      <c r="C54">
        <v>39.378</v>
      </c>
      <c r="D54">
        <v>39.378</v>
      </c>
      <c r="E54" s="82">
        <f t="shared" si="9"/>
        <v>19.689</v>
      </c>
      <c r="F54" s="82">
        <f t="shared" si="9"/>
        <v>19.689</v>
      </c>
      <c r="G54" s="82">
        <f t="shared" si="10"/>
        <v>1217.859506808308</v>
      </c>
    </row>
    <row r="55" spans="1:12">
      <c r="A55" s="29" t="s">
        <v>79</v>
      </c>
      <c r="B55" s="96">
        <f>COUNT(C38:C54)</f>
        <v>17</v>
      </c>
      <c r="C55" s="96">
        <f>AVERAGE(C38:C54)</f>
        <v>82.109294117647053</v>
      </c>
      <c r="D55" s="96">
        <f>AVERAGE(D38:D54)</f>
        <v>82.109294117647053</v>
      </c>
      <c r="E55" s="96">
        <f>AVERAGE(E38:E54)</f>
        <v>41.054647058823527</v>
      </c>
      <c r="F55" s="96">
        <f>AVERAGE(F38:F54)</f>
        <v>41.054647058823527</v>
      </c>
      <c r="G55" s="96">
        <f>AVERAGE(G38:G54)</f>
        <v>11895.162275059047</v>
      </c>
      <c r="H55" s="96">
        <f>B55</f>
        <v>17</v>
      </c>
      <c r="I55" s="97">
        <f>H55*G55</f>
        <v>202217.75867600378</v>
      </c>
      <c r="J55" s="108">
        <f>620962+391876</f>
        <v>1012838</v>
      </c>
      <c r="K55" s="97">
        <f>I55/J55</f>
        <v>0.19965459301092947</v>
      </c>
      <c r="L55" s="97">
        <f>K55*100</f>
        <v>19.965459301092949</v>
      </c>
    </row>
    <row r="56" spans="1:12">
      <c r="A56" s="30" t="s">
        <v>83</v>
      </c>
      <c r="B56" s="98">
        <f>COUNTIF(C38:C54,"&gt;"&amp;$B$6)</f>
        <v>1</v>
      </c>
      <c r="C56" s="99">
        <f>AVERAGEIF(C38:C54,"&gt;"&amp;$B$6)</f>
        <v>411.13499999999999</v>
      </c>
      <c r="D56" s="99">
        <f>AVERAGEIF(D38:D54,"&gt;"&amp;$B$6)</f>
        <v>411.13499999999999</v>
      </c>
      <c r="E56" s="99">
        <f>AVERAGEIF(C38:C54,"&gt;"&amp;$B$6,E38:E54)</f>
        <v>205.5675</v>
      </c>
      <c r="F56" s="99">
        <f>AVERAGEIF(D38:D54,"&gt;"&amp;$B$6,F38:F54)</f>
        <v>205.5675</v>
      </c>
      <c r="G56" s="99">
        <f>AVERAGEIF(C38:C54,"&gt;"&amp;$B$6,G38:G54)</f>
        <v>132757.41310733411</v>
      </c>
      <c r="H56" s="99">
        <f>B56</f>
        <v>1</v>
      </c>
      <c r="I56" s="97">
        <f>H56*G56</f>
        <v>132757.41310733411</v>
      </c>
      <c r="J56" s="98">
        <f>J55</f>
        <v>1012838</v>
      </c>
      <c r="K56" s="97">
        <f>I56/J56</f>
        <v>0.13107467641156248</v>
      </c>
      <c r="L56" s="97">
        <f>K56*100</f>
        <v>13.107467641156248</v>
      </c>
    </row>
    <row r="57" spans="1:12">
      <c r="A57" s="28" t="s">
        <v>25</v>
      </c>
      <c r="B57" s="98">
        <f>COUNTIF(C38:C54,"&gt;"&amp;$B$7)-COUNTIF(C38:C54,"&gt;"&amp;$B$6)</f>
        <v>3</v>
      </c>
      <c r="C57" s="98">
        <f>AVERAGEIFS(C38:C54,C38:C54,"&gt;"&amp;$B$7,C38:C54,"&lt;"&amp;$B$6)</f>
        <v>129.16866666666667</v>
      </c>
      <c r="D57" s="98">
        <f>AVERAGEIFS(D38:D54,D38:D54,"&gt;"&amp;$B$7,D38:D54,"&lt;"&amp;$B$6)</f>
        <v>129.16866666666667</v>
      </c>
      <c r="E57" s="98">
        <f>AVERAGEIFS(E38:E54,C38:C54,"&gt;"&amp;$B$7,C38:C54,"&lt;"&amp;$B$6)</f>
        <v>64.584333333333333</v>
      </c>
      <c r="F57" s="98">
        <f>AVERAGEIFS(F38:F54,D38:D54,"&gt;"&amp;$B$7,D38:D54,"&lt;"&amp;$B$6)</f>
        <v>64.584333333333333</v>
      </c>
      <c r="G57" s="98">
        <f>AVERAGEIFS(G38:G54,C38:C54,"&gt;"&amp;$B$7,C38:C54,"&lt;"&amp;$B$6)</f>
        <v>13168.824085510894</v>
      </c>
      <c r="H57" s="99">
        <f t="shared" ref="H57" si="14">B57</f>
        <v>3</v>
      </c>
      <c r="I57" s="99">
        <f>H57*G57</f>
        <v>39506.472256532681</v>
      </c>
      <c r="J57" s="98">
        <f>J55</f>
        <v>1012838</v>
      </c>
      <c r="K57" s="99">
        <f>I57/J57</f>
        <v>3.9005716863439843E-2</v>
      </c>
      <c r="L57" s="99">
        <f>K57*100</f>
        <v>3.9005716863439845</v>
      </c>
    </row>
    <row r="58" spans="1:12">
      <c r="A58" s="31" t="s">
        <v>26</v>
      </c>
      <c r="B58" s="98">
        <f>COUNTIF(C38:C54,"&gt;"&amp;$B$8)-COUNTIF(C38:C54,"&gt;"&amp;$B$7)</f>
        <v>13</v>
      </c>
      <c r="C58" s="98">
        <f>AVERAGEIFS(C38:C54,C38:C54,"&gt;"&amp;$B$8,C38:C54,"&lt;"&amp;$B$7)</f>
        <v>45.93976923076923</v>
      </c>
      <c r="D58" s="98">
        <f>AVERAGEIFS(D38:D54,D38:D54,"&gt;"&amp;$B$8,D38:D54,"&lt;"&amp;$B$7)</f>
        <v>45.93976923076923</v>
      </c>
      <c r="E58" s="98">
        <f>AVERAGEIFS(E38:E54,C38:C54,"&gt;"&amp;$B$8,C38:C54,"&lt;"&amp;$B$7)</f>
        <v>22.969884615384615</v>
      </c>
      <c r="F58" s="98">
        <f>AVERAGEIFS(F38:F54,D38:D54,"&gt;"&amp;$B$8,D38:D54,"&lt;"&amp;$B$7)</f>
        <v>22.969884615384615</v>
      </c>
      <c r="G58" s="98">
        <f>AVERAGEIFS(G38:G54,C38:C54,"&gt;"&amp;$B$8,C38:C54,"&lt;"&amp;$B$7)</f>
        <v>2304.1441009336122</v>
      </c>
      <c r="H58" s="99">
        <f>B58</f>
        <v>13</v>
      </c>
      <c r="I58" s="99">
        <f>H58*G58</f>
        <v>29953.873312136959</v>
      </c>
      <c r="J58" s="98">
        <f>J55</f>
        <v>1012838</v>
      </c>
      <c r="K58" s="99">
        <f>I58/J58</f>
        <v>2.9574199735927127E-2</v>
      </c>
      <c r="L58" s="99">
        <f>K58*100</f>
        <v>2.9574199735927129</v>
      </c>
    </row>
    <row r="60" spans="1:12">
      <c r="J60" s="47"/>
    </row>
    <row r="62" spans="1:12" ht="45">
      <c r="B62" s="2" t="s">
        <v>113</v>
      </c>
      <c r="C62" s="2" t="s">
        <v>19</v>
      </c>
      <c r="D62" s="2" t="s">
        <v>84</v>
      </c>
      <c r="E62" s="2" t="s">
        <v>20</v>
      </c>
      <c r="F62" s="2" t="s">
        <v>85</v>
      </c>
      <c r="G62" s="2" t="s">
        <v>6</v>
      </c>
      <c r="H62" s="2" t="s">
        <v>21</v>
      </c>
      <c r="I62" s="2" t="s">
        <v>22</v>
      </c>
      <c r="J62" s="2" t="s">
        <v>8</v>
      </c>
      <c r="K62" s="2" t="s">
        <v>23</v>
      </c>
      <c r="L62" s="2" t="s">
        <v>24</v>
      </c>
    </row>
    <row r="63" spans="1:12">
      <c r="A63" s="28" t="s">
        <v>204</v>
      </c>
      <c r="B63" s="2"/>
      <c r="C63">
        <v>81.415999999999997</v>
      </c>
      <c r="D63">
        <v>81.415999999999997</v>
      </c>
      <c r="E63" s="82">
        <f>C63/2</f>
        <v>40.707999999999998</v>
      </c>
      <c r="F63" s="82">
        <f>D63/2</f>
        <v>40.707999999999998</v>
      </c>
      <c r="G63" s="82">
        <f>PI()*E63*F63</f>
        <v>5206.0628209429033</v>
      </c>
      <c r="H63" s="2"/>
      <c r="I63" s="2"/>
      <c r="J63" s="2"/>
      <c r="K63" s="2"/>
      <c r="L63" s="2"/>
    </row>
    <row r="64" spans="1:12">
      <c r="C64">
        <v>77.418999999999997</v>
      </c>
      <c r="D64">
        <v>77.418999999999997</v>
      </c>
      <c r="E64" s="82">
        <f t="shared" ref="E64:E76" si="15">C64/2</f>
        <v>38.709499999999998</v>
      </c>
      <c r="F64" s="82">
        <f t="shared" ref="F64:F76" si="16">D64/2</f>
        <v>38.709499999999998</v>
      </c>
      <c r="G64" s="82">
        <f t="shared" ref="G64:G76" si="17">PI()*E64*F64</f>
        <v>4707.4421979618182</v>
      </c>
    </row>
    <row r="65" spans="3:7">
      <c r="C65">
        <v>54.073999999999998</v>
      </c>
      <c r="D65">
        <v>54.073999999999998</v>
      </c>
      <c r="E65" s="82">
        <f t="shared" si="15"/>
        <v>27.036999999999999</v>
      </c>
      <c r="F65" s="82">
        <f t="shared" si="16"/>
        <v>27.036999999999999</v>
      </c>
      <c r="G65" s="82">
        <f t="shared" si="17"/>
        <v>2296.5022474291741</v>
      </c>
    </row>
    <row r="66" spans="3:7">
      <c r="C66">
        <v>109.67700000000001</v>
      </c>
      <c r="D66">
        <v>109.67700000000001</v>
      </c>
      <c r="E66" s="82">
        <f t="shared" si="15"/>
        <v>54.838500000000003</v>
      </c>
      <c r="F66" s="82">
        <f t="shared" si="16"/>
        <v>54.838500000000003</v>
      </c>
      <c r="G66" s="82">
        <f t="shared" si="17"/>
        <v>9447.5893234230916</v>
      </c>
    </row>
    <row r="67" spans="3:7">
      <c r="C67">
        <v>66.501999999999995</v>
      </c>
      <c r="D67">
        <v>66.501999999999995</v>
      </c>
      <c r="E67" s="82">
        <f t="shared" si="15"/>
        <v>33.250999999999998</v>
      </c>
      <c r="F67" s="82">
        <f t="shared" si="16"/>
        <v>33.250999999999998</v>
      </c>
      <c r="G67" s="82">
        <f t="shared" si="17"/>
        <v>3473.4359471374214</v>
      </c>
    </row>
    <row r="68" spans="3:7">
      <c r="C68">
        <v>233.62100000000001</v>
      </c>
      <c r="D68">
        <v>233.62100000000001</v>
      </c>
      <c r="E68" s="82">
        <f t="shared" si="15"/>
        <v>116.8105</v>
      </c>
      <c r="F68" s="82">
        <f t="shared" si="16"/>
        <v>116.8105</v>
      </c>
      <c r="G68" s="82">
        <f t="shared" si="17"/>
        <v>42866.067007330137</v>
      </c>
    </row>
    <row r="69" spans="3:7">
      <c r="C69">
        <v>132.886</v>
      </c>
      <c r="D69">
        <v>132.886</v>
      </c>
      <c r="E69" s="82">
        <f t="shared" si="15"/>
        <v>66.442999999999998</v>
      </c>
      <c r="F69" s="82">
        <f t="shared" si="16"/>
        <v>66.442999999999998</v>
      </c>
      <c r="G69" s="82">
        <f t="shared" si="17"/>
        <v>13869.101905465128</v>
      </c>
    </row>
    <row r="70" spans="3:7">
      <c r="C70">
        <v>54.073999999999998</v>
      </c>
      <c r="D70">
        <v>54.073999999999998</v>
      </c>
      <c r="E70" s="82">
        <f t="shared" si="15"/>
        <v>27.036999999999999</v>
      </c>
      <c r="F70" s="82">
        <f t="shared" si="16"/>
        <v>27.036999999999999</v>
      </c>
      <c r="G70" s="82">
        <f t="shared" si="17"/>
        <v>2296.5022474291741</v>
      </c>
    </row>
    <row r="71" spans="3:7">
      <c r="C71">
        <v>48.387</v>
      </c>
      <c r="D71">
        <v>48.387</v>
      </c>
      <c r="E71" s="82">
        <f t="shared" si="15"/>
        <v>24.1935</v>
      </c>
      <c r="F71" s="82">
        <f t="shared" si="16"/>
        <v>24.1935</v>
      </c>
      <c r="G71" s="82">
        <f t="shared" si="17"/>
        <v>1838.8541093317967</v>
      </c>
    </row>
    <row r="72" spans="3:7">
      <c r="C72">
        <v>65.793999999999997</v>
      </c>
      <c r="D72">
        <v>65.793999999999997</v>
      </c>
      <c r="E72" s="82">
        <f t="shared" si="15"/>
        <v>32.896999999999998</v>
      </c>
      <c r="F72" s="82">
        <f t="shared" si="16"/>
        <v>32.896999999999998</v>
      </c>
      <c r="G72" s="82">
        <f t="shared" si="17"/>
        <v>3399.8711820566432</v>
      </c>
    </row>
    <row r="73" spans="3:7">
      <c r="C73">
        <v>89.453999999999994</v>
      </c>
      <c r="D73">
        <v>89.453999999999994</v>
      </c>
      <c r="E73" s="82">
        <f t="shared" si="15"/>
        <v>44.726999999999997</v>
      </c>
      <c r="F73" s="82">
        <f t="shared" si="16"/>
        <v>44.726999999999997</v>
      </c>
      <c r="G73" s="82">
        <f t="shared" si="17"/>
        <v>6284.7703317795076</v>
      </c>
    </row>
    <row r="74" spans="3:7">
      <c r="C74">
        <v>96.234999999999999</v>
      </c>
      <c r="D74">
        <v>96.234999999999999</v>
      </c>
      <c r="E74" s="82">
        <f t="shared" si="15"/>
        <v>48.1175</v>
      </c>
      <c r="F74" s="82">
        <f t="shared" si="16"/>
        <v>48.1175</v>
      </c>
      <c r="G74" s="82">
        <f t="shared" si="17"/>
        <v>7273.7100126169498</v>
      </c>
    </row>
    <row r="75" spans="3:7">
      <c r="C75">
        <v>70.747</v>
      </c>
      <c r="D75">
        <v>70.747</v>
      </c>
      <c r="E75" s="82">
        <f t="shared" si="15"/>
        <v>35.3735</v>
      </c>
      <c r="F75" s="82">
        <f t="shared" si="16"/>
        <v>35.3735</v>
      </c>
      <c r="G75" s="82">
        <f t="shared" si="17"/>
        <v>3931.026199819361</v>
      </c>
    </row>
    <row r="76" spans="3:7">
      <c r="C76">
        <v>80.903000000000006</v>
      </c>
      <c r="D76">
        <v>80.903000000000006</v>
      </c>
      <c r="E76" s="82">
        <f t="shared" si="15"/>
        <v>40.451500000000003</v>
      </c>
      <c r="F76" s="82">
        <f t="shared" si="16"/>
        <v>40.451500000000003</v>
      </c>
      <c r="G76" s="82">
        <f t="shared" si="17"/>
        <v>5140.6629931223506</v>
      </c>
    </row>
    <row r="77" spans="3:7">
      <c r="C77">
        <v>167.773</v>
      </c>
      <c r="D77">
        <v>167.773</v>
      </c>
      <c r="E77" s="82">
        <f t="shared" ref="E77:E88" si="18">C77/2</f>
        <v>83.886499999999998</v>
      </c>
      <c r="F77" s="82">
        <f t="shared" ref="F77:F88" si="19">D77/2</f>
        <v>83.886499999999998</v>
      </c>
      <c r="G77" s="82">
        <f t="shared" ref="G77:G88" si="20">PI()*E77*F77</f>
        <v>22107.214345792891</v>
      </c>
    </row>
    <row r="78" spans="3:7">
      <c r="C78">
        <v>58.154000000000003</v>
      </c>
      <c r="D78">
        <v>58.154000000000003</v>
      </c>
      <c r="E78" s="82">
        <f t="shared" si="18"/>
        <v>29.077000000000002</v>
      </c>
      <c r="F78" s="82">
        <f t="shared" si="19"/>
        <v>29.077000000000002</v>
      </c>
      <c r="G78" s="82">
        <f t="shared" si="20"/>
        <v>2656.1284009627916</v>
      </c>
    </row>
    <row r="79" spans="3:7">
      <c r="C79">
        <v>174.84899999999999</v>
      </c>
      <c r="D79">
        <v>174.84899999999999</v>
      </c>
      <c r="E79" s="82">
        <f t="shared" si="18"/>
        <v>87.424499999999995</v>
      </c>
      <c r="F79" s="82">
        <f t="shared" si="19"/>
        <v>87.424499999999995</v>
      </c>
      <c r="G79" s="82">
        <f t="shared" si="20"/>
        <v>24011.32836897482</v>
      </c>
    </row>
    <row r="80" spans="3:7">
      <c r="C80">
        <v>237.267</v>
      </c>
      <c r="D80">
        <v>237.267</v>
      </c>
      <c r="E80" s="82">
        <f t="shared" si="18"/>
        <v>118.6335</v>
      </c>
      <c r="F80" s="82">
        <f t="shared" si="19"/>
        <v>118.6335</v>
      </c>
      <c r="G80" s="82">
        <f t="shared" si="20"/>
        <v>44214.483850884193</v>
      </c>
    </row>
    <row r="81" spans="2:12">
      <c r="C81">
        <v>109.583</v>
      </c>
      <c r="D81">
        <v>109.583</v>
      </c>
      <c r="E81" s="82">
        <f t="shared" si="18"/>
        <v>54.791499999999999</v>
      </c>
      <c r="F81" s="82">
        <f t="shared" si="19"/>
        <v>54.791499999999999</v>
      </c>
      <c r="G81" s="82">
        <f t="shared" si="20"/>
        <v>9431.4019217002769</v>
      </c>
    </row>
    <row r="82" spans="2:12">
      <c r="C82">
        <v>226.749</v>
      </c>
      <c r="D82">
        <v>226.749</v>
      </c>
      <c r="E82" s="82">
        <f t="shared" si="18"/>
        <v>113.3745</v>
      </c>
      <c r="F82" s="82">
        <f t="shared" si="19"/>
        <v>113.3745</v>
      </c>
      <c r="G82" s="82">
        <f t="shared" si="20"/>
        <v>40381.33218026501</v>
      </c>
    </row>
    <row r="83" spans="2:12">
      <c r="C83">
        <v>247.29499999999999</v>
      </c>
      <c r="D83">
        <v>247.29499999999999</v>
      </c>
      <c r="E83" s="82">
        <f t="shared" si="18"/>
        <v>123.64749999999999</v>
      </c>
      <c r="F83" s="82">
        <f t="shared" si="19"/>
        <v>123.64749999999999</v>
      </c>
      <c r="G83" s="82">
        <f t="shared" si="20"/>
        <v>48030.880974341999</v>
      </c>
    </row>
    <row r="84" spans="2:12">
      <c r="C84">
        <v>91.067999999999998</v>
      </c>
      <c r="D84">
        <v>91.067999999999998</v>
      </c>
      <c r="E84" s="82">
        <f t="shared" si="18"/>
        <v>45.533999999999999</v>
      </c>
      <c r="F84" s="82">
        <f t="shared" si="19"/>
        <v>45.533999999999999</v>
      </c>
      <c r="G84" s="82">
        <f t="shared" si="20"/>
        <v>6513.6059104455835</v>
      </c>
    </row>
    <row r="85" spans="2:12">
      <c r="C85">
        <v>58.154000000000003</v>
      </c>
      <c r="D85">
        <v>58.154000000000003</v>
      </c>
      <c r="E85" s="82">
        <f t="shared" si="18"/>
        <v>29.077000000000002</v>
      </c>
      <c r="F85" s="82">
        <f t="shared" si="19"/>
        <v>29.077000000000002</v>
      </c>
      <c r="G85" s="82">
        <f t="shared" si="20"/>
        <v>2656.1284009627916</v>
      </c>
    </row>
    <row r="86" spans="2:12">
      <c r="C86">
        <v>48.814999999999998</v>
      </c>
      <c r="D86">
        <v>48.814999999999998</v>
      </c>
      <c r="E86" s="82">
        <f t="shared" si="18"/>
        <v>24.407499999999999</v>
      </c>
      <c r="F86" s="82">
        <f t="shared" si="19"/>
        <v>24.407499999999999</v>
      </c>
      <c r="G86" s="82">
        <f t="shared" si="20"/>
        <v>1871.5286018670197</v>
      </c>
    </row>
    <row r="87" spans="2:12">
      <c r="C87">
        <v>42.058999999999997</v>
      </c>
      <c r="D87">
        <v>42.058999999999997</v>
      </c>
      <c r="E87" s="82">
        <f t="shared" si="18"/>
        <v>21.029499999999999</v>
      </c>
      <c r="F87" s="82">
        <f t="shared" si="19"/>
        <v>21.029499999999999</v>
      </c>
      <c r="G87" s="82">
        <f t="shared" si="20"/>
        <v>1389.3375275019032</v>
      </c>
    </row>
    <row r="88" spans="2:12">
      <c r="C88">
        <v>112.21</v>
      </c>
      <c r="D88">
        <v>112.21</v>
      </c>
      <c r="E88" s="82">
        <f t="shared" si="18"/>
        <v>56.104999999999997</v>
      </c>
      <c r="F88" s="82">
        <f t="shared" si="19"/>
        <v>56.104999999999997</v>
      </c>
      <c r="G88" s="82">
        <f t="shared" si="20"/>
        <v>9889.0143273228114</v>
      </c>
    </row>
    <row r="89" spans="2:12">
      <c r="C89">
        <v>49.24</v>
      </c>
      <c r="D89">
        <v>49.24</v>
      </c>
      <c r="E89" s="82">
        <f t="shared" ref="E89:E91" si="21">C89/2</f>
        <v>24.62</v>
      </c>
      <c r="F89" s="82">
        <f t="shared" ref="F89:F91" si="22">D89/2</f>
        <v>24.62</v>
      </c>
      <c r="G89" s="82">
        <f t="shared" ref="G89:G91" si="23">PI()*E89*F89</f>
        <v>1904.258794054593</v>
      </c>
    </row>
    <row r="90" spans="2:12">
      <c r="C90">
        <v>88.046999999999997</v>
      </c>
      <c r="D90">
        <v>88.046999999999997</v>
      </c>
      <c r="E90" s="82">
        <f t="shared" si="21"/>
        <v>44.023499999999999</v>
      </c>
      <c r="F90" s="82">
        <f t="shared" si="22"/>
        <v>44.023499999999999</v>
      </c>
      <c r="G90" s="82">
        <f t="shared" si="23"/>
        <v>6088.6219259020054</v>
      </c>
    </row>
    <row r="91" spans="2:12">
      <c r="C91">
        <v>73.134</v>
      </c>
      <c r="D91">
        <v>73.134</v>
      </c>
      <c r="E91" s="82">
        <f t="shared" si="21"/>
        <v>36.567</v>
      </c>
      <c r="F91" s="82">
        <f t="shared" si="22"/>
        <v>36.567</v>
      </c>
      <c r="G91" s="82">
        <f t="shared" si="23"/>
        <v>4200.7664450231314</v>
      </c>
    </row>
    <row r="92" spans="2:12">
      <c r="B92" s="96">
        <f>COUNT(C63:C91)</f>
        <v>29</v>
      </c>
      <c r="C92" s="96">
        <f>AVERAGE(C63:C91)</f>
        <v>105.02020689655173</v>
      </c>
      <c r="D92" s="96">
        <f>AVERAGE(D63:D91)</f>
        <v>105.02020689655173</v>
      </c>
      <c r="E92" s="96">
        <f>AVERAGE(E63:E91)</f>
        <v>52.510103448275864</v>
      </c>
      <c r="F92" s="96">
        <f>AVERAGE(F63:F91)</f>
        <v>52.510103448275864</v>
      </c>
      <c r="G92" s="96">
        <f>AVERAGE(G63:G91)</f>
        <v>11633.711396615427</v>
      </c>
      <c r="H92" s="96">
        <f>B92</f>
        <v>29</v>
      </c>
      <c r="I92" s="97">
        <f>H92*G92</f>
        <v>337377.63050184736</v>
      </c>
      <c r="J92" s="9">
        <v>3797741.9350000001</v>
      </c>
      <c r="K92" s="97">
        <f>I92/J92</f>
        <v>8.883637600348096E-2</v>
      </c>
      <c r="L92" s="97">
        <f>K92*100</f>
        <v>8.8836376003480968</v>
      </c>
    </row>
    <row r="93" spans="2:12">
      <c r="B93" s="98">
        <f>COUNTIF(C63:C91,"&gt;"&amp;$B$6)</f>
        <v>0</v>
      </c>
      <c r="C93" s="99" t="e">
        <f>AVERAGEIF(C63:C91,"&gt;"&amp;$B$6)</f>
        <v>#DIV/0!</v>
      </c>
      <c r="D93" s="99" t="e">
        <f>AVERAGEIF(D63:D91,"&gt;"&amp;$B$6)</f>
        <v>#DIV/0!</v>
      </c>
      <c r="E93" s="99" t="e">
        <f>AVERAGEIF(C63:C91,"&gt;"&amp;$B$6,E63:E91)</f>
        <v>#DIV/0!</v>
      </c>
      <c r="F93" s="99" t="e">
        <f>AVERAGEIF(D63:D91,"&gt;"&amp;$B$6,F63:F91)</f>
        <v>#DIV/0!</v>
      </c>
      <c r="G93" s="99" t="e">
        <f>AVERAGEIF(C63:C91,"&gt;"&amp;$B$6,G63:G91)</f>
        <v>#DIV/0!</v>
      </c>
      <c r="H93" s="99">
        <f>B93</f>
        <v>0</v>
      </c>
      <c r="I93" s="97" t="e">
        <f>H93*G93</f>
        <v>#DIV/0!</v>
      </c>
      <c r="J93" s="98">
        <f>J92</f>
        <v>3797741.9350000001</v>
      </c>
      <c r="K93" s="97" t="e">
        <f>I93/J93</f>
        <v>#DIV/0!</v>
      </c>
      <c r="L93" s="97" t="e">
        <f>K93*100</f>
        <v>#DIV/0!</v>
      </c>
    </row>
    <row r="94" spans="2:12">
      <c r="B94" s="98">
        <f>COUNTIF(C63:C91,"&gt;"&amp;$B$7)-COUNTIF(C63:C91,"&gt;"&amp;$B$6)</f>
        <v>10</v>
      </c>
      <c r="C94" s="98">
        <f>AVERAGEIFS(C63:C91,C63:C91,"&gt;"&amp;$B$7,C63:C91,"&lt;"&amp;$B$6)</f>
        <v>175.19100000000003</v>
      </c>
      <c r="D94" s="98">
        <f>AVERAGEIFS(D63:D91,D63:D91,"&gt;"&amp;$B$7,D63:D91,"&lt;"&amp;$B$6)</f>
        <v>175.19100000000003</v>
      </c>
      <c r="E94" s="98">
        <f>AVERAGEIFS(E63:E91,C63:C91,"&gt;"&amp;$B$7,C63:C91,"&lt;"&amp;$B$6)</f>
        <v>87.595500000000015</v>
      </c>
      <c r="F94" s="98">
        <f>AVERAGEIFS(F63:F91,D63:D91,"&gt;"&amp;$B$7,D63:D91,"&lt;"&amp;$B$6)</f>
        <v>87.595500000000015</v>
      </c>
      <c r="G94" s="98">
        <f>AVERAGEIFS(G63:G91,C63:C91,"&gt;"&amp;$B$7,C63:C91,"&lt;"&amp;$B$6)</f>
        <v>26424.841420550038</v>
      </c>
      <c r="H94" s="99">
        <f t="shared" ref="H94" si="24">B94</f>
        <v>10</v>
      </c>
      <c r="I94" s="99">
        <f>H94*G94</f>
        <v>264248.41420550039</v>
      </c>
      <c r="J94" s="98">
        <f>J92</f>
        <v>3797741.9350000001</v>
      </c>
      <c r="K94" s="99">
        <f>I94/J94</f>
        <v>6.9580402967928459E-2</v>
      </c>
      <c r="L94" s="99">
        <f>K94*100</f>
        <v>6.9580402967928459</v>
      </c>
    </row>
    <row r="95" spans="2:12">
      <c r="B95" s="98">
        <f>COUNTIF(C63:C91,"&gt;"&amp;$B$8)-COUNTIF(C63:C91,"&gt;"&amp;$B$7)</f>
        <v>19</v>
      </c>
      <c r="C95" s="98">
        <f>AVERAGEIFS(C63:C91,C63:C91,"&gt;"&amp;$B$8,C63:C91,"&lt;"&amp;$B$7)</f>
        <v>68.088210526315791</v>
      </c>
      <c r="D95" s="98">
        <f>AVERAGEIFS(D63:D91,D63:D91,"&gt;"&amp;$B$8,D63:D91,"&lt;"&amp;$B$7)</f>
        <v>68.088210526315791</v>
      </c>
      <c r="E95" s="98">
        <f>AVERAGEIFS(E63:E91,C63:C91,"&gt;"&amp;$B$8,C63:C91,"&lt;"&amp;$B$7)</f>
        <v>34.044105263157896</v>
      </c>
      <c r="F95" s="98">
        <f>AVERAGEIFS(F63:F91,D63:D91,"&gt;"&amp;$B$8,D63:D91,"&lt;"&amp;$B$7)</f>
        <v>34.044105263157896</v>
      </c>
      <c r="G95" s="98">
        <f>AVERAGEIFS(G63:G91,C63:C91,"&gt;"&amp;$B$8,C63:C91,"&lt;"&amp;$B$7)</f>
        <v>3848.9061208603639</v>
      </c>
      <c r="H95" s="99">
        <f>B95</f>
        <v>19</v>
      </c>
      <c r="I95" s="99">
        <f>H95*G95</f>
        <v>73129.216296346916</v>
      </c>
      <c r="J95" s="98">
        <f>J92</f>
        <v>3797741.9350000001</v>
      </c>
      <c r="K95" s="99">
        <f>I95/J95</f>
        <v>1.9255973035552484E-2</v>
      </c>
      <c r="L95" s="99">
        <f>K95*100</f>
        <v>1.9255973035552483</v>
      </c>
    </row>
    <row r="98" spans="1:12" ht="45">
      <c r="B98" s="2" t="s">
        <v>113</v>
      </c>
      <c r="C98" s="2" t="s">
        <v>19</v>
      </c>
      <c r="D98" s="2" t="s">
        <v>84</v>
      </c>
      <c r="E98" s="2" t="s">
        <v>20</v>
      </c>
      <c r="F98" s="2" t="s">
        <v>85</v>
      </c>
      <c r="G98" s="2" t="s">
        <v>6</v>
      </c>
      <c r="H98" s="2" t="s">
        <v>21</v>
      </c>
      <c r="I98" s="2" t="s">
        <v>22</v>
      </c>
      <c r="J98" s="2" t="s">
        <v>8</v>
      </c>
      <c r="K98" s="2" t="s">
        <v>23</v>
      </c>
      <c r="L98" s="2" t="s">
        <v>24</v>
      </c>
    </row>
    <row r="99" spans="1:12">
      <c r="A99" s="28" t="s">
        <v>208</v>
      </c>
      <c r="B99" s="2"/>
      <c r="C99">
        <v>51.622</v>
      </c>
      <c r="D99">
        <v>51.622</v>
      </c>
      <c r="E99" s="82">
        <f>C99/2</f>
        <v>25.811</v>
      </c>
      <c r="F99" s="82">
        <f>D99/2</f>
        <v>25.811</v>
      </c>
      <c r="G99" s="82">
        <f>PI()*E99*F99</f>
        <v>2092.9532820583986</v>
      </c>
      <c r="H99" s="2"/>
      <c r="I99" s="2"/>
      <c r="J99" s="2"/>
      <c r="K99" s="2"/>
      <c r="L99" s="2"/>
    </row>
    <row r="100" spans="1:12">
      <c r="C100">
        <v>13.513999999999999</v>
      </c>
      <c r="D100">
        <v>13.513999999999999</v>
      </c>
      <c r="E100" s="82">
        <f t="shared" ref="E100:E145" si="25">C100/2</f>
        <v>6.7569999999999997</v>
      </c>
      <c r="F100" s="82">
        <f t="shared" ref="F100:F145" si="26">D100/2</f>
        <v>6.7569999999999997</v>
      </c>
      <c r="G100" s="82">
        <f t="shared" ref="G100:G145" si="27">PI()*E100*F100</f>
        <v>143.43584972298919</v>
      </c>
    </row>
    <row r="101" spans="1:12">
      <c r="C101">
        <v>17.265999999999998</v>
      </c>
      <c r="D101">
        <v>17.265999999999998</v>
      </c>
      <c r="E101" s="82">
        <f t="shared" si="25"/>
        <v>8.6329999999999991</v>
      </c>
      <c r="F101" s="82">
        <f t="shared" si="26"/>
        <v>8.6329999999999991</v>
      </c>
      <c r="G101" s="82">
        <f t="shared" si="27"/>
        <v>234.13878184407838</v>
      </c>
    </row>
    <row r="102" spans="1:12">
      <c r="C102">
        <v>27.571000000000002</v>
      </c>
      <c r="D102">
        <v>27.571000000000002</v>
      </c>
      <c r="E102" s="82">
        <f t="shared" si="25"/>
        <v>13.785500000000001</v>
      </c>
      <c r="F102" s="82">
        <f t="shared" si="26"/>
        <v>13.785500000000001</v>
      </c>
      <c r="G102" s="82">
        <f t="shared" si="27"/>
        <v>597.02830008952901</v>
      </c>
    </row>
    <row r="103" spans="1:12">
      <c r="C103">
        <v>73.697999999999993</v>
      </c>
      <c r="D103">
        <v>73.697999999999993</v>
      </c>
      <c r="E103" s="82">
        <f t="shared" si="25"/>
        <v>36.848999999999997</v>
      </c>
      <c r="F103" s="82">
        <f t="shared" si="26"/>
        <v>36.848999999999997</v>
      </c>
      <c r="G103" s="82">
        <f t="shared" si="27"/>
        <v>4265.8078179073082</v>
      </c>
    </row>
    <row r="104" spans="1:12">
      <c r="C104">
        <v>65.897999999999996</v>
      </c>
      <c r="D104">
        <v>65.897999999999996</v>
      </c>
      <c r="E104" s="82">
        <f t="shared" si="25"/>
        <v>32.948999999999998</v>
      </c>
      <c r="F104" s="82">
        <f t="shared" si="26"/>
        <v>32.948999999999998</v>
      </c>
      <c r="G104" s="82">
        <f t="shared" si="27"/>
        <v>3410.6279701697931</v>
      </c>
    </row>
    <row r="105" spans="1:12">
      <c r="C105">
        <v>60.468000000000004</v>
      </c>
      <c r="D105">
        <v>60.468000000000004</v>
      </c>
      <c r="E105" s="82">
        <f t="shared" si="25"/>
        <v>30.234000000000002</v>
      </c>
      <c r="F105" s="82">
        <f t="shared" si="26"/>
        <v>30.234000000000002</v>
      </c>
      <c r="G105" s="82">
        <f t="shared" si="27"/>
        <v>2871.7133701345547</v>
      </c>
    </row>
    <row r="106" spans="1:12">
      <c r="C106">
        <v>28.507000000000001</v>
      </c>
      <c r="D106">
        <v>28.507000000000001</v>
      </c>
      <c r="E106" s="82">
        <f t="shared" si="25"/>
        <v>14.253500000000001</v>
      </c>
      <c r="F106" s="82">
        <f t="shared" si="26"/>
        <v>14.253500000000001</v>
      </c>
      <c r="G106" s="82">
        <f t="shared" si="27"/>
        <v>638.25307057128305</v>
      </c>
    </row>
    <row r="107" spans="1:12">
      <c r="C107">
        <v>24.324000000000002</v>
      </c>
      <c r="D107">
        <v>24.324000000000002</v>
      </c>
      <c r="E107" s="82">
        <f t="shared" si="25"/>
        <v>12.162000000000001</v>
      </c>
      <c r="F107" s="82">
        <f t="shared" si="26"/>
        <v>12.162000000000001</v>
      </c>
      <c r="G107" s="82">
        <f t="shared" si="27"/>
        <v>464.68630231168817</v>
      </c>
    </row>
    <row r="108" spans="1:12">
      <c r="C108">
        <v>29.684000000000001</v>
      </c>
      <c r="D108">
        <v>29.684000000000001</v>
      </c>
      <c r="E108" s="82">
        <f t="shared" si="25"/>
        <v>14.842000000000001</v>
      </c>
      <c r="F108" s="82">
        <f t="shared" si="26"/>
        <v>14.842000000000001</v>
      </c>
      <c r="G108" s="82">
        <f t="shared" si="27"/>
        <v>692.04562459869214</v>
      </c>
    </row>
    <row r="109" spans="1:12">
      <c r="C109">
        <v>22.297000000000001</v>
      </c>
      <c r="D109">
        <v>22.297000000000001</v>
      </c>
      <c r="E109" s="82">
        <f t="shared" si="25"/>
        <v>11.1485</v>
      </c>
      <c r="F109" s="82">
        <f t="shared" si="26"/>
        <v>11.1485</v>
      </c>
      <c r="G109" s="82">
        <f t="shared" si="27"/>
        <v>390.46557347023798</v>
      </c>
    </row>
    <row r="110" spans="1:12">
      <c r="C110">
        <v>19.640999999999998</v>
      </c>
      <c r="D110">
        <v>19.640999999999998</v>
      </c>
      <c r="E110" s="82">
        <f t="shared" si="25"/>
        <v>9.8204999999999991</v>
      </c>
      <c r="F110" s="82">
        <f t="shared" si="26"/>
        <v>9.8204999999999991</v>
      </c>
      <c r="G110" s="82">
        <f t="shared" si="27"/>
        <v>302.98217063328872</v>
      </c>
    </row>
    <row r="111" spans="1:12">
      <c r="C111">
        <v>57.118000000000002</v>
      </c>
      <c r="D111">
        <v>57.118000000000002</v>
      </c>
      <c r="E111" s="82">
        <f t="shared" si="25"/>
        <v>28.559000000000001</v>
      </c>
      <c r="F111" s="82">
        <f t="shared" si="26"/>
        <v>28.559000000000001</v>
      </c>
      <c r="G111" s="82">
        <f t="shared" si="27"/>
        <v>2562.3347448563591</v>
      </c>
    </row>
    <row r="112" spans="1:12">
      <c r="C112">
        <v>55.554000000000002</v>
      </c>
      <c r="D112">
        <v>55.554000000000002</v>
      </c>
      <c r="E112" s="82">
        <f t="shared" si="25"/>
        <v>27.777000000000001</v>
      </c>
      <c r="F112" s="82">
        <f t="shared" si="26"/>
        <v>27.777000000000001</v>
      </c>
      <c r="G112" s="82">
        <f t="shared" si="27"/>
        <v>2423.9326596174392</v>
      </c>
    </row>
    <row r="113" spans="3:7">
      <c r="C113">
        <v>63.904000000000003</v>
      </c>
      <c r="D113">
        <v>63.904000000000003</v>
      </c>
      <c r="E113" s="82">
        <f t="shared" ref="E113:E130" si="28">C113/2</f>
        <v>31.952000000000002</v>
      </c>
      <c r="F113" s="82">
        <f t="shared" ref="F113:F130" si="29">D113/2</f>
        <v>31.952000000000002</v>
      </c>
      <c r="G113" s="82">
        <f t="shared" ref="G113:G130" si="30">PI()*E113*F113</f>
        <v>3207.3471428735947</v>
      </c>
    </row>
    <row r="114" spans="3:7">
      <c r="C114">
        <v>39.311</v>
      </c>
      <c r="D114">
        <v>39.311</v>
      </c>
      <c r="E114" s="82">
        <f t="shared" si="28"/>
        <v>19.6555</v>
      </c>
      <c r="F114" s="82">
        <f t="shared" si="29"/>
        <v>19.6555</v>
      </c>
      <c r="G114" s="82">
        <f t="shared" si="30"/>
        <v>1213.7187596709762</v>
      </c>
    </row>
    <row r="115" spans="3:7">
      <c r="C115">
        <v>80.655000000000001</v>
      </c>
      <c r="D115">
        <v>80.655000000000001</v>
      </c>
      <c r="E115" s="82">
        <f t="shared" si="28"/>
        <v>40.327500000000001</v>
      </c>
      <c r="F115" s="82">
        <f t="shared" si="29"/>
        <v>40.327500000000001</v>
      </c>
      <c r="G115" s="82">
        <f t="shared" si="30"/>
        <v>5109.1949287147736</v>
      </c>
    </row>
    <row r="116" spans="3:7">
      <c r="C116">
        <v>74.510999999999996</v>
      </c>
      <c r="D116">
        <v>74.510999999999996</v>
      </c>
      <c r="E116" s="82">
        <f t="shared" si="28"/>
        <v>37.255499999999998</v>
      </c>
      <c r="F116" s="82">
        <f t="shared" si="29"/>
        <v>37.255499999999998</v>
      </c>
      <c r="G116" s="82">
        <f t="shared" si="30"/>
        <v>4360.4435190196727</v>
      </c>
    </row>
    <row r="117" spans="3:7">
      <c r="C117">
        <v>25.959</v>
      </c>
      <c r="D117">
        <v>25.959</v>
      </c>
      <c r="E117" s="82">
        <f t="shared" si="28"/>
        <v>12.9795</v>
      </c>
      <c r="F117" s="82">
        <f t="shared" si="29"/>
        <v>12.9795</v>
      </c>
      <c r="G117" s="82">
        <f t="shared" si="30"/>
        <v>529.25600982662434</v>
      </c>
    </row>
    <row r="118" spans="3:7">
      <c r="C118">
        <v>74.694999999999993</v>
      </c>
      <c r="D118">
        <v>74.694999999999993</v>
      </c>
      <c r="E118" s="82">
        <f t="shared" si="28"/>
        <v>37.347499999999997</v>
      </c>
      <c r="F118" s="82">
        <f t="shared" si="29"/>
        <v>37.347499999999997</v>
      </c>
      <c r="G118" s="82">
        <f t="shared" si="30"/>
        <v>4382.0057647993626</v>
      </c>
    </row>
    <row r="119" spans="3:7">
      <c r="C119">
        <v>21.79</v>
      </c>
      <c r="D119">
        <v>21.79</v>
      </c>
      <c r="E119" s="82">
        <f t="shared" si="28"/>
        <v>10.895</v>
      </c>
      <c r="F119" s="82">
        <f t="shared" si="29"/>
        <v>10.895</v>
      </c>
      <c r="G119" s="82">
        <f t="shared" si="30"/>
        <v>372.91026811357835</v>
      </c>
    </row>
    <row r="120" spans="3:7">
      <c r="C120">
        <v>49.689</v>
      </c>
      <c r="D120">
        <v>49.689</v>
      </c>
      <c r="E120" s="82">
        <f t="shared" si="28"/>
        <v>24.8445</v>
      </c>
      <c r="F120" s="82">
        <f t="shared" si="29"/>
        <v>24.8445</v>
      </c>
      <c r="G120" s="82">
        <f t="shared" si="30"/>
        <v>1939.1454901077223</v>
      </c>
    </row>
    <row r="121" spans="3:7">
      <c r="C121">
        <v>29.920999999999999</v>
      </c>
      <c r="D121">
        <v>29.920999999999999</v>
      </c>
      <c r="E121" s="82">
        <f t="shared" si="28"/>
        <v>14.9605</v>
      </c>
      <c r="F121" s="82">
        <f t="shared" si="29"/>
        <v>14.9605</v>
      </c>
      <c r="G121" s="82">
        <f t="shared" si="30"/>
        <v>703.14046143313726</v>
      </c>
    </row>
    <row r="122" spans="3:7">
      <c r="C122">
        <v>34.307000000000002</v>
      </c>
      <c r="D122">
        <v>34.307000000000002</v>
      </c>
      <c r="E122" s="82">
        <f t="shared" si="28"/>
        <v>17.153500000000001</v>
      </c>
      <c r="F122" s="82">
        <f t="shared" si="29"/>
        <v>17.153500000000001</v>
      </c>
      <c r="G122" s="82">
        <f t="shared" si="30"/>
        <v>924.39027193803747</v>
      </c>
    </row>
    <row r="123" spans="3:7">
      <c r="C123">
        <v>35.51</v>
      </c>
      <c r="D123">
        <v>35.51</v>
      </c>
      <c r="E123" s="82">
        <f t="shared" si="28"/>
        <v>17.754999999999999</v>
      </c>
      <c r="F123" s="82">
        <f t="shared" si="29"/>
        <v>17.754999999999999</v>
      </c>
      <c r="G123" s="82">
        <f t="shared" si="30"/>
        <v>990.35574665746265</v>
      </c>
    </row>
    <row r="124" spans="3:7">
      <c r="C124">
        <v>16.728999999999999</v>
      </c>
      <c r="D124">
        <v>16.728999999999999</v>
      </c>
      <c r="E124" s="82">
        <f t="shared" si="28"/>
        <v>8.3644999999999996</v>
      </c>
      <c r="F124" s="82">
        <f t="shared" si="29"/>
        <v>8.3644999999999996</v>
      </c>
      <c r="G124" s="82">
        <f t="shared" si="30"/>
        <v>219.8010909708365</v>
      </c>
    </row>
    <row r="125" spans="3:7">
      <c r="C125">
        <v>145.19999999999999</v>
      </c>
      <c r="D125">
        <v>145.19999999999999</v>
      </c>
      <c r="E125" s="82">
        <f t="shared" si="28"/>
        <v>72.599999999999994</v>
      </c>
      <c r="F125" s="82">
        <f t="shared" si="29"/>
        <v>72.599999999999994</v>
      </c>
      <c r="G125" s="82">
        <f t="shared" si="30"/>
        <v>16558.580894834937</v>
      </c>
    </row>
    <row r="126" spans="3:7">
      <c r="C126">
        <v>72.230999999999995</v>
      </c>
      <c r="D126">
        <v>72.230999999999995</v>
      </c>
      <c r="E126" s="82">
        <f t="shared" si="28"/>
        <v>36.115499999999997</v>
      </c>
      <c r="F126" s="82">
        <f t="shared" si="29"/>
        <v>36.115499999999997</v>
      </c>
      <c r="G126" s="82">
        <f t="shared" si="30"/>
        <v>4097.6714731910206</v>
      </c>
    </row>
    <row r="127" spans="3:7">
      <c r="C127">
        <v>52.567999999999998</v>
      </c>
      <c r="D127">
        <v>52.567999999999998</v>
      </c>
      <c r="E127" s="82">
        <f t="shared" si="28"/>
        <v>26.283999999999999</v>
      </c>
      <c r="F127" s="82">
        <f t="shared" si="29"/>
        <v>26.283999999999999</v>
      </c>
      <c r="G127" s="82">
        <f t="shared" si="30"/>
        <v>2170.3650624319821</v>
      </c>
    </row>
    <row r="128" spans="3:7">
      <c r="C128">
        <v>71.691999999999993</v>
      </c>
      <c r="D128">
        <v>71.691999999999993</v>
      </c>
      <c r="E128" s="82">
        <f t="shared" si="28"/>
        <v>35.845999999999997</v>
      </c>
      <c r="F128" s="82">
        <f t="shared" si="29"/>
        <v>35.845999999999997</v>
      </c>
      <c r="G128" s="82">
        <f t="shared" si="30"/>
        <v>4036.7446057207399</v>
      </c>
    </row>
    <row r="129" spans="3:7">
      <c r="C129">
        <v>67.204999999999998</v>
      </c>
      <c r="D129">
        <v>67.204999999999998</v>
      </c>
      <c r="E129" s="82">
        <f t="shared" si="28"/>
        <v>33.602499999999999</v>
      </c>
      <c r="F129" s="82">
        <f t="shared" si="29"/>
        <v>33.602499999999999</v>
      </c>
      <c r="G129" s="82">
        <f t="shared" si="30"/>
        <v>3547.2602493974896</v>
      </c>
    </row>
    <row r="130" spans="3:7">
      <c r="C130">
        <v>27.338000000000001</v>
      </c>
      <c r="D130">
        <v>27.338000000000001</v>
      </c>
      <c r="E130" s="82">
        <f t="shared" si="28"/>
        <v>13.669</v>
      </c>
      <c r="F130" s="82">
        <f t="shared" si="29"/>
        <v>13.669</v>
      </c>
      <c r="G130" s="82">
        <f t="shared" si="30"/>
        <v>586.98007542284927</v>
      </c>
    </row>
    <row r="131" spans="3:7">
      <c r="C131">
        <v>53.237000000000002</v>
      </c>
      <c r="D131">
        <v>53.237000000000002</v>
      </c>
      <c r="E131" s="82">
        <f t="shared" si="25"/>
        <v>26.618500000000001</v>
      </c>
      <c r="F131" s="82">
        <f t="shared" si="26"/>
        <v>26.618500000000001</v>
      </c>
      <c r="G131" s="82">
        <f t="shared" si="27"/>
        <v>2225.9583286737429</v>
      </c>
    </row>
    <row r="132" spans="3:7">
      <c r="C132">
        <v>20.45</v>
      </c>
      <c r="D132">
        <v>20.45</v>
      </c>
      <c r="E132" s="82">
        <f t="shared" si="25"/>
        <v>10.225</v>
      </c>
      <c r="F132" s="82">
        <f t="shared" si="26"/>
        <v>10.225</v>
      </c>
      <c r="G132" s="82">
        <f t="shared" si="27"/>
        <v>328.45547542822135</v>
      </c>
    </row>
    <row r="133" spans="3:7">
      <c r="C133">
        <v>45.29</v>
      </c>
      <c r="D133">
        <v>45.29</v>
      </c>
      <c r="E133" s="82">
        <f t="shared" si="25"/>
        <v>22.645</v>
      </c>
      <c r="F133" s="82">
        <f t="shared" si="26"/>
        <v>22.645</v>
      </c>
      <c r="G133" s="82">
        <f t="shared" si="27"/>
        <v>1610.9962249300479</v>
      </c>
    </row>
    <row r="134" spans="3:7">
      <c r="C134">
        <v>16.271999999999998</v>
      </c>
      <c r="D134">
        <v>16.271999999999998</v>
      </c>
      <c r="E134" s="82">
        <f t="shared" si="25"/>
        <v>8.1359999999999992</v>
      </c>
      <c r="F134" s="82">
        <f t="shared" si="26"/>
        <v>8.1359999999999992</v>
      </c>
      <c r="G134" s="82">
        <f t="shared" si="27"/>
        <v>207.95614234167891</v>
      </c>
    </row>
    <row r="135" spans="3:7">
      <c r="C135">
        <v>35.142000000000003</v>
      </c>
      <c r="D135">
        <v>35.142000000000003</v>
      </c>
      <c r="E135" s="82">
        <f t="shared" si="25"/>
        <v>17.571000000000002</v>
      </c>
      <c r="F135" s="82">
        <f t="shared" si="26"/>
        <v>17.571000000000002</v>
      </c>
      <c r="G135" s="82">
        <f t="shared" si="27"/>
        <v>969.93544467461163</v>
      </c>
    </row>
    <row r="136" spans="3:7">
      <c r="C136">
        <v>27.777000000000001</v>
      </c>
      <c r="D136">
        <v>27.777000000000001</v>
      </c>
      <c r="E136" s="82">
        <f t="shared" si="25"/>
        <v>13.888500000000001</v>
      </c>
      <c r="F136" s="82">
        <f t="shared" si="26"/>
        <v>13.888500000000001</v>
      </c>
      <c r="G136" s="82">
        <f t="shared" si="27"/>
        <v>605.9831649043598</v>
      </c>
    </row>
    <row r="137" spans="3:7">
      <c r="C137">
        <v>25.870999999999999</v>
      </c>
      <c r="D137">
        <v>25.870999999999999</v>
      </c>
      <c r="E137" s="82">
        <f t="shared" si="25"/>
        <v>12.935499999999999</v>
      </c>
      <c r="F137" s="82">
        <f t="shared" si="26"/>
        <v>12.935499999999999</v>
      </c>
      <c r="G137" s="82">
        <f t="shared" si="27"/>
        <v>525.67377738744199</v>
      </c>
    </row>
    <row r="138" spans="3:7">
      <c r="C138">
        <v>32.997999999999998</v>
      </c>
      <c r="D138">
        <v>32.997999999999998</v>
      </c>
      <c r="E138" s="82">
        <f t="shared" si="25"/>
        <v>16.498999999999999</v>
      </c>
      <c r="F138" s="82">
        <f t="shared" si="26"/>
        <v>16.498999999999999</v>
      </c>
      <c r="G138" s="82">
        <f t="shared" si="27"/>
        <v>855.19493052384519</v>
      </c>
    </row>
    <row r="139" spans="3:7">
      <c r="C139">
        <v>36.216000000000001</v>
      </c>
      <c r="D139">
        <v>36.216000000000001</v>
      </c>
      <c r="E139" s="82">
        <f t="shared" si="25"/>
        <v>18.108000000000001</v>
      </c>
      <c r="F139" s="82">
        <f t="shared" si="26"/>
        <v>18.108000000000001</v>
      </c>
      <c r="G139" s="82">
        <f t="shared" si="27"/>
        <v>1030.1271755369617</v>
      </c>
    </row>
    <row r="140" spans="3:7">
      <c r="C140">
        <v>10.895</v>
      </c>
      <c r="D140">
        <v>10.895</v>
      </c>
      <c r="E140" s="82">
        <f t="shared" si="25"/>
        <v>5.4474999999999998</v>
      </c>
      <c r="F140" s="82">
        <f t="shared" si="26"/>
        <v>5.4474999999999998</v>
      </c>
      <c r="G140" s="82">
        <f t="shared" si="27"/>
        <v>93.227567028394589</v>
      </c>
    </row>
    <row r="141" spans="3:7">
      <c r="C141">
        <v>52.08</v>
      </c>
      <c r="D141">
        <v>52.08</v>
      </c>
      <c r="E141" s="82">
        <f t="shared" si="25"/>
        <v>26.04</v>
      </c>
      <c r="F141" s="82">
        <f t="shared" si="26"/>
        <v>26.04</v>
      </c>
      <c r="G141" s="82">
        <f t="shared" si="27"/>
        <v>2130.2561730944126</v>
      </c>
    </row>
    <row r="142" spans="3:7">
      <c r="C142">
        <v>28.745999999999999</v>
      </c>
      <c r="D142">
        <v>28.745999999999999</v>
      </c>
      <c r="E142" s="82">
        <f t="shared" si="25"/>
        <v>14.372999999999999</v>
      </c>
      <c r="F142" s="82">
        <f t="shared" si="26"/>
        <v>14.372999999999999</v>
      </c>
      <c r="G142" s="82">
        <f t="shared" si="27"/>
        <v>649.00004042199248</v>
      </c>
    </row>
    <row r="143" spans="3:7">
      <c r="C143">
        <v>21.367000000000001</v>
      </c>
      <c r="D143">
        <v>21.367000000000001</v>
      </c>
      <c r="E143" s="82">
        <f t="shared" si="25"/>
        <v>10.6835</v>
      </c>
      <c r="F143" s="82">
        <f t="shared" si="26"/>
        <v>10.6835</v>
      </c>
      <c r="G143" s="82">
        <f t="shared" si="27"/>
        <v>358.57250184211284</v>
      </c>
    </row>
    <row r="144" spans="3:7">
      <c r="C144">
        <v>173.334</v>
      </c>
      <c r="D144">
        <v>173.334</v>
      </c>
      <c r="E144" s="82">
        <f t="shared" si="25"/>
        <v>86.667000000000002</v>
      </c>
      <c r="F144" s="82">
        <f t="shared" si="26"/>
        <v>86.667000000000002</v>
      </c>
      <c r="G144" s="82">
        <f t="shared" si="27"/>
        <v>23597.03300155461</v>
      </c>
    </row>
    <row r="145" spans="2:12">
      <c r="C145">
        <v>82.049000000000007</v>
      </c>
      <c r="D145">
        <v>82.049000000000007</v>
      </c>
      <c r="E145" s="82">
        <f t="shared" si="25"/>
        <v>41.024500000000003</v>
      </c>
      <c r="F145" s="82">
        <f t="shared" si="26"/>
        <v>41.024500000000003</v>
      </c>
      <c r="G145" s="82">
        <f t="shared" si="27"/>
        <v>5287.3305960664948</v>
      </c>
    </row>
    <row r="146" spans="2:12">
      <c r="B146" s="96">
        <f>COUNT(C99:C145)</f>
        <v>47</v>
      </c>
      <c r="C146" s="96">
        <f>AVERAGE(C99:C145)</f>
        <v>46.640446808510632</v>
      </c>
      <c r="D146" s="96">
        <f>AVERAGE(D99:D145)</f>
        <v>46.640446808510632</v>
      </c>
      <c r="E146" s="96">
        <f>AVERAGE(E99:E145)</f>
        <v>23.320223404255316</v>
      </c>
      <c r="F146" s="96">
        <f>AVERAGE(F99:F145)</f>
        <v>23.320223404255316</v>
      </c>
      <c r="G146" s="96">
        <f>AVERAGE(G99:G145)</f>
        <v>2479.0514442025401</v>
      </c>
      <c r="H146" s="96">
        <f>B146</f>
        <v>47</v>
      </c>
      <c r="I146" s="97">
        <f>H146*G146</f>
        <v>116515.41787751939</v>
      </c>
      <c r="J146" s="9">
        <v>493533.14500000002</v>
      </c>
      <c r="K146" s="97">
        <f>I146/J146</f>
        <v>0.23608428138604426</v>
      </c>
      <c r="L146" s="97">
        <f>K146*100</f>
        <v>23.608428138604427</v>
      </c>
    </row>
    <row r="147" spans="2:12">
      <c r="B147" s="98">
        <f>COUNTIF(C99:C145,"&gt;"&amp;$B$6)</f>
        <v>0</v>
      </c>
      <c r="C147" s="99" t="e">
        <f>AVERAGEIF(C99:C145,"&gt;"&amp;$B$6)</f>
        <v>#DIV/0!</v>
      </c>
      <c r="D147" s="99" t="e">
        <f>AVERAGEIF(D99:D145,"&gt;"&amp;$B$6)</f>
        <v>#DIV/0!</v>
      </c>
      <c r="E147" s="99" t="e">
        <f>AVERAGEIF(C99:C145,"&gt;"&amp;$B$6,E99:E145)</f>
        <v>#DIV/0!</v>
      </c>
      <c r="F147" s="99" t="e">
        <f>AVERAGEIF(D99:D145,"&gt;"&amp;$B$6,F99:F145)</f>
        <v>#DIV/0!</v>
      </c>
      <c r="G147" s="99" t="e">
        <f>AVERAGEIF(C99:C145,"&gt;"&amp;$B$6,G99:G145)</f>
        <v>#DIV/0!</v>
      </c>
      <c r="H147" s="99">
        <f>B147</f>
        <v>0</v>
      </c>
      <c r="I147" s="97" t="e">
        <f>H147*G147</f>
        <v>#DIV/0!</v>
      </c>
      <c r="J147" s="98">
        <f>J146</f>
        <v>493533.14500000002</v>
      </c>
      <c r="K147" s="97" t="e">
        <f>I147/J147</f>
        <v>#DIV/0!</v>
      </c>
      <c r="L147" s="97" t="e">
        <f>K147*100</f>
        <v>#DIV/0!</v>
      </c>
    </row>
    <row r="148" spans="2:12">
      <c r="B148" s="98">
        <f>COUNTIF(C99:C145,"&gt;"&amp;$B$7)-COUNTIF(C99:C145,"&gt;"&amp;$B$6)</f>
        <v>2</v>
      </c>
      <c r="C148" s="98">
        <f>AVERAGEIFS(C99:C145,C99:C145,"&gt;"&amp;$B$7,C99:C145,"&lt;"&amp;$B$6)</f>
        <v>159.267</v>
      </c>
      <c r="D148" s="98">
        <f>AVERAGEIFS(D99:D145,D99:D145,"&gt;"&amp;$B$7,D99:D145,"&lt;"&amp;$B$6)</f>
        <v>159.267</v>
      </c>
      <c r="E148" s="98">
        <f>AVERAGEIFS(E99:E145,C99:C145,"&gt;"&amp;$B$7,C99:C145,"&lt;"&amp;$B$6)</f>
        <v>79.633499999999998</v>
      </c>
      <c r="F148" s="98">
        <f>AVERAGEIFS(F99:F145,D99:D145,"&gt;"&amp;$B$7,D99:D145,"&lt;"&amp;$B$6)</f>
        <v>79.633499999999998</v>
      </c>
      <c r="G148" s="98">
        <f>AVERAGEIFS(G99:G145,C99:C145,"&gt;"&amp;$B$7,C99:C145,"&lt;"&amp;$B$6)</f>
        <v>20077.806948194775</v>
      </c>
      <c r="H148" s="99">
        <f t="shared" ref="H148" si="31">B148</f>
        <v>2</v>
      </c>
      <c r="I148" s="99">
        <f>H148*G148</f>
        <v>40155.61389638955</v>
      </c>
      <c r="J148" s="98">
        <f>J146</f>
        <v>493533.14500000002</v>
      </c>
      <c r="K148" s="99">
        <f>I148/J148</f>
        <v>8.1363560488707493E-2</v>
      </c>
      <c r="L148" s="99">
        <f>K148*100</f>
        <v>8.1363560488707485</v>
      </c>
    </row>
    <row r="149" spans="2:12">
      <c r="B149" s="98">
        <f>COUNTIF(C99:C145,"&gt;"&amp;$B$8)-COUNTIF(C99:C145,"&gt;"&amp;$B$7)</f>
        <v>45</v>
      </c>
      <c r="C149" s="98">
        <f>AVERAGEIFS(C99:C145,C99:C145,"&gt;"&amp;$B$8,C99:C145,"&lt;"&amp;$B$7)</f>
        <v>41.634822222222219</v>
      </c>
      <c r="D149" s="98">
        <f>AVERAGEIFS(D99:D145,D99:D145,"&gt;"&amp;$B$8,D99:D145,"&lt;"&amp;$B$7)</f>
        <v>41.634822222222219</v>
      </c>
      <c r="E149" s="98">
        <f>AVERAGEIFS(E99:E145,C99:C145,"&gt;"&amp;$B$8,C99:C145,"&lt;"&amp;$B$7)</f>
        <v>20.81741111111111</v>
      </c>
      <c r="F149" s="98">
        <f>AVERAGEIFS(F99:F145,D99:D145,"&gt;"&amp;$B$8,D99:D145,"&lt;"&amp;$B$7)</f>
        <v>20.81741111111111</v>
      </c>
      <c r="G149" s="98">
        <f>AVERAGEIFS(G99:G145,C99:C145,"&gt;"&amp;$B$8,C99:C145,"&lt;"&amp;$B$7)</f>
        <v>1696.8845329139963</v>
      </c>
      <c r="H149" s="99">
        <f>B149</f>
        <v>45</v>
      </c>
      <c r="I149" s="99">
        <f>H149*G149</f>
        <v>76359.803981129837</v>
      </c>
      <c r="J149" s="98">
        <f>J146</f>
        <v>493533.14500000002</v>
      </c>
      <c r="K149" s="99">
        <f>I149/J149</f>
        <v>0.15472072089733677</v>
      </c>
      <c r="L149" s="99">
        <f>K149*100</f>
        <v>15.472072089733677</v>
      </c>
    </row>
  </sheetData>
  <pageMargins left="0.75" right="0.75" top="1" bottom="1" header="0.5" footer="0.5"/>
  <pageSetup orientation="portrait" horizontalDpi="4294967292" verticalDpi="4294967292"/>
  <drawing r:id="rId1"/>
  <legacyDrawing r:id="rId2"/>
  <extLst>
    <ext xmlns:mx="http://schemas.microsoft.com/office/mac/excel/2008/main" uri="{64002731-A6B0-56B0-2670-7721B7C09600}">
      <mx:PLV Mode="0" OnePage="0" WScale="0"/>
    </ext>
  </extLst>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G44"/>
  <sheetViews>
    <sheetView workbookViewId="0">
      <selection activeCell="E17" sqref="E17"/>
    </sheetView>
  </sheetViews>
  <sheetFormatPr baseColWidth="10" defaultRowHeight="15" x14ac:dyDescent="0"/>
  <cols>
    <col min="1" max="1" width="26.33203125" customWidth="1"/>
  </cols>
  <sheetData>
    <row r="1" spans="1:7">
      <c r="C1" s="138"/>
      <c r="D1" s="3" t="s">
        <v>185</v>
      </c>
    </row>
    <row r="2" spans="1:7">
      <c r="C2" s="139"/>
      <c r="D2" s="3" t="s">
        <v>186</v>
      </c>
    </row>
    <row r="4" spans="1:7">
      <c r="A4" t="s">
        <v>194</v>
      </c>
    </row>
    <row r="7" spans="1:7">
      <c r="A7" s="32" t="s">
        <v>122</v>
      </c>
    </row>
    <row r="8" spans="1:7">
      <c r="A8" s="45" t="s">
        <v>123</v>
      </c>
      <c r="B8" s="64"/>
      <c r="C8" s="45"/>
      <c r="D8" s="45"/>
      <c r="E8" s="45"/>
      <c r="F8" s="45"/>
      <c r="G8" s="45"/>
    </row>
    <row r="9" spans="1:7" ht="60">
      <c r="B9" s="69" t="s">
        <v>128</v>
      </c>
      <c r="C9" s="69" t="s">
        <v>129</v>
      </c>
      <c r="D9" s="69" t="s">
        <v>214</v>
      </c>
      <c r="E9" s="70" t="s">
        <v>124</v>
      </c>
      <c r="F9" s="70" t="s">
        <v>125</v>
      </c>
      <c r="G9" s="70" t="s">
        <v>126</v>
      </c>
    </row>
    <row r="10" spans="1:7">
      <c r="A10" t="str">
        <f>A21</f>
        <v>Hal-cho-RR-03</v>
      </c>
      <c r="B10">
        <f>B25</f>
        <v>16.538</v>
      </c>
      <c r="C10">
        <f t="shared" ref="C10:F10" si="0">C25</f>
        <v>15.93525</v>
      </c>
      <c r="D10">
        <f t="shared" si="0"/>
        <v>8.2690000000000001</v>
      </c>
      <c r="E10">
        <f t="shared" si="0"/>
        <v>7.967625</v>
      </c>
      <c r="F10">
        <f t="shared" si="0"/>
        <v>218.61933003965765</v>
      </c>
    </row>
    <row r="11" spans="1:7">
      <c r="A11" t="str">
        <f>A30</f>
        <v>Hal-cho-RR-07</v>
      </c>
      <c r="B11">
        <f>B33</f>
        <v>11.339333333333334</v>
      </c>
      <c r="C11">
        <f t="shared" ref="C11:F11" si="1">C33</f>
        <v>11.339333333333334</v>
      </c>
      <c r="D11">
        <f t="shared" si="1"/>
        <v>5.6696666666666671</v>
      </c>
      <c r="E11">
        <f t="shared" si="1"/>
        <v>5.6696666666666671</v>
      </c>
      <c r="F11">
        <f t="shared" si="1"/>
        <v>101.56687001127665</v>
      </c>
    </row>
    <row r="12" spans="1:7">
      <c r="A12" t="str">
        <f>A37</f>
        <v>Hal-RR-cho-C-11</v>
      </c>
      <c r="B12">
        <f>B44</f>
        <v>14.708714285714288</v>
      </c>
      <c r="C12">
        <f t="shared" ref="C12:F12" si="2">C44</f>
        <v>14.708714285714288</v>
      </c>
      <c r="D12">
        <f t="shared" si="2"/>
        <v>7.3543571428571441</v>
      </c>
      <c r="E12">
        <f t="shared" si="2"/>
        <v>7.3543571428571441</v>
      </c>
      <c r="F12">
        <f t="shared" si="2"/>
        <v>177.92481431178743</v>
      </c>
    </row>
    <row r="13" spans="1:7">
      <c r="A13" s="45"/>
      <c r="B13" s="45"/>
      <c r="C13" s="45"/>
      <c r="D13" s="45"/>
      <c r="E13" s="45"/>
      <c r="F13" s="45"/>
      <c r="G13" s="45"/>
    </row>
    <row r="14" spans="1:7">
      <c r="A14" s="65" t="s">
        <v>127</v>
      </c>
      <c r="B14" s="66"/>
      <c r="C14" s="67">
        <f>AVERAGE(B10:C12)</f>
        <v>14.094890873015876</v>
      </c>
      <c r="D14" s="66"/>
      <c r="E14" s="66">
        <f>AVERAGE(D10:E12)</f>
        <v>7.047445436507938</v>
      </c>
      <c r="F14" s="66">
        <f>AVERAGE(F10:F13)</f>
        <v>166.03700478757392</v>
      </c>
      <c r="G14" s="68">
        <f>(F14*'Choanocyte Chambers'!G13)/1000000</f>
        <v>0.44571886137536126</v>
      </c>
    </row>
    <row r="20" spans="1:7" ht="45">
      <c r="A20" t="s">
        <v>193</v>
      </c>
      <c r="B20" s="69" t="s">
        <v>128</v>
      </c>
      <c r="C20" s="69" t="s">
        <v>129</v>
      </c>
      <c r="D20" s="69" t="s">
        <v>214</v>
      </c>
      <c r="E20" s="70" t="s">
        <v>215</v>
      </c>
      <c r="F20" s="70" t="s">
        <v>125</v>
      </c>
      <c r="G20" s="70"/>
    </row>
    <row r="21" spans="1:7">
      <c r="A21" t="s">
        <v>211</v>
      </c>
      <c r="B21">
        <v>10.831</v>
      </c>
      <c r="C21">
        <v>10.904</v>
      </c>
      <c r="D21" s="82">
        <f>B21/2</f>
        <v>5.4154999999999998</v>
      </c>
      <c r="E21" s="82">
        <f>C21/2</f>
        <v>5.452</v>
      </c>
      <c r="F21" s="82">
        <f>PI()*(E21)*D21</f>
        <v>92.756484424590639</v>
      </c>
    </row>
    <row r="22" spans="1:7">
      <c r="B22">
        <v>15.605</v>
      </c>
      <c r="C22">
        <v>15.605</v>
      </c>
      <c r="D22" s="82">
        <f t="shared" ref="D22:D24" si="3">B22/2</f>
        <v>7.8025000000000002</v>
      </c>
      <c r="E22" s="82">
        <f t="shared" ref="E22:E24" si="4">C22/2</f>
        <v>7.8025000000000002</v>
      </c>
      <c r="F22" s="82">
        <f t="shared" ref="F22:F24" si="5">PI()*(E22)*D22</f>
        <v>191.25703879284711</v>
      </c>
    </row>
    <row r="23" spans="1:7">
      <c r="B23">
        <v>23.05</v>
      </c>
      <c r="C23">
        <v>20.565999999999999</v>
      </c>
      <c r="D23" s="82">
        <f t="shared" si="3"/>
        <v>11.525</v>
      </c>
      <c r="E23" s="82">
        <f t="shared" si="4"/>
        <v>10.282999999999999</v>
      </c>
      <c r="F23" s="82">
        <f t="shared" si="5"/>
        <v>372.31509338535579</v>
      </c>
    </row>
    <row r="24" spans="1:7">
      <c r="B24">
        <v>16.666</v>
      </c>
      <c r="C24">
        <v>16.666</v>
      </c>
      <c r="D24" s="82">
        <f t="shared" si="3"/>
        <v>8.3330000000000002</v>
      </c>
      <c r="E24" s="82">
        <f t="shared" si="4"/>
        <v>8.3330000000000002</v>
      </c>
      <c r="F24" s="82">
        <f t="shared" si="5"/>
        <v>218.1487035558371</v>
      </c>
    </row>
    <row r="25" spans="1:7">
      <c r="B25" s="82">
        <f>AVERAGE(B21:B24)</f>
        <v>16.538</v>
      </c>
      <c r="C25" s="82">
        <f>AVERAGE(C21:C24)</f>
        <v>15.93525</v>
      </c>
      <c r="D25" s="82">
        <f>AVERAGE(D21:D24)</f>
        <v>8.2690000000000001</v>
      </c>
      <c r="E25" s="82">
        <f>AVERAGE(E21:E24)</f>
        <v>7.967625</v>
      </c>
      <c r="F25" s="82">
        <f>AVERAGE(F21:F24)</f>
        <v>218.61933003965765</v>
      </c>
    </row>
    <row r="29" spans="1:7" ht="45">
      <c r="A29" t="s">
        <v>193</v>
      </c>
      <c r="B29" s="69" t="s">
        <v>128</v>
      </c>
      <c r="C29" s="69" t="s">
        <v>129</v>
      </c>
      <c r="D29" s="69" t="s">
        <v>214</v>
      </c>
      <c r="E29" s="70" t="s">
        <v>215</v>
      </c>
      <c r="F29" s="70" t="s">
        <v>125</v>
      </c>
      <c r="G29" s="70"/>
    </row>
    <row r="30" spans="1:7">
      <c r="A30" t="s">
        <v>212</v>
      </c>
      <c r="B30">
        <v>10.269</v>
      </c>
      <c r="C30">
        <v>10.269</v>
      </c>
      <c r="D30" s="82">
        <f>B30/2</f>
        <v>5.1345000000000001</v>
      </c>
      <c r="E30" s="82">
        <f>C30/2</f>
        <v>5.1345000000000001</v>
      </c>
      <c r="F30" s="82">
        <f>PI()*(E30)*D30</f>
        <v>82.8220906553247</v>
      </c>
    </row>
    <row r="31" spans="1:7">
      <c r="B31">
        <v>11.375999999999999</v>
      </c>
      <c r="C31">
        <v>11.375999999999999</v>
      </c>
      <c r="D31" s="82">
        <f t="shared" ref="D31:D32" si="6">B31/2</f>
        <v>5.6879999999999997</v>
      </c>
      <c r="E31" s="82">
        <f t="shared" ref="E31:E32" si="7">C31/2</f>
        <v>5.6879999999999997</v>
      </c>
      <c r="F31" s="82">
        <f t="shared" ref="F31:F32" si="8">PI()*(E31)*D31</f>
        <v>101.64102782946341</v>
      </c>
    </row>
    <row r="32" spans="1:7">
      <c r="B32">
        <v>12.372999999999999</v>
      </c>
      <c r="C32">
        <v>12.372999999999999</v>
      </c>
      <c r="D32" s="82">
        <f t="shared" si="6"/>
        <v>6.1864999999999997</v>
      </c>
      <c r="E32" s="82">
        <f t="shared" si="7"/>
        <v>6.1864999999999997</v>
      </c>
      <c r="F32" s="82">
        <f t="shared" si="8"/>
        <v>120.23749154904182</v>
      </c>
    </row>
    <row r="33" spans="1:7">
      <c r="B33" s="82">
        <f>AVERAGE(B30:B32)</f>
        <v>11.339333333333334</v>
      </c>
      <c r="C33" s="82">
        <f>AVERAGE(C30:C32)</f>
        <v>11.339333333333334</v>
      </c>
      <c r="D33" s="82">
        <f>AVERAGE(D30:D32)</f>
        <v>5.6696666666666671</v>
      </c>
      <c r="E33" s="82">
        <f>AVERAGE(E30:E32)</f>
        <v>5.6696666666666671</v>
      </c>
      <c r="F33" s="82">
        <f>AVERAGE(F30:F32)</f>
        <v>101.56687001127665</v>
      </c>
    </row>
    <row r="36" spans="1:7" ht="45">
      <c r="A36" t="s">
        <v>193</v>
      </c>
      <c r="B36" s="69" t="s">
        <v>128</v>
      </c>
      <c r="C36" s="69" t="s">
        <v>129</v>
      </c>
      <c r="D36" s="69" t="s">
        <v>214</v>
      </c>
      <c r="E36" s="70" t="s">
        <v>215</v>
      </c>
      <c r="F36" s="70" t="s">
        <v>125</v>
      </c>
      <c r="G36" s="70"/>
    </row>
    <row r="37" spans="1:7">
      <c r="A37" t="s">
        <v>213</v>
      </c>
      <c r="B37">
        <v>16.248000000000001</v>
      </c>
      <c r="C37">
        <v>16.248000000000001</v>
      </c>
      <c r="D37" s="82">
        <f>B37/2</f>
        <v>8.1240000000000006</v>
      </c>
      <c r="E37" s="82">
        <f>C37/2</f>
        <v>8.1240000000000006</v>
      </c>
      <c r="F37" s="82">
        <f>PI()*(E37)*D37</f>
        <v>207.34315478311052</v>
      </c>
    </row>
    <row r="38" spans="1:7">
      <c r="B38">
        <v>14.335000000000001</v>
      </c>
      <c r="C38">
        <v>14.335000000000001</v>
      </c>
      <c r="D38" s="82">
        <f t="shared" ref="D38:D43" si="9">B38/2</f>
        <v>7.1675000000000004</v>
      </c>
      <c r="E38" s="82">
        <f t="shared" ref="E38:E43" si="10">C38/2</f>
        <v>7.1675000000000004</v>
      </c>
      <c r="F38" s="82">
        <f t="shared" ref="F38:F43" si="11">PI()*(E38)*D38</f>
        <v>161.39321610745523</v>
      </c>
    </row>
    <row r="39" spans="1:7">
      <c r="B39">
        <v>8.6270000000000007</v>
      </c>
      <c r="C39">
        <v>8.6270000000000007</v>
      </c>
      <c r="D39" s="82">
        <f t="shared" si="9"/>
        <v>4.3135000000000003</v>
      </c>
      <c r="E39" s="82">
        <f t="shared" si="10"/>
        <v>4.3135000000000003</v>
      </c>
      <c r="F39" s="82">
        <f t="shared" si="11"/>
        <v>58.453359627218177</v>
      </c>
    </row>
    <row r="40" spans="1:7">
      <c r="B40">
        <v>17.440000000000001</v>
      </c>
      <c r="C40">
        <v>17.440000000000001</v>
      </c>
      <c r="D40" s="82">
        <f t="shared" si="9"/>
        <v>8.7200000000000006</v>
      </c>
      <c r="E40" s="82">
        <f t="shared" si="10"/>
        <v>8.7200000000000006</v>
      </c>
      <c r="F40" s="82">
        <f t="shared" si="11"/>
        <v>238.88167883072217</v>
      </c>
    </row>
    <row r="41" spans="1:7">
      <c r="B41">
        <v>13.488</v>
      </c>
      <c r="C41">
        <v>13.488</v>
      </c>
      <c r="D41" s="82">
        <f t="shared" si="9"/>
        <v>6.7439999999999998</v>
      </c>
      <c r="E41" s="82">
        <f t="shared" si="10"/>
        <v>6.7439999999999998</v>
      </c>
      <c r="F41" s="82">
        <f t="shared" si="11"/>
        <v>142.88445937157971</v>
      </c>
    </row>
    <row r="42" spans="1:7">
      <c r="B42">
        <v>13.486000000000001</v>
      </c>
      <c r="C42">
        <v>13.486000000000001</v>
      </c>
      <c r="D42" s="82">
        <f t="shared" si="9"/>
        <v>6.7430000000000003</v>
      </c>
      <c r="E42" s="82">
        <f t="shared" si="10"/>
        <v>6.7430000000000003</v>
      </c>
      <c r="F42" s="82">
        <f t="shared" si="11"/>
        <v>142.84208871146078</v>
      </c>
    </row>
    <row r="43" spans="1:7">
      <c r="B43">
        <v>19.337</v>
      </c>
      <c r="C43">
        <v>19.337</v>
      </c>
      <c r="D43" s="82">
        <f t="shared" si="9"/>
        <v>9.6684999999999999</v>
      </c>
      <c r="E43" s="82">
        <f t="shared" si="10"/>
        <v>9.6684999999999999</v>
      </c>
      <c r="F43" s="82">
        <f t="shared" si="11"/>
        <v>293.67574275096541</v>
      </c>
    </row>
    <row r="44" spans="1:7">
      <c r="B44" s="82">
        <f>AVERAGE(B37:B43)</f>
        <v>14.708714285714288</v>
      </c>
      <c r="C44" s="82">
        <f t="shared" ref="C44:F44" si="12">AVERAGE(C37:C43)</f>
        <v>14.708714285714288</v>
      </c>
      <c r="D44" s="82">
        <f t="shared" si="12"/>
        <v>7.3543571428571441</v>
      </c>
      <c r="E44" s="82">
        <f t="shared" si="12"/>
        <v>7.3543571428571441</v>
      </c>
      <c r="F44" s="82">
        <f t="shared" si="12"/>
        <v>177.92481431178743</v>
      </c>
    </row>
  </sheetData>
  <pageMargins left="0.75" right="0.75" top="1" bottom="1" header="0.5" footer="0.5"/>
  <pageSetup orientation="portrait" horizontalDpi="4294967292" verticalDpi="4294967292"/>
  <extLst>
    <ext xmlns:mx="http://schemas.microsoft.com/office/mac/excel/2008/main" uri="{64002731-A6B0-56B0-2670-7721B7C09600}">
      <mx:PLV Mode="0" OnePage="0" WScale="0"/>
    </ext>
  </extLst>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1:R36"/>
  <sheetViews>
    <sheetView workbookViewId="0">
      <selection activeCell="S19" sqref="S19"/>
    </sheetView>
  </sheetViews>
  <sheetFormatPr baseColWidth="10" defaultRowHeight="15" x14ac:dyDescent="0"/>
  <cols>
    <col min="14" max="14" width="23.5" customWidth="1"/>
    <col min="15" max="15" width="22.33203125" customWidth="1"/>
  </cols>
  <sheetData>
    <row r="1" spans="1:18">
      <c r="E1" s="138"/>
      <c r="F1" s="3" t="s">
        <v>185</v>
      </c>
    </row>
    <row r="2" spans="1:18">
      <c r="E2" s="139"/>
      <c r="F2" s="3" t="s">
        <v>186</v>
      </c>
    </row>
    <row r="7" spans="1:18">
      <c r="D7" t="s">
        <v>139</v>
      </c>
      <c r="E7" t="s">
        <v>140</v>
      </c>
      <c r="F7" t="s">
        <v>147</v>
      </c>
      <c r="G7" t="s">
        <v>42</v>
      </c>
      <c r="H7" t="s">
        <v>146</v>
      </c>
      <c r="I7" t="s">
        <v>148</v>
      </c>
      <c r="J7" t="s">
        <v>145</v>
      </c>
      <c r="K7" t="s">
        <v>141</v>
      </c>
      <c r="L7" t="s">
        <v>142</v>
      </c>
      <c r="M7" t="s">
        <v>152</v>
      </c>
      <c r="N7" t="s">
        <v>153</v>
      </c>
      <c r="O7" t="s">
        <v>144</v>
      </c>
      <c r="P7" t="s">
        <v>149</v>
      </c>
      <c r="Q7" t="s">
        <v>150</v>
      </c>
      <c r="R7" t="s">
        <v>321</v>
      </c>
    </row>
    <row r="8" spans="1:18">
      <c r="A8" s="5" t="s">
        <v>196</v>
      </c>
      <c r="B8" s="5">
        <v>1</v>
      </c>
      <c r="C8" s="5">
        <v>1</v>
      </c>
      <c r="F8" s="82">
        <f>H8*2</f>
        <v>6.3145809045414847</v>
      </c>
      <c r="G8" s="82">
        <f>I8*2</f>
        <v>6314.5809045414844</v>
      </c>
      <c r="H8" s="82">
        <f>I8/1000</f>
        <v>3.1572904522707423</v>
      </c>
      <c r="I8" s="82">
        <f>SQRT(K8/PI())</f>
        <v>3157.2904522707422</v>
      </c>
      <c r="J8" s="140">
        <v>0.313169129602347</v>
      </c>
      <c r="K8" s="82">
        <f>J8*100000000</f>
        <v>31316912.960234698</v>
      </c>
      <c r="L8" s="203">
        <v>4.5118752000000004</v>
      </c>
      <c r="M8" s="82">
        <f>L8/100</f>
        <v>4.5118752000000005E-2</v>
      </c>
      <c r="N8" s="82">
        <f>(J8*L8)</f>
        <v>1.4129800292584154</v>
      </c>
      <c r="O8" s="82">
        <f t="shared" ref="O8:O17" si="0">(J8*L8)/1000*60*60</f>
        <v>5.0867281053302955</v>
      </c>
      <c r="P8" s="84">
        <v>1.6417955216391402</v>
      </c>
      <c r="R8">
        <v>1.7896333333333294</v>
      </c>
    </row>
    <row r="9" spans="1:18">
      <c r="A9" t="s">
        <v>196</v>
      </c>
      <c r="B9">
        <v>1</v>
      </c>
      <c r="C9">
        <v>2</v>
      </c>
      <c r="F9" s="82">
        <f t="shared" ref="F9:F17" si="1">H9*2</f>
        <v>6.3145809045414882</v>
      </c>
      <c r="G9" s="82">
        <f t="shared" ref="G9:G17" si="2">I9*2</f>
        <v>6314.5809045414881</v>
      </c>
      <c r="H9" s="82">
        <f t="shared" ref="H9:H17" si="3">I9/1000</f>
        <v>3.1572904522707441</v>
      </c>
      <c r="I9" s="82">
        <f t="shared" ref="I9:I17" si="4">SQRT(K9/PI())</f>
        <v>3157.290452270744</v>
      </c>
      <c r="J9" s="110">
        <v>0.31316912960234744</v>
      </c>
      <c r="K9" s="82">
        <f t="shared" ref="K9:K17" si="5">J9*100000000</f>
        <v>31316912.960234743</v>
      </c>
      <c r="L9" s="203">
        <v>3.2067369999999999</v>
      </c>
      <c r="M9" s="82">
        <f t="shared" ref="M9:M17" si="6">L9/100</f>
        <v>3.2067369999999998E-2</v>
      </c>
      <c r="N9" s="82">
        <f t="shared" ref="N9:N17" si="7">(J9*L9)</f>
        <v>1.0042510351536429</v>
      </c>
      <c r="O9" s="82">
        <f t="shared" si="0"/>
        <v>3.615303726553114</v>
      </c>
      <c r="P9" s="84">
        <v>1.6417955216391402</v>
      </c>
      <c r="R9">
        <v>6.7130666666666592</v>
      </c>
    </row>
    <row r="10" spans="1:18">
      <c r="A10" t="s">
        <v>196</v>
      </c>
      <c r="B10">
        <v>1</v>
      </c>
      <c r="C10">
        <v>3</v>
      </c>
      <c r="F10" s="82">
        <f t="shared" si="1"/>
        <v>6.3145809045414882</v>
      </c>
      <c r="G10" s="82">
        <f t="shared" si="2"/>
        <v>6314.5809045414881</v>
      </c>
      <c r="H10" s="82">
        <f t="shared" si="3"/>
        <v>3.1572904522707441</v>
      </c>
      <c r="I10" s="82">
        <f t="shared" si="4"/>
        <v>3157.290452270744</v>
      </c>
      <c r="J10" s="110">
        <v>0.31316912960234744</v>
      </c>
      <c r="K10" s="82">
        <f t="shared" si="5"/>
        <v>31316912.960234743</v>
      </c>
      <c r="L10" s="203">
        <v>2.8092646999999999</v>
      </c>
      <c r="M10" s="82">
        <f t="shared" si="6"/>
        <v>2.8092646999999998E-2</v>
      </c>
      <c r="N10" s="82">
        <f t="shared" si="7"/>
        <v>0.87977498092159967</v>
      </c>
      <c r="O10" s="82">
        <f t="shared" si="0"/>
        <v>3.1671899313177589</v>
      </c>
      <c r="P10" s="84">
        <v>1.6417955216391402</v>
      </c>
      <c r="R10">
        <v>2.5938000000000021</v>
      </c>
    </row>
    <row r="11" spans="1:18">
      <c r="A11" t="s">
        <v>196</v>
      </c>
      <c r="B11">
        <v>1</v>
      </c>
      <c r="C11">
        <v>4</v>
      </c>
      <c r="F11" s="82">
        <f t="shared" si="1"/>
        <v>6.3145809045414882</v>
      </c>
      <c r="G11" s="82">
        <f t="shared" si="2"/>
        <v>6314.5809045414881</v>
      </c>
      <c r="H11" s="82">
        <f t="shared" si="3"/>
        <v>3.1572904522707441</v>
      </c>
      <c r="I11" s="82">
        <f t="shared" si="4"/>
        <v>3157.290452270744</v>
      </c>
      <c r="J11" s="110">
        <v>0.31316912960234744</v>
      </c>
      <c r="K11" s="82">
        <f t="shared" si="5"/>
        <v>31316912.960234743</v>
      </c>
      <c r="L11" s="203">
        <v>3.1438081000000002</v>
      </c>
      <c r="M11" s="82">
        <f t="shared" si="6"/>
        <v>3.1438081E-2</v>
      </c>
      <c r="N11" s="82">
        <f t="shared" si="7"/>
        <v>0.98454364631380975</v>
      </c>
      <c r="O11" s="82">
        <f t="shared" si="0"/>
        <v>3.5443571267297154</v>
      </c>
      <c r="P11" s="84">
        <v>1.6417955216391402</v>
      </c>
      <c r="R11">
        <v>2.8064666666666565</v>
      </c>
    </row>
    <row r="12" spans="1:18">
      <c r="A12" t="s">
        <v>196</v>
      </c>
      <c r="B12">
        <v>1</v>
      </c>
      <c r="C12">
        <v>5</v>
      </c>
      <c r="F12" s="82">
        <f t="shared" si="1"/>
        <v>6.3145809045414882</v>
      </c>
      <c r="G12" s="82">
        <f t="shared" si="2"/>
        <v>6314.5809045414881</v>
      </c>
      <c r="H12" s="82">
        <f t="shared" si="3"/>
        <v>3.1572904522707441</v>
      </c>
      <c r="I12" s="82">
        <f t="shared" si="4"/>
        <v>3157.290452270744</v>
      </c>
      <c r="J12" s="110">
        <v>0.31316912960234744</v>
      </c>
      <c r="K12" s="82">
        <f t="shared" si="5"/>
        <v>31316912.960234743</v>
      </c>
      <c r="L12" s="203">
        <v>2.1466249999999998</v>
      </c>
      <c r="M12" s="82">
        <f t="shared" si="6"/>
        <v>2.1466249999999999E-2</v>
      </c>
      <c r="N12" s="82">
        <f t="shared" si="7"/>
        <v>0.67225668283263895</v>
      </c>
      <c r="O12" s="82">
        <f t="shared" si="0"/>
        <v>2.4201240581975001</v>
      </c>
      <c r="P12" s="84">
        <v>1.6417955216391402</v>
      </c>
      <c r="R12">
        <v>2.7313666666666574</v>
      </c>
    </row>
    <row r="13" spans="1:18">
      <c r="A13" t="s">
        <v>196</v>
      </c>
      <c r="B13">
        <v>1</v>
      </c>
      <c r="C13">
        <v>6</v>
      </c>
      <c r="F13" s="82">
        <f t="shared" si="1"/>
        <v>6.3145809045414882</v>
      </c>
      <c r="G13" s="82">
        <f t="shared" si="2"/>
        <v>6314.5809045414881</v>
      </c>
      <c r="H13" s="82">
        <f t="shared" si="3"/>
        <v>3.1572904522707441</v>
      </c>
      <c r="I13" s="82">
        <f t="shared" si="4"/>
        <v>3157.290452270744</v>
      </c>
      <c r="J13" s="110">
        <v>0.31316912960234744</v>
      </c>
      <c r="K13" s="82">
        <f t="shared" si="5"/>
        <v>31316912.960234743</v>
      </c>
      <c r="L13" s="203">
        <v>4.2831655</v>
      </c>
      <c r="M13" s="82">
        <f t="shared" si="6"/>
        <v>4.2831654999999996E-2</v>
      </c>
      <c r="N13" s="82">
        <f t="shared" si="7"/>
        <v>1.3413552115778034</v>
      </c>
      <c r="O13" s="82">
        <f t="shared" si="0"/>
        <v>4.8288787616800919</v>
      </c>
      <c r="P13" s="84">
        <v>1.6417955216391402</v>
      </c>
      <c r="R13">
        <v>1.6033333333333417</v>
      </c>
    </row>
    <row r="14" spans="1:18">
      <c r="A14" t="s">
        <v>196</v>
      </c>
      <c r="B14">
        <v>2</v>
      </c>
      <c r="C14">
        <v>1</v>
      </c>
      <c r="F14" s="82">
        <f t="shared" si="1"/>
        <v>5.3151556891590683</v>
      </c>
      <c r="G14" s="82">
        <f t="shared" si="2"/>
        <v>5315.1556891590681</v>
      </c>
      <c r="H14" s="82">
        <f t="shared" si="3"/>
        <v>2.6575778445795342</v>
      </c>
      <c r="I14" s="82">
        <f t="shared" si="4"/>
        <v>2657.577844579534</v>
      </c>
      <c r="J14" s="110">
        <v>0.22188189266361705</v>
      </c>
      <c r="K14" s="82">
        <f t="shared" si="5"/>
        <v>22188189.266361706</v>
      </c>
      <c r="L14" s="203">
        <v>3.5896199000000002</v>
      </c>
      <c r="M14" s="82">
        <f t="shared" si="6"/>
        <v>3.5896199000000004E-2</v>
      </c>
      <c r="N14" s="82">
        <f t="shared" si="7"/>
        <v>0.79647165735498382</v>
      </c>
      <c r="O14" s="82">
        <f t="shared" si="0"/>
        <v>2.8672979664779419</v>
      </c>
      <c r="P14" s="84">
        <v>1.1632203281674038</v>
      </c>
      <c r="R14">
        <v>1.007166666666659</v>
      </c>
    </row>
    <row r="15" spans="1:18">
      <c r="A15" t="s">
        <v>196</v>
      </c>
      <c r="B15">
        <v>3</v>
      </c>
      <c r="C15">
        <v>1</v>
      </c>
      <c r="F15" s="82">
        <f t="shared" si="1"/>
        <v>4.2363316678466054</v>
      </c>
      <c r="G15" s="82">
        <f t="shared" si="2"/>
        <v>4236.3316678466053</v>
      </c>
      <c r="H15" s="82">
        <f t="shared" si="3"/>
        <v>2.1181658339233027</v>
      </c>
      <c r="I15" s="82">
        <f t="shared" si="4"/>
        <v>2118.1658339233027</v>
      </c>
      <c r="J15" s="110">
        <v>0.14095152851801285</v>
      </c>
      <c r="K15" s="82">
        <f t="shared" si="5"/>
        <v>14095152.851801286</v>
      </c>
      <c r="L15" s="203">
        <v>2.1202846000000002</v>
      </c>
      <c r="M15" s="82">
        <f t="shared" si="6"/>
        <v>2.1202846000000001E-2</v>
      </c>
      <c r="N15" s="82">
        <f t="shared" si="7"/>
        <v>0.29885735526320351</v>
      </c>
      <c r="O15" s="82">
        <f t="shared" si="0"/>
        <v>1.0758864789475324</v>
      </c>
      <c r="P15" s="84">
        <v>0.7389412506363795</v>
      </c>
      <c r="R15">
        <v>1.1021333333333312</v>
      </c>
    </row>
    <row r="16" spans="1:18">
      <c r="A16" t="s">
        <v>196</v>
      </c>
      <c r="B16">
        <v>4</v>
      </c>
      <c r="C16">
        <v>1</v>
      </c>
      <c r="F16" s="82">
        <f t="shared" si="1"/>
        <v>2.8563860033265813</v>
      </c>
      <c r="G16" s="82">
        <f t="shared" si="2"/>
        <v>2856.3860033265814</v>
      </c>
      <c r="H16" s="82">
        <f t="shared" si="3"/>
        <v>1.4281930016632907</v>
      </c>
      <c r="I16" s="82">
        <f t="shared" si="4"/>
        <v>1428.1930016632907</v>
      </c>
      <c r="J16" s="110">
        <v>6.4080172766681404E-2</v>
      </c>
      <c r="K16" s="82">
        <f t="shared" si="5"/>
        <v>6408017.2766681407</v>
      </c>
      <c r="L16" s="203">
        <v>1.484578</v>
      </c>
      <c r="M16" s="82">
        <f t="shared" si="6"/>
        <v>1.4845779999999999E-2</v>
      </c>
      <c r="N16" s="82">
        <f t="shared" si="7"/>
        <v>9.5132014725614347E-2</v>
      </c>
      <c r="O16" s="82">
        <f t="shared" si="0"/>
        <v>0.34247525301221166</v>
      </c>
      <c r="P16" s="84">
        <v>0.33594160704085985</v>
      </c>
      <c r="R16">
        <v>1.2012333333333325</v>
      </c>
    </row>
    <row r="17" spans="1:18">
      <c r="A17" s="45" t="s">
        <v>196</v>
      </c>
      <c r="B17" s="45">
        <v>5</v>
      </c>
      <c r="C17" s="45">
        <v>1</v>
      </c>
      <c r="F17" s="82">
        <f t="shared" si="1"/>
        <v>4.9774470363832091</v>
      </c>
      <c r="G17" s="82">
        <f t="shared" si="2"/>
        <v>4977.4470363832088</v>
      </c>
      <c r="H17" s="82">
        <f t="shared" si="3"/>
        <v>2.4887235181916045</v>
      </c>
      <c r="I17" s="82">
        <f t="shared" si="4"/>
        <v>2488.7235181916044</v>
      </c>
      <c r="J17" s="141">
        <v>0.19458223004810346</v>
      </c>
      <c r="K17" s="82">
        <f t="shared" si="5"/>
        <v>19458223.004810344</v>
      </c>
      <c r="L17" s="203">
        <v>3.1469672000000002</v>
      </c>
      <c r="M17" s="82">
        <f t="shared" si="6"/>
        <v>3.1469672000000004E-2</v>
      </c>
      <c r="N17" s="82">
        <f t="shared" si="7"/>
        <v>0.61234389566423608</v>
      </c>
      <c r="O17" s="82">
        <f t="shared" si="0"/>
        <v>2.2044380243912496</v>
      </c>
      <c r="P17" s="84">
        <v>1.0201012925162167</v>
      </c>
      <c r="R17">
        <v>1.632433333333339</v>
      </c>
    </row>
    <row r="18" spans="1:18">
      <c r="G18" s="85">
        <f>AVERAGE(G8:G17)</f>
        <v>5527.2805823964381</v>
      </c>
      <c r="H18" s="85"/>
      <c r="I18" s="85">
        <f t="shared" ref="I18" si="8">G18/2</f>
        <v>2763.6402911982191</v>
      </c>
      <c r="J18" s="85">
        <f t="shared" ref="J18:P18" si="9">AVERAGE(J8:J17)</f>
        <v>0.25005106016104983</v>
      </c>
      <c r="K18" s="85">
        <f t="shared" si="9"/>
        <v>25005106.016104985</v>
      </c>
      <c r="L18" s="85">
        <f t="shared" si="9"/>
        <v>3.0442925199999999</v>
      </c>
      <c r="M18" s="85">
        <f t="shared" si="9"/>
        <v>3.0442925199999998E-2</v>
      </c>
      <c r="N18" s="85">
        <f t="shared" si="9"/>
        <v>0.80979665090659481</v>
      </c>
      <c r="O18" s="85">
        <f t="shared" si="9"/>
        <v>2.9152679432637414</v>
      </c>
      <c r="P18" s="85">
        <f t="shared" si="9"/>
        <v>1.3108977608195702</v>
      </c>
      <c r="Q18" s="85">
        <f>PI()*(I18^2)*B21</f>
        <v>178027684456.6059</v>
      </c>
      <c r="R18" s="86">
        <f>AVERAGE(R8:R17)</f>
        <v>2.3180633333333303</v>
      </c>
    </row>
    <row r="19" spans="1:18">
      <c r="B19">
        <v>7.3159999999999998</v>
      </c>
      <c r="G19" s="86"/>
      <c r="H19" s="86"/>
      <c r="I19" s="86"/>
      <c r="J19" s="86"/>
      <c r="K19" s="86"/>
      <c r="L19" s="86"/>
      <c r="M19" s="86"/>
      <c r="N19" s="86"/>
      <c r="O19" s="86"/>
      <c r="P19" s="86"/>
      <c r="Q19" s="86"/>
      <c r="R19">
        <f>STDEV(R8:R17)</f>
        <v>1.6834439993289159</v>
      </c>
    </row>
    <row r="20" spans="1:18">
      <c r="B20">
        <v>7.5229999999999997</v>
      </c>
      <c r="R20">
        <f>R19/SQRT(COUNT(R8:R17))</f>
        <v>0.53235173512223422</v>
      </c>
    </row>
    <row r="21" spans="1:18">
      <c r="A21" t="s">
        <v>151</v>
      </c>
      <c r="B21">
        <f>((B19+B20)/2)*1000</f>
        <v>7419.4999999999991</v>
      </c>
    </row>
    <row r="23" spans="1:18">
      <c r="A23" s="6" t="s">
        <v>197</v>
      </c>
      <c r="B23" s="6"/>
      <c r="C23" s="6"/>
      <c r="D23" s="6"/>
      <c r="E23" s="6"/>
      <c r="F23" s="6"/>
      <c r="G23" s="6"/>
    </row>
    <row r="24" spans="1:18">
      <c r="A24" s="6"/>
      <c r="B24" s="6"/>
      <c r="C24" s="6"/>
      <c r="D24" s="6"/>
      <c r="E24" s="6"/>
      <c r="F24" s="6"/>
      <c r="G24" s="6"/>
    </row>
    <row r="25" spans="1:18">
      <c r="A25" s="9" t="s">
        <v>198</v>
      </c>
      <c r="B25" t="s">
        <v>199</v>
      </c>
      <c r="C25" s="6"/>
      <c r="D25" s="6"/>
      <c r="E25" s="6"/>
      <c r="F25" s="6"/>
      <c r="G25" s="6"/>
    </row>
    <row r="26" spans="1:18">
      <c r="A26">
        <f>((P18*2)/((4/3)*PI()))^(1/3)</f>
        <v>0.85540162181781143</v>
      </c>
      <c r="B26">
        <f>2*PI()*A26^2</f>
        <v>4.5974816766203421</v>
      </c>
      <c r="C26" s="6"/>
      <c r="D26" s="6"/>
    </row>
    <row r="27" spans="1:18">
      <c r="A27" s="9"/>
      <c r="B27" s="6"/>
      <c r="C27" s="6"/>
      <c r="D27" s="6"/>
    </row>
    <row r="28" spans="1:18">
      <c r="A28" s="6"/>
      <c r="B28" s="6"/>
      <c r="C28" s="6"/>
      <c r="D28" s="6"/>
    </row>
    <row r="29" spans="1:18">
      <c r="A29" s="9"/>
      <c r="B29" s="6"/>
      <c r="C29" s="6"/>
      <c r="D29" s="6"/>
    </row>
    <row r="30" spans="1:18">
      <c r="A30" s="9"/>
      <c r="B30" s="6"/>
      <c r="C30" s="6"/>
      <c r="D30" s="6"/>
    </row>
    <row r="31" spans="1:18">
      <c r="A31" s="6"/>
      <c r="B31" s="6"/>
      <c r="C31" s="6"/>
      <c r="D31" s="6"/>
    </row>
    <row r="32" spans="1:18">
      <c r="A32" s="9"/>
      <c r="B32" s="6"/>
      <c r="C32" s="6"/>
      <c r="D32" s="6"/>
    </row>
    <row r="33" spans="1:4">
      <c r="A33" s="9"/>
      <c r="B33" s="6"/>
      <c r="C33" s="6"/>
      <c r="D33" s="6"/>
    </row>
    <row r="34" spans="1:4">
      <c r="A34" s="6"/>
      <c r="B34" s="6"/>
      <c r="C34" s="6"/>
    </row>
    <row r="35" spans="1:4">
      <c r="A35" s="6"/>
      <c r="B35" s="6"/>
      <c r="C35" s="6"/>
      <c r="D35" s="6"/>
    </row>
    <row r="36" spans="1:4">
      <c r="A36" s="6"/>
      <c r="B36" s="6"/>
      <c r="C36" s="6"/>
      <c r="D36" s="6"/>
    </row>
  </sheetData>
  <pageMargins left="0.75" right="0.75" top="1" bottom="1" header="0.5" footer="0.5"/>
  <pageSetup orientation="portrait" horizontalDpi="4294967292" verticalDpi="4294967292"/>
  <legacyDrawing r:id="rId1"/>
  <extLst>
    <ext xmlns:mx="http://schemas.microsoft.com/office/mac/excel/2008/main" uri="{64002731-A6B0-56B0-2670-7721B7C09600}">
      <mx:PLV Mode="0" OnePage="0" WScale="0"/>
    </ext>
  </extLst>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L30"/>
  <sheetViews>
    <sheetView workbookViewId="0">
      <selection activeCell="A7" sqref="A7"/>
    </sheetView>
  </sheetViews>
  <sheetFormatPr baseColWidth="10" defaultRowHeight="15" x14ac:dyDescent="0"/>
  <cols>
    <col min="6" max="6" width="12.5" customWidth="1"/>
  </cols>
  <sheetData>
    <row r="1" spans="1:12">
      <c r="A1" t="s">
        <v>334</v>
      </c>
      <c r="D1" s="206"/>
      <c r="E1" s="206"/>
    </row>
    <row r="2" spans="1:12">
      <c r="D2" s="206"/>
      <c r="E2" s="206"/>
      <c r="H2" t="s">
        <v>303</v>
      </c>
      <c r="L2" s="45" t="s">
        <v>299</v>
      </c>
    </row>
    <row r="3" spans="1:12">
      <c r="A3" t="s">
        <v>336</v>
      </c>
      <c r="D3" s="206"/>
      <c r="E3" s="206"/>
    </row>
    <row r="4" spans="1:12">
      <c r="A4" t="s">
        <v>337</v>
      </c>
      <c r="D4" s="206"/>
      <c r="E4" s="206"/>
    </row>
    <row r="5" spans="1:12">
      <c r="A5" t="s">
        <v>338</v>
      </c>
      <c r="D5" s="206"/>
      <c r="E5" s="206"/>
    </row>
    <row r="6" spans="1:12">
      <c r="A6" t="s">
        <v>339</v>
      </c>
      <c r="D6" s="206"/>
      <c r="E6" s="206"/>
    </row>
    <row r="7" spans="1:12">
      <c r="D7" s="206"/>
      <c r="E7" s="206"/>
    </row>
    <row r="9" spans="1:12">
      <c r="A9" t="s">
        <v>280</v>
      </c>
    </row>
    <row r="10" spans="1:12">
      <c r="A10" t="s">
        <v>281</v>
      </c>
    </row>
    <row r="11" spans="1:12">
      <c r="A11" t="s">
        <v>282</v>
      </c>
      <c r="B11" t="s">
        <v>283</v>
      </c>
      <c r="C11" t="s">
        <v>284</v>
      </c>
    </row>
    <row r="12" spans="1:12">
      <c r="B12" t="s">
        <v>285</v>
      </c>
      <c r="C12" t="s">
        <v>286</v>
      </c>
    </row>
    <row r="13" spans="1:12">
      <c r="B13" t="s">
        <v>287</v>
      </c>
      <c r="C13" t="s">
        <v>302</v>
      </c>
    </row>
    <row r="15" spans="1:12">
      <c r="A15" t="s">
        <v>335</v>
      </c>
    </row>
    <row r="16" spans="1:12">
      <c r="A16" t="s">
        <v>288</v>
      </c>
      <c r="B16" t="s">
        <v>289</v>
      </c>
      <c r="C16" t="s">
        <v>290</v>
      </c>
      <c r="D16" t="s">
        <v>291</v>
      </c>
      <c r="E16" t="s">
        <v>292</v>
      </c>
      <c r="F16" t="s">
        <v>293</v>
      </c>
      <c r="G16" t="s">
        <v>294</v>
      </c>
      <c r="H16" t="s">
        <v>295</v>
      </c>
      <c r="I16" t="s">
        <v>296</v>
      </c>
    </row>
    <row r="17" spans="1:11">
      <c r="A17" t="s">
        <v>303</v>
      </c>
      <c r="B17">
        <v>8.0785</v>
      </c>
      <c r="C17">
        <v>5.7394999999999996</v>
      </c>
      <c r="D17">
        <f>B17/2</f>
        <v>4.03925</v>
      </c>
      <c r="E17">
        <f>C17/2</f>
        <v>2.8697499999999998</v>
      </c>
    </row>
    <row r="18" spans="1:11">
      <c r="A18" s="45" t="s">
        <v>299</v>
      </c>
      <c r="B18" s="45"/>
      <c r="C18" s="45"/>
      <c r="D18" s="45"/>
      <c r="E18" s="45"/>
      <c r="F18">
        <v>3.1539999999999999</v>
      </c>
      <c r="G18" s="45">
        <f>F18/2</f>
        <v>1.577</v>
      </c>
      <c r="H18" s="45"/>
      <c r="I18" s="45"/>
    </row>
    <row r="19" spans="1:11">
      <c r="D19">
        <f>AVERAGE(D17:D18)</f>
        <v>4.03925</v>
      </c>
      <c r="E19">
        <f t="shared" ref="E19:G19" si="0">AVERAGE(E17:E18)</f>
        <v>2.8697499999999998</v>
      </c>
      <c r="F19">
        <f t="shared" si="0"/>
        <v>3.1539999999999999</v>
      </c>
      <c r="G19">
        <f t="shared" si="0"/>
        <v>1.577</v>
      </c>
      <c r="H19">
        <f>(4/3)*PI()*D19*E19*G19</f>
        <v>76.57113786126726</v>
      </c>
      <c r="I19">
        <f>(4*PI()*(((D19*E19)^1.6+(D19*F19)^1.6+(E19*F19)^1.6)/3)^(1/1.6))-(PI()*D19*E19)</f>
        <v>104.22738113262633</v>
      </c>
    </row>
    <row r="21" spans="1:11">
      <c r="A21" s="50"/>
      <c r="B21" s="50"/>
      <c r="C21" s="50"/>
      <c r="D21" s="6"/>
      <c r="E21" s="6"/>
      <c r="F21" s="6"/>
      <c r="G21" s="6"/>
      <c r="H21" s="6"/>
    </row>
    <row r="22" spans="1:11">
      <c r="A22" s="186"/>
      <c r="B22" s="50" t="s">
        <v>297</v>
      </c>
      <c r="C22" s="50" t="s">
        <v>298</v>
      </c>
      <c r="E22" s="6"/>
      <c r="F22" s="6"/>
      <c r="G22" s="6"/>
      <c r="H22" s="6"/>
    </row>
    <row r="23" spans="1:11">
      <c r="A23" s="50" t="s">
        <v>300</v>
      </c>
      <c r="B23" s="50">
        <f>H19</f>
        <v>76.57113786126726</v>
      </c>
      <c r="C23" s="50">
        <f>I19</f>
        <v>104.22738113262633</v>
      </c>
      <c r="E23" s="6"/>
      <c r="F23" s="6"/>
      <c r="G23" s="6"/>
      <c r="H23" s="6"/>
    </row>
    <row r="24" spans="1:11">
      <c r="A24" s="50" t="s">
        <v>301</v>
      </c>
      <c r="B24" s="6">
        <f>B23/5</f>
        <v>15.314227572253452</v>
      </c>
      <c r="C24" s="6">
        <f>C23/5</f>
        <v>20.845476226525268</v>
      </c>
      <c r="D24" s="6"/>
      <c r="E24" s="6"/>
      <c r="F24" s="6"/>
      <c r="G24" s="6"/>
      <c r="H24" s="6"/>
    </row>
    <row r="27" spans="1:11">
      <c r="K27" s="59"/>
    </row>
    <row r="29" spans="1:11">
      <c r="J29" s="59"/>
      <c r="K29" s="59"/>
    </row>
    <row r="30" spans="1:11">
      <c r="J30" s="59"/>
    </row>
  </sheetData>
  <pageMargins left="0.75" right="0.75" top="1" bottom="1" header="0.5" footer="0.5"/>
  <pageSetup orientation="portrait" horizontalDpi="4294967292" verticalDpi="4294967292"/>
  <drawing r:id="rId1"/>
  <extLst>
    <ext xmlns:mx="http://schemas.microsoft.com/office/mac/excel/2008/main" uri="{64002731-A6B0-56B0-2670-7721B7C09600}">
      <mx:PLV Mode="0" OnePage="0" WScale="0"/>
    </ext>
  </extLst>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7:P24"/>
  <sheetViews>
    <sheetView topLeftCell="A2" workbookViewId="0">
      <selection activeCell="P15" sqref="P15"/>
    </sheetView>
  </sheetViews>
  <sheetFormatPr baseColWidth="10" defaultColWidth="8.83203125" defaultRowHeight="15" x14ac:dyDescent="0"/>
  <cols>
    <col min="1" max="1" width="22.6640625" customWidth="1"/>
    <col min="2" max="8" width="9.5" customWidth="1"/>
    <col min="9" max="10" width="11.6640625" customWidth="1"/>
    <col min="11" max="14" width="9.5" customWidth="1"/>
  </cols>
  <sheetData>
    <row r="7" spans="1:16" s="1" customFormat="1">
      <c r="A7" s="122"/>
      <c r="B7" s="208" t="s">
        <v>50</v>
      </c>
      <c r="C7" s="209"/>
      <c r="D7" s="210"/>
      <c r="E7" s="209" t="s">
        <v>51</v>
      </c>
      <c r="F7" s="209"/>
      <c r="G7" s="209"/>
      <c r="H7" s="211" t="s">
        <v>108</v>
      </c>
      <c r="I7" s="212"/>
      <c r="J7" s="213"/>
      <c r="K7" s="211" t="s">
        <v>195</v>
      </c>
      <c r="L7" s="212"/>
      <c r="M7" s="213"/>
      <c r="N7" s="214">
        <f>[1]Haliclona!B1</f>
        <v>0</v>
      </c>
      <c r="O7" s="215"/>
      <c r="P7" s="216"/>
    </row>
    <row r="8" spans="1:16" s="16" customFormat="1" ht="61" thickBot="1">
      <c r="A8" s="121" t="s">
        <v>45</v>
      </c>
      <c r="B8" s="17" t="s">
        <v>19</v>
      </c>
      <c r="C8" s="113" t="s">
        <v>49</v>
      </c>
      <c r="D8" s="18" t="s">
        <v>143</v>
      </c>
      <c r="E8" s="113" t="s">
        <v>19</v>
      </c>
      <c r="F8" s="113" t="s">
        <v>49</v>
      </c>
      <c r="G8" s="113" t="s">
        <v>143</v>
      </c>
      <c r="H8" s="25" t="s">
        <v>19</v>
      </c>
      <c r="I8" s="111" t="s">
        <v>49</v>
      </c>
      <c r="J8" s="26" t="s">
        <v>143</v>
      </c>
      <c r="K8" s="135" t="s">
        <v>19</v>
      </c>
      <c r="L8" s="136" t="s">
        <v>49</v>
      </c>
      <c r="M8" s="123" t="s">
        <v>143</v>
      </c>
      <c r="N8" s="133" t="s">
        <v>19</v>
      </c>
      <c r="O8" s="128" t="s">
        <v>49</v>
      </c>
      <c r="P8" s="134" t="s">
        <v>143</v>
      </c>
    </row>
    <row r="9" spans="1:16" ht="16" thickTop="1">
      <c r="A9" s="119" t="s">
        <v>12</v>
      </c>
      <c r="B9" s="19" t="s">
        <v>46</v>
      </c>
      <c r="C9" s="114">
        <v>0.3</v>
      </c>
      <c r="D9" s="20">
        <v>0.56999999999999995</v>
      </c>
      <c r="E9" s="116">
        <v>3.8879539623796582</v>
      </c>
      <c r="F9" s="116">
        <v>0.25862424662605926</v>
      </c>
      <c r="G9" s="124">
        <v>1.1000000000000001</v>
      </c>
      <c r="H9" s="39">
        <v>24.460004166666668</v>
      </c>
      <c r="I9" s="112">
        <v>0.16644318026435792</v>
      </c>
      <c r="J9" s="126">
        <v>1.544</v>
      </c>
      <c r="K9" s="39">
        <v>31.19580952380953</v>
      </c>
      <c r="L9" s="112">
        <v>0.38471454201444044</v>
      </c>
      <c r="M9" s="126">
        <v>1.2569669583475758</v>
      </c>
      <c r="N9" s="129">
        <f>[1]Haliclona!C17</f>
        <v>48.587799054395688</v>
      </c>
      <c r="O9" s="86">
        <f>[1]Haliclona!H17</f>
        <v>0</v>
      </c>
      <c r="P9" s="130" t="e">
        <f>[1]Haliclona!K17*1000</f>
        <v>#VALUE!</v>
      </c>
    </row>
    <row r="10" spans="1:16">
      <c r="A10" s="119" t="s">
        <v>64</v>
      </c>
      <c r="B10" s="19"/>
      <c r="C10" s="114">
        <v>0.95</v>
      </c>
      <c r="D10" s="20">
        <v>0.18</v>
      </c>
      <c r="E10" s="116">
        <v>90</v>
      </c>
      <c r="F10" s="116">
        <v>0.92773995849848556</v>
      </c>
      <c r="G10" s="124">
        <v>0.309</v>
      </c>
      <c r="H10" s="39">
        <v>242.38515789473686</v>
      </c>
      <c r="I10" s="112">
        <v>0.97358395335857462</v>
      </c>
      <c r="J10" s="126">
        <v>0.26400000000000001</v>
      </c>
      <c r="K10" s="39">
        <v>168.233125</v>
      </c>
      <c r="L10" s="112">
        <v>0.65513089040080996</v>
      </c>
      <c r="M10" s="126">
        <v>0.73813260036039652</v>
      </c>
      <c r="N10" s="129">
        <f>[1]Haliclona!C18</f>
        <v>2668</v>
      </c>
      <c r="O10" s="86">
        <f>[1]Haliclona!H18</f>
        <v>0</v>
      </c>
      <c r="P10" s="130" t="e">
        <f>[1]Haliclona!K18*1000</f>
        <v>#VALUE!</v>
      </c>
    </row>
    <row r="11" spans="1:16">
      <c r="A11" s="119" t="s">
        <v>65</v>
      </c>
      <c r="B11" s="19" t="s">
        <v>47</v>
      </c>
      <c r="C11" s="114">
        <v>0.1</v>
      </c>
      <c r="D11" s="20">
        <v>1.7</v>
      </c>
      <c r="E11" s="116">
        <v>365.56999999999994</v>
      </c>
      <c r="F11" s="116">
        <v>0.17116292933983332</v>
      </c>
      <c r="G11" s="124">
        <v>1.673</v>
      </c>
      <c r="H11" s="39">
        <v>383.33430000000004</v>
      </c>
      <c r="I11" s="112">
        <v>0.15930061140334367</v>
      </c>
      <c r="J11" s="126">
        <v>0.32700000000000001</v>
      </c>
      <c r="K11" s="39">
        <v>406.50412499999999</v>
      </c>
      <c r="L11" s="112">
        <v>0.1405165127072632</v>
      </c>
      <c r="M11" s="126">
        <v>1.1471331930821922</v>
      </c>
      <c r="N11" s="129">
        <f>[1]Haliclona!C19</f>
        <v>0</v>
      </c>
      <c r="O11" s="86">
        <f>[1]Haliclona!H19</f>
        <v>0</v>
      </c>
      <c r="P11" s="130" t="e">
        <f>[1]Haliclona!K19*1000</f>
        <v>#VALUE!</v>
      </c>
    </row>
    <row r="12" spans="1:16">
      <c r="A12" s="119" t="s">
        <v>66</v>
      </c>
      <c r="B12" s="21" t="s">
        <v>48</v>
      </c>
      <c r="C12" s="114">
        <v>2.0699999999999998</v>
      </c>
      <c r="D12" s="20">
        <v>8.3000000000000004E-2</v>
      </c>
      <c r="E12" s="116">
        <v>2.1482265858213245</v>
      </c>
      <c r="F12" s="116">
        <v>2.7506314646668373</v>
      </c>
      <c r="G12" s="124">
        <v>1.9E-2</v>
      </c>
      <c r="H12" s="39">
        <v>3.5972208333333331</v>
      </c>
      <c r="I12" s="112">
        <v>4.9412146396773808</v>
      </c>
      <c r="J12" s="126">
        <v>0.01</v>
      </c>
      <c r="K12" s="39">
        <v>1.6144999999999998</v>
      </c>
      <c r="L12" s="112">
        <v>55.157698793055047</v>
      </c>
      <c r="M12" s="126">
        <v>2.9223691239808032E-3</v>
      </c>
      <c r="N12" s="129" t="str">
        <f>[1]Haliclona!C22</f>
        <v>Diameter (um)</v>
      </c>
      <c r="O12" s="109" t="str">
        <f>[1]Haliclona!H22</f>
        <v>XS area (mm2) of aquiferous system in 1mm3  pieces</v>
      </c>
      <c r="P12" s="130" t="e">
        <f>[1]Haliclona!K22*1000</f>
        <v>#VALUE!</v>
      </c>
    </row>
    <row r="13" spans="1:16">
      <c r="A13" s="119" t="s">
        <v>67</v>
      </c>
      <c r="B13" s="21"/>
      <c r="C13" s="114">
        <v>35</v>
      </c>
      <c r="D13" s="20">
        <v>4.8999999999999998E-3</v>
      </c>
      <c r="E13" s="116">
        <v>2</v>
      </c>
      <c r="F13" s="116">
        <v>1.609844768035297</v>
      </c>
      <c r="G13" s="124">
        <v>3.2000000000000001E-2</v>
      </c>
      <c r="H13" s="39">
        <v>1.2760526315789473</v>
      </c>
      <c r="I13" s="112">
        <v>2.5498667124662227</v>
      </c>
      <c r="J13" s="126">
        <v>0.02</v>
      </c>
      <c r="K13" s="39">
        <v>2.6087499999999997</v>
      </c>
      <c r="L13" s="112">
        <v>5.7528573689460343</v>
      </c>
      <c r="M13" s="126">
        <v>2.8019320759240154E-2</v>
      </c>
      <c r="N13" s="129">
        <f>[1]Haliclona!C23</f>
        <v>14.283964285714285</v>
      </c>
      <c r="O13" s="109">
        <f>[1]Haliclona!H23</f>
        <v>4.4375139943068874E-2</v>
      </c>
      <c r="P13" s="130">
        <f>[1]Haliclona!K23*1000</f>
        <v>2.2617817404644978</v>
      </c>
    </row>
    <row r="14" spans="1:16">
      <c r="A14" s="119" t="s">
        <v>68</v>
      </c>
      <c r="B14" s="22"/>
      <c r="C14" s="114"/>
      <c r="D14" s="20"/>
      <c r="E14" s="116">
        <v>4.4999999999999998E-2</v>
      </c>
      <c r="F14" s="116">
        <v>2.5133091651266217</v>
      </c>
      <c r="G14" s="124">
        <v>2.1000000000000001E-2</v>
      </c>
      <c r="H14" s="39"/>
      <c r="I14" s="112"/>
      <c r="J14" s="126"/>
      <c r="K14" s="137"/>
      <c r="L14" s="50"/>
      <c r="M14" s="126"/>
      <c r="N14" s="82"/>
      <c r="O14" s="86"/>
      <c r="P14" s="130"/>
    </row>
    <row r="15" spans="1:16">
      <c r="A15" s="119" t="s">
        <v>69</v>
      </c>
      <c r="B15" s="22">
        <v>0.12</v>
      </c>
      <c r="C15" s="114">
        <v>56</v>
      </c>
      <c r="D15" s="20">
        <v>3.0999999999999999E-3</v>
      </c>
      <c r="E15" s="116">
        <v>0.11857142857142856</v>
      </c>
      <c r="F15" s="116">
        <v>7.2195660635325174</v>
      </c>
      <c r="G15" s="124">
        <v>7.0000000000000001E-3</v>
      </c>
      <c r="H15" s="39">
        <v>6.9399999999999989E-2</v>
      </c>
      <c r="I15" s="112">
        <v>4.4513100841898385</v>
      </c>
      <c r="J15" s="126">
        <v>1.2E-2</v>
      </c>
      <c r="K15" s="39">
        <v>5.1818181818181812E-2</v>
      </c>
      <c r="L15" s="112">
        <v>1.6603737790364401</v>
      </c>
      <c r="M15" s="126">
        <v>9.7081246366225366E-2</v>
      </c>
      <c r="N15" s="129">
        <f>[1]Haliclona!C24</f>
        <v>94.965272727272747</v>
      </c>
      <c r="O15" s="86">
        <f>[1]Haliclona!H24</f>
        <v>1.0960936952266178</v>
      </c>
      <c r="P15" s="130">
        <f>[1]Haliclona!K24*1000</f>
        <v>9.1567793602753175E-2</v>
      </c>
    </row>
    <row r="16" spans="1:16">
      <c r="A16" s="119" t="s">
        <v>68</v>
      </c>
      <c r="B16" s="22"/>
      <c r="C16" s="114"/>
      <c r="D16" s="20"/>
      <c r="E16" s="116">
        <v>4.4999999999999998E-2</v>
      </c>
      <c r="F16" s="116">
        <v>2.5133091651266217</v>
      </c>
      <c r="G16" s="124">
        <v>2.1000000000000001E-2</v>
      </c>
      <c r="H16" s="39"/>
      <c r="I16" s="112"/>
      <c r="J16" s="126"/>
      <c r="K16" s="39"/>
      <c r="L16" s="112"/>
      <c r="M16" s="126"/>
      <c r="N16" s="129"/>
      <c r="O16" s="86"/>
      <c r="P16" s="130"/>
    </row>
    <row r="17" spans="1:16">
      <c r="A17" s="119" t="s">
        <v>70</v>
      </c>
      <c r="B17" s="22"/>
      <c r="C17" s="114"/>
      <c r="D17" s="20"/>
      <c r="E17" s="116">
        <v>2</v>
      </c>
      <c r="F17" s="116">
        <v>1.609844768035297</v>
      </c>
      <c r="G17" s="124">
        <v>3.2000000000000001E-2</v>
      </c>
      <c r="H17" s="39">
        <v>2.550782608695652</v>
      </c>
      <c r="I17" s="112">
        <v>4.1245456912780689</v>
      </c>
      <c r="J17" s="126">
        <v>1.26E-2</v>
      </c>
      <c r="K17" s="39">
        <v>1.6603737790364401</v>
      </c>
      <c r="L17" s="112">
        <v>1.216038825256609</v>
      </c>
      <c r="M17" s="126">
        <v>0.13255428408598932</v>
      </c>
      <c r="N17" s="129">
        <f>[1]Haliclona!C25</f>
        <v>332.62233333333336</v>
      </c>
      <c r="O17" s="109">
        <f>[1]Haliclona!H25</f>
        <v>0.1442814522431346</v>
      </c>
      <c r="P17" s="130">
        <f>[1]Haliclona!K25*1000</f>
        <v>0.14086560079561139</v>
      </c>
    </row>
    <row r="18" spans="1:16">
      <c r="A18" s="119" t="s">
        <v>71</v>
      </c>
      <c r="B18" s="22"/>
      <c r="C18" s="114">
        <v>8.1</v>
      </c>
      <c r="D18" s="20">
        <v>2.1000000000000001E-2</v>
      </c>
      <c r="E18" s="116">
        <v>2</v>
      </c>
      <c r="F18" s="116">
        <v>4.010226371080833</v>
      </c>
      <c r="G18" s="124">
        <v>1.2999999999999999E-2</v>
      </c>
      <c r="H18" s="39"/>
      <c r="I18" s="112"/>
      <c r="J18" s="126"/>
      <c r="K18" s="39"/>
      <c r="L18" s="112"/>
      <c r="M18" s="126"/>
      <c r="N18" s="129"/>
      <c r="O18" s="86"/>
      <c r="P18" s="130"/>
    </row>
    <row r="19" spans="1:16">
      <c r="A19" s="119" t="s">
        <v>72</v>
      </c>
      <c r="B19" s="22"/>
      <c r="C19" s="114"/>
      <c r="D19" s="20"/>
      <c r="E19" s="116">
        <v>56.027845995869619</v>
      </c>
      <c r="F19" s="116">
        <v>4.3925029124997206</v>
      </c>
      <c r="G19" s="124">
        <v>1.2E-2</v>
      </c>
      <c r="H19" s="39">
        <v>23.319566583953684</v>
      </c>
      <c r="I19" s="112">
        <v>4.0769445401425921</v>
      </c>
      <c r="J19" s="126">
        <v>1.2800000000000001E-2</v>
      </c>
      <c r="K19" s="39">
        <v>19.748556565656564</v>
      </c>
      <c r="L19" s="112">
        <v>4.0598912443223591</v>
      </c>
      <c r="M19" s="126">
        <v>3.9703318685710733E-2</v>
      </c>
      <c r="N19" s="129">
        <f>[1]Haliclona!C26</f>
        <v>140.34078571428572</v>
      </c>
      <c r="O19" s="86">
        <f>[1]Haliclona!H26</f>
        <v>3.2127633202596567E-2</v>
      </c>
      <c r="P19" s="130">
        <f>[1]Haliclona!K26*1000</f>
        <v>0.63261097777504038</v>
      </c>
    </row>
    <row r="20" spans="1:16">
      <c r="A20" s="119" t="s">
        <v>73</v>
      </c>
      <c r="B20" s="22">
        <v>14</v>
      </c>
      <c r="C20" s="114">
        <v>4.2</v>
      </c>
      <c r="D20" s="20">
        <v>4.1000000000000002E-2</v>
      </c>
      <c r="E20" s="116">
        <v>26.370000000000005</v>
      </c>
      <c r="F20" s="116">
        <v>2.0427982377908287</v>
      </c>
      <c r="G20" s="124">
        <v>2.5000000000000001E-2</v>
      </c>
      <c r="H20" s="39">
        <v>16.045883333333332</v>
      </c>
      <c r="I20" s="112">
        <v>2.0794945546303398</v>
      </c>
      <c r="J20" s="126">
        <v>2.5000000000000001E-2</v>
      </c>
      <c r="K20" s="39">
        <v>5.9745000000000008</v>
      </c>
      <c r="L20" s="112">
        <v>0.40252842858589472</v>
      </c>
      <c r="M20" s="126">
        <v>0.40044663794040836</v>
      </c>
      <c r="N20" s="129">
        <f>[1]Haliclona!C27</f>
        <v>51.276387668918915</v>
      </c>
      <c r="O20" s="86">
        <f>[1]Haliclona!H27</f>
        <v>4.1574365485735044E-2</v>
      </c>
      <c r="P20" s="130">
        <f>[1]Haliclona!K27*1000</f>
        <v>0.48886599269605491</v>
      </c>
    </row>
    <row r="21" spans="1:16">
      <c r="A21" s="119" t="s">
        <v>74</v>
      </c>
      <c r="B21" s="22"/>
      <c r="C21" s="114">
        <v>0.03</v>
      </c>
      <c r="D21" s="20">
        <v>5.7</v>
      </c>
      <c r="E21" s="116">
        <v>405</v>
      </c>
      <c r="F21" s="116">
        <v>0.21007707382627713</v>
      </c>
      <c r="G21" s="124">
        <v>4.7060000000000004</v>
      </c>
      <c r="H21" s="39">
        <v>282.42599999999999</v>
      </c>
      <c r="I21" s="112">
        <v>1.2128013291497442E-2</v>
      </c>
      <c r="J21" s="126">
        <v>1.117</v>
      </c>
      <c r="K21" s="39">
        <v>339.41449999999998</v>
      </c>
      <c r="L21" s="112">
        <v>3.0390099043091943E-2</v>
      </c>
      <c r="M21" s="126">
        <v>5.3040681333119277</v>
      </c>
      <c r="N21" s="129">
        <f>[1]Haliclona!C30</f>
        <v>0.16566666666666663</v>
      </c>
      <c r="O21" s="86">
        <f>[1]Haliclona!H30</f>
        <v>5.4551985641710203</v>
      </c>
      <c r="P21" s="130">
        <f>[1]Haliclona!K30*1000</f>
        <v>3.7256743663520481E-3</v>
      </c>
    </row>
    <row r="22" spans="1:16">
      <c r="A22" s="119" t="s">
        <v>75</v>
      </c>
      <c r="B22" s="22"/>
      <c r="C22" s="114"/>
      <c r="D22" s="20"/>
      <c r="E22" s="116">
        <v>80</v>
      </c>
      <c r="F22" s="116">
        <v>0.8</v>
      </c>
      <c r="G22" s="124">
        <v>1.363</v>
      </c>
      <c r="H22" s="39"/>
      <c r="I22" s="112"/>
      <c r="J22" s="126"/>
      <c r="K22" s="39"/>
      <c r="L22" s="112"/>
      <c r="M22" s="126"/>
      <c r="N22" s="129"/>
      <c r="O22" s="86"/>
      <c r="P22" s="130"/>
    </row>
    <row r="23" spans="1:16">
      <c r="A23" s="119" t="s">
        <v>76</v>
      </c>
      <c r="B23" s="22"/>
      <c r="C23" s="114"/>
      <c r="D23" s="20"/>
      <c r="E23" s="116">
        <v>62000</v>
      </c>
      <c r="F23" s="116"/>
      <c r="G23" s="124">
        <v>0.35799999999999998</v>
      </c>
      <c r="H23" s="39"/>
      <c r="I23" s="112"/>
      <c r="J23" s="126"/>
      <c r="K23" s="39"/>
      <c r="L23" s="112"/>
      <c r="M23" s="126"/>
      <c r="N23" s="129"/>
      <c r="O23" s="86"/>
      <c r="P23" s="130"/>
    </row>
    <row r="24" spans="1:16">
      <c r="A24" s="120" t="s">
        <v>44</v>
      </c>
      <c r="B24" s="23">
        <v>2100</v>
      </c>
      <c r="C24" s="115">
        <v>3.3E-3</v>
      </c>
      <c r="D24" s="24">
        <v>51.3</v>
      </c>
      <c r="E24" s="117">
        <v>44733.679854839022</v>
      </c>
      <c r="F24" s="117">
        <v>2.8434672977959635E-2</v>
      </c>
      <c r="G24" s="125">
        <v>5.8</v>
      </c>
      <c r="H24" s="40">
        <v>3464.3125</v>
      </c>
      <c r="I24" s="118">
        <v>2.2668430706369097E-3</v>
      </c>
      <c r="J24" s="127">
        <v>22.96</v>
      </c>
      <c r="K24" s="40">
        <v>15779.5</v>
      </c>
      <c r="L24" s="118">
        <v>1.4944636351737106E-3</v>
      </c>
      <c r="M24" s="127">
        <v>107.85886796363637</v>
      </c>
      <c r="N24" s="131">
        <f>[1]Haliclona!C31</f>
        <v>3.2782142857142857</v>
      </c>
      <c r="O24" s="87">
        <f>[1]Haliclona!H31</f>
        <v>4.050291487139388</v>
      </c>
      <c r="P24" s="132">
        <f>[1]Haliclona!K31*1000</f>
        <v>5.0179829077553551E-3</v>
      </c>
    </row>
  </sheetData>
  <mergeCells count="5">
    <mergeCell ref="B7:D7"/>
    <mergeCell ref="E7:G7"/>
    <mergeCell ref="H7:J7"/>
    <mergeCell ref="K7:M7"/>
    <mergeCell ref="N7:P7"/>
  </mergeCells>
  <pageMargins left="0.7" right="0.7" top="0.75" bottom="0.75" header="0.3" footer="0.3"/>
  <pageSetup orientation="portrait" horizontalDpi="4294967292" verticalDpi="4294967292"/>
  <legacyDrawing r:id="rId1"/>
  <extLst>
    <ext xmlns:mx="http://schemas.microsoft.com/office/mac/excel/2008/main" uri="{64002731-A6B0-56B0-2670-7721B7C09600}">
      <mx:PLV Mode="0" OnePage="0" WScale="0"/>
    </ext>
  </extLst>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12</vt:i4>
      </vt:variant>
    </vt:vector>
  </HeadingPairs>
  <TitlesOfParts>
    <vt:vector size="12" baseType="lpstr">
      <vt:lpstr>Haliclona</vt:lpstr>
      <vt:lpstr>Ostia</vt:lpstr>
      <vt:lpstr>Subdermal space</vt:lpstr>
      <vt:lpstr>Incurrent Canals</vt:lpstr>
      <vt:lpstr>Prosopyles</vt:lpstr>
      <vt:lpstr>Collars</vt:lpstr>
      <vt:lpstr>Choanocyte Chambers</vt:lpstr>
      <vt:lpstr>Excurrent Canals</vt:lpstr>
      <vt:lpstr>Apopyle</vt:lpstr>
      <vt:lpstr>Osculum</vt:lpstr>
      <vt:lpstr>Sponge Volume</vt:lpstr>
      <vt:lpstr>Comparison table</vt:lpstr>
    </vt:vector>
  </TitlesOfParts>
  <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Danielle Ludeman</dc:creator>
  <cp:lastModifiedBy>Danielle Ludeman</cp:lastModifiedBy>
  <dcterms:created xsi:type="dcterms:W3CDTF">2012-04-20T20:53:22Z</dcterms:created>
  <dcterms:modified xsi:type="dcterms:W3CDTF">2014-11-16T23:17:18Z</dcterms:modified>
</cp:coreProperties>
</file>