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Sally Leys\A-Sally portege files\Papers\current\Danielle - cost of filtration\JEB - cost - Revisions\JEB final revised\"/>
    </mc:Choice>
  </mc:AlternateContent>
  <bookViews>
    <workbookView xWindow="0" yWindow="0" windowWidth="21600" windowHeight="9470" tabRatio="500"/>
  </bookViews>
  <sheets>
    <sheet name="Neopetrosia" sheetId="6" r:id="rId1"/>
    <sheet name="Haliclona" sheetId="7" r:id="rId2"/>
    <sheet name="Tethya" sheetId="10" r:id="rId3"/>
    <sheet name="Callyspongia" sheetId="9" r:id="rId4"/>
    <sheet name="Cliona" sheetId="11" r:id="rId5"/>
    <sheet name="Table 3" sheetId="18" r:id="rId6"/>
  </sheets>
  <externalReferences>
    <externalReference r:id="rId7"/>
    <externalReference r:id="rId8"/>
    <externalReference r:id="rId9"/>
    <externalReference r:id="rId10"/>
    <externalReference r:id="rId11"/>
    <externalReference r:id="rId12"/>
  </externalReferences>
  <definedNames>
    <definedName name="Density" localSheetId="3">Callyspongia!$E$19</definedName>
    <definedName name="Density" localSheetId="4">Cliona!$E$19</definedName>
    <definedName name="Density" localSheetId="1">Haliclona!$E$19</definedName>
    <definedName name="Density" localSheetId="2">Tethya!$E$19</definedName>
    <definedName name="Density">Neopetrosia!$E$19</definedName>
    <definedName name="ExCurrentFlowRate" localSheetId="3">Callyspongia!$C$19</definedName>
    <definedName name="ExCurrentFlowRate" localSheetId="4">Cliona!$C$19</definedName>
    <definedName name="ExCurrentFlowRate" localSheetId="1">Haliclona!$C$19</definedName>
    <definedName name="ExCurrentFlowRate" localSheetId="2">Tethya!$C$19</definedName>
    <definedName name="ExCurrentFlowRate">Neopetrosia!$C$19</definedName>
    <definedName name="ExcurrentSpeed" localSheetId="3">Callyspongia!$B$19</definedName>
    <definedName name="ExcurrentSpeed" localSheetId="4">Cliona!$B$19</definedName>
    <definedName name="ExcurrentSpeed" localSheetId="1">Haliclona!$B$19</definedName>
    <definedName name="ExcurrentSpeed" localSheetId="2">Tethya!$B$19</definedName>
    <definedName name="ExcurrentSpeed">Neopetrosia!$B$19</definedName>
    <definedName name="gamma" localSheetId="3">Callyspongia!$G$16</definedName>
    <definedName name="gamma" localSheetId="4">Cliona!$G$16</definedName>
    <definedName name="gamma" localSheetId="1">Haliclona!$G$16</definedName>
    <definedName name="gamma" localSheetId="2">Tethya!$G$16</definedName>
    <definedName name="gamma">Neopetrosia!$G$16</definedName>
    <definedName name="OscDiam">'[1]Sup. Table 2. Sponge sizes'!$E$17</definedName>
    <definedName name="SpVol">'[1]Sup. Table 2. Sponge sizes'!$F$17</definedName>
    <definedName name="Viscosity" localSheetId="3">Callyspongia!$H$16</definedName>
    <definedName name="Viscosity" localSheetId="4">Cliona!$H$16</definedName>
    <definedName name="Viscosity" localSheetId="1">Haliclona!$H$16</definedName>
    <definedName name="Viscosity" localSheetId="2">Tethya!$H$16</definedName>
    <definedName name="Viscosity">Neopetrosia!$H$16</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17" i="11" l="1"/>
  <c r="J16" i="11"/>
  <c r="C43" i="7"/>
  <c r="C44" i="7"/>
  <c r="C16" i="7"/>
  <c r="C45" i="7"/>
  <c r="C46" i="7"/>
  <c r="C43" i="10"/>
  <c r="C44" i="10"/>
  <c r="C16" i="10"/>
  <c r="C45" i="10"/>
  <c r="C46" i="10"/>
  <c r="C23" i="6"/>
  <c r="B16" i="6"/>
  <c r="H23" i="6"/>
  <c r="C37" i="6"/>
  <c r="A16" i="6"/>
  <c r="H28" i="6"/>
  <c r="I28" i="6"/>
  <c r="C28" i="6"/>
  <c r="H25" i="6"/>
  <c r="I25" i="6"/>
  <c r="C11" i="18"/>
  <c r="D25" i="6"/>
  <c r="C25" i="6"/>
  <c r="H24" i="6"/>
  <c r="D24" i="6"/>
  <c r="E24" i="6"/>
  <c r="E25" i="6"/>
  <c r="E26" i="6"/>
  <c r="D26" i="6"/>
  <c r="E27" i="6"/>
  <c r="C24" i="6"/>
  <c r="H36" i="6"/>
  <c r="I36" i="6"/>
  <c r="D36" i="6"/>
  <c r="C36" i="6"/>
  <c r="H35" i="6"/>
  <c r="I35" i="6"/>
  <c r="D35" i="6"/>
  <c r="C35" i="6"/>
  <c r="H34" i="6"/>
  <c r="I34" i="6"/>
  <c r="D34" i="6"/>
  <c r="C34" i="6"/>
  <c r="H33" i="6"/>
  <c r="I33" i="6"/>
  <c r="C33" i="6"/>
  <c r="H32" i="6"/>
  <c r="I32" i="6"/>
  <c r="C32" i="6"/>
  <c r="D32" i="6"/>
  <c r="H31" i="6"/>
  <c r="I31" i="6"/>
  <c r="D31" i="6"/>
  <c r="C31" i="6"/>
  <c r="Y27" i="6"/>
  <c r="Y28" i="6"/>
  <c r="Y29" i="6"/>
  <c r="Y33" i="6"/>
  <c r="H30" i="6"/>
  <c r="I30" i="6"/>
  <c r="H29" i="6"/>
  <c r="I29" i="6"/>
  <c r="D29" i="6"/>
  <c r="C29" i="6"/>
  <c r="H27" i="6"/>
  <c r="I27" i="6"/>
  <c r="D27" i="6"/>
  <c r="C27" i="6"/>
  <c r="H26" i="6"/>
  <c r="I26" i="6"/>
  <c r="C12" i="18"/>
  <c r="C26" i="6"/>
  <c r="D30" i="6"/>
  <c r="C30" i="6"/>
  <c r="D27" i="9"/>
  <c r="B16" i="11"/>
  <c r="H23" i="11"/>
  <c r="D16" i="11"/>
  <c r="I23" i="11"/>
  <c r="J23" i="11"/>
  <c r="C36" i="11"/>
  <c r="A16" i="11"/>
  <c r="H36" i="11"/>
  <c r="C23" i="11"/>
  <c r="D24" i="11"/>
  <c r="C24" i="11"/>
  <c r="H24" i="11"/>
  <c r="I24" i="11"/>
  <c r="J24" i="11"/>
  <c r="D25" i="11"/>
  <c r="C25" i="11"/>
  <c r="H25" i="11"/>
  <c r="I25" i="11"/>
  <c r="J25" i="11"/>
  <c r="D26" i="11"/>
  <c r="C26" i="11"/>
  <c r="I26" i="11"/>
  <c r="J26" i="11"/>
  <c r="D27" i="11"/>
  <c r="C27" i="11"/>
  <c r="H27" i="11"/>
  <c r="I27" i="11"/>
  <c r="J27" i="11"/>
  <c r="D28" i="11"/>
  <c r="C28" i="11"/>
  <c r="H28" i="11"/>
  <c r="I28" i="11"/>
  <c r="J28" i="11"/>
  <c r="D29" i="11"/>
  <c r="C29" i="11"/>
  <c r="H29" i="11"/>
  <c r="I29" i="11"/>
  <c r="J29" i="11"/>
  <c r="D30" i="11"/>
  <c r="C30" i="11"/>
  <c r="H30" i="11"/>
  <c r="I30" i="11"/>
  <c r="J30" i="11"/>
  <c r="C31" i="11"/>
  <c r="D31" i="11"/>
  <c r="H31" i="11"/>
  <c r="I31" i="11"/>
  <c r="J31" i="11"/>
  <c r="C32" i="11"/>
  <c r="H32" i="11"/>
  <c r="I32" i="11"/>
  <c r="D33" i="11"/>
  <c r="C33" i="11"/>
  <c r="H26" i="11"/>
  <c r="H33" i="11"/>
  <c r="D34" i="11"/>
  <c r="C34" i="11"/>
  <c r="H34" i="11"/>
  <c r="I34" i="11"/>
  <c r="J34" i="11"/>
  <c r="D35" i="11"/>
  <c r="C35" i="11"/>
  <c r="D36" i="11"/>
  <c r="C16" i="11"/>
  <c r="C42" i="11"/>
  <c r="C43" i="11"/>
  <c r="C44" i="11"/>
  <c r="C45" i="11"/>
  <c r="B16" i="9"/>
  <c r="K37" i="9"/>
  <c r="H23" i="9"/>
  <c r="D16" i="9"/>
  <c r="I23" i="9"/>
  <c r="J23" i="9"/>
  <c r="C37" i="9"/>
  <c r="J16" i="9"/>
  <c r="A16" i="9"/>
  <c r="C23" i="9"/>
  <c r="D24" i="9"/>
  <c r="C24" i="9"/>
  <c r="H24" i="9"/>
  <c r="I24" i="9"/>
  <c r="D25" i="9"/>
  <c r="C25" i="9"/>
  <c r="H25" i="9"/>
  <c r="I25" i="9"/>
  <c r="J25" i="9"/>
  <c r="D26" i="9"/>
  <c r="C26" i="9"/>
  <c r="H26" i="9"/>
  <c r="I26" i="9"/>
  <c r="J26" i="9"/>
  <c r="C27" i="9"/>
  <c r="I27" i="9"/>
  <c r="J27" i="9"/>
  <c r="D28" i="9"/>
  <c r="C28" i="9"/>
  <c r="H28" i="9"/>
  <c r="I28" i="9"/>
  <c r="J28" i="9"/>
  <c r="D29" i="9"/>
  <c r="C29" i="9"/>
  <c r="H29" i="9"/>
  <c r="I29" i="9"/>
  <c r="J29" i="9"/>
  <c r="D30" i="9"/>
  <c r="C30" i="9"/>
  <c r="H30" i="9"/>
  <c r="I30" i="9"/>
  <c r="J30" i="9"/>
  <c r="D31" i="9"/>
  <c r="C31" i="9"/>
  <c r="H31" i="9"/>
  <c r="I31" i="9"/>
  <c r="J31" i="9"/>
  <c r="C32" i="9"/>
  <c r="D32" i="9"/>
  <c r="H32" i="9"/>
  <c r="I32" i="9"/>
  <c r="J32" i="9"/>
  <c r="C33" i="9"/>
  <c r="H33" i="9"/>
  <c r="I33" i="9"/>
  <c r="D34" i="9"/>
  <c r="C34" i="9"/>
  <c r="H34" i="9"/>
  <c r="I34" i="9"/>
  <c r="D35" i="9"/>
  <c r="C35" i="9"/>
  <c r="H35" i="9"/>
  <c r="I35" i="9"/>
  <c r="D36" i="9"/>
  <c r="C36" i="9"/>
  <c r="D37" i="9"/>
  <c r="C16" i="9"/>
  <c r="C17" i="9"/>
  <c r="T26" i="18"/>
  <c r="C43" i="9"/>
  <c r="C44" i="9"/>
  <c r="C45" i="9"/>
  <c r="C46" i="9"/>
  <c r="B16" i="10"/>
  <c r="K37" i="10"/>
  <c r="L37" i="10"/>
  <c r="D37" i="10"/>
  <c r="C37" i="10"/>
  <c r="M37" i="10"/>
  <c r="N37" i="10"/>
  <c r="H23" i="10"/>
  <c r="D16" i="10"/>
  <c r="I23" i="10"/>
  <c r="J23" i="10"/>
  <c r="A16" i="10"/>
  <c r="H37" i="10"/>
  <c r="C23" i="10"/>
  <c r="D24" i="10"/>
  <c r="C24" i="10"/>
  <c r="H24" i="10"/>
  <c r="I24" i="10"/>
  <c r="D25" i="10"/>
  <c r="C25" i="10"/>
  <c r="H25" i="10"/>
  <c r="I25" i="10"/>
  <c r="D26" i="10"/>
  <c r="C26" i="10"/>
  <c r="H26" i="10"/>
  <c r="I26" i="10"/>
  <c r="D27" i="10"/>
  <c r="C27" i="10"/>
  <c r="I27" i="10"/>
  <c r="J27" i="10"/>
  <c r="D28" i="10"/>
  <c r="C28" i="10"/>
  <c r="H28" i="10"/>
  <c r="I28" i="10"/>
  <c r="J28" i="10"/>
  <c r="D29" i="10"/>
  <c r="C29" i="10"/>
  <c r="H29" i="10"/>
  <c r="I29" i="10"/>
  <c r="D30" i="10"/>
  <c r="C30" i="10"/>
  <c r="H30" i="10"/>
  <c r="I30" i="10"/>
  <c r="J30" i="10"/>
  <c r="D31" i="10"/>
  <c r="C31" i="10"/>
  <c r="H31" i="10"/>
  <c r="I31" i="10"/>
  <c r="J31" i="10"/>
  <c r="C32" i="10"/>
  <c r="D32" i="10"/>
  <c r="H32" i="10"/>
  <c r="I32" i="10"/>
  <c r="J32" i="10"/>
  <c r="C33" i="10"/>
  <c r="H33" i="10"/>
  <c r="I33" i="10"/>
  <c r="D34" i="10"/>
  <c r="C34" i="10"/>
  <c r="H34" i="10"/>
  <c r="I34" i="10"/>
  <c r="D35" i="10"/>
  <c r="D36" i="10"/>
  <c r="C35" i="10"/>
  <c r="C36" i="10"/>
  <c r="C17" i="10"/>
  <c r="B16" i="7"/>
  <c r="H23" i="7"/>
  <c r="I23" i="7"/>
  <c r="J23" i="7"/>
  <c r="C37" i="7"/>
  <c r="A16" i="7"/>
  <c r="H37" i="7"/>
  <c r="I37" i="7"/>
  <c r="J37" i="7"/>
  <c r="C23" i="7"/>
  <c r="D24" i="7"/>
  <c r="C24" i="7"/>
  <c r="H24" i="7"/>
  <c r="I24" i="7"/>
  <c r="D25" i="7"/>
  <c r="C25" i="7"/>
  <c r="H25" i="7"/>
  <c r="I25" i="7"/>
  <c r="J25" i="7"/>
  <c r="D26" i="7"/>
  <c r="C26" i="7"/>
  <c r="H26" i="7"/>
  <c r="I26" i="7"/>
  <c r="D27" i="7"/>
  <c r="C27" i="7"/>
  <c r="I27" i="7"/>
  <c r="J27" i="7"/>
  <c r="D28" i="7"/>
  <c r="C28" i="7"/>
  <c r="H28" i="7"/>
  <c r="I28" i="7"/>
  <c r="J28" i="7"/>
  <c r="D29" i="7"/>
  <c r="C29" i="7"/>
  <c r="H29" i="7"/>
  <c r="I29" i="7"/>
  <c r="J29" i="7"/>
  <c r="D30" i="7"/>
  <c r="C30" i="7"/>
  <c r="H30" i="7"/>
  <c r="I30" i="7"/>
  <c r="J30" i="7"/>
  <c r="D31" i="7"/>
  <c r="C31" i="7"/>
  <c r="H31" i="7"/>
  <c r="I31" i="7"/>
  <c r="C32" i="7"/>
  <c r="D32" i="7"/>
  <c r="H32" i="7"/>
  <c r="I32" i="7"/>
  <c r="J32" i="7"/>
  <c r="C33" i="7"/>
  <c r="H33" i="7"/>
  <c r="I33" i="7"/>
  <c r="J33" i="7"/>
  <c r="D34" i="7"/>
  <c r="C34" i="7"/>
  <c r="H34" i="7"/>
  <c r="I34" i="7"/>
  <c r="D35" i="7"/>
  <c r="C35" i="7"/>
  <c r="H35" i="7"/>
  <c r="I35" i="7"/>
  <c r="J35" i="7"/>
  <c r="D36" i="7"/>
  <c r="C36" i="7"/>
  <c r="D37" i="7"/>
  <c r="C17" i="7"/>
  <c r="D16" i="6"/>
  <c r="D28" i="6"/>
  <c r="C16" i="6"/>
  <c r="C17" i="6"/>
  <c r="C43" i="6"/>
  <c r="C44" i="6"/>
  <c r="X27" i="11"/>
  <c r="X28" i="11"/>
  <c r="X29" i="11"/>
  <c r="X32" i="11"/>
  <c r="X31" i="11"/>
  <c r="X30" i="11"/>
  <c r="X33" i="11"/>
  <c r="X27" i="9"/>
  <c r="X28" i="9"/>
  <c r="X29" i="9"/>
  <c r="X32" i="9"/>
  <c r="X31" i="9"/>
  <c r="X30" i="9"/>
  <c r="Q37" i="9"/>
  <c r="X27" i="10"/>
  <c r="X28" i="10"/>
  <c r="X29" i="10"/>
  <c r="X32" i="10"/>
  <c r="X31" i="10"/>
  <c r="X30" i="10"/>
  <c r="Q37" i="10"/>
  <c r="R37" i="10"/>
  <c r="S37" i="10"/>
  <c r="X27" i="7"/>
  <c r="X28" i="7"/>
  <c r="X29" i="7"/>
  <c r="T27" i="18"/>
  <c r="Y26" i="18"/>
  <c r="O26" i="18"/>
  <c r="J26" i="18"/>
  <c r="H35" i="11"/>
  <c r="I35" i="11"/>
  <c r="H36" i="9"/>
  <c r="I36" i="9"/>
  <c r="H36" i="10"/>
  <c r="I36" i="10"/>
  <c r="H36" i="7"/>
  <c r="I36" i="7"/>
  <c r="C22" i="18"/>
  <c r="W21" i="18"/>
  <c r="H21" i="18"/>
  <c r="C21" i="18"/>
  <c r="C20" i="18"/>
  <c r="H19" i="18"/>
  <c r="C19" i="18"/>
  <c r="M18" i="18"/>
  <c r="H18" i="18"/>
  <c r="W17" i="18"/>
  <c r="R17" i="18"/>
  <c r="M17" i="18"/>
  <c r="C17" i="18"/>
  <c r="W16" i="18"/>
  <c r="R16" i="18"/>
  <c r="M16" i="18"/>
  <c r="H16" i="18"/>
  <c r="C16" i="18"/>
  <c r="W15" i="18"/>
  <c r="R15" i="18"/>
  <c r="H15" i="18"/>
  <c r="C15" i="18"/>
  <c r="W14" i="18"/>
  <c r="M14" i="18"/>
  <c r="H14" i="18"/>
  <c r="C14" i="18"/>
  <c r="W13" i="18"/>
  <c r="H13" i="18"/>
  <c r="C13" i="18"/>
  <c r="R12" i="18"/>
  <c r="R11" i="18"/>
  <c r="R9" i="18"/>
  <c r="M9" i="18"/>
  <c r="H9" i="18"/>
  <c r="L20" i="11"/>
  <c r="L19" i="11"/>
  <c r="L17" i="11"/>
  <c r="H27" i="9"/>
  <c r="L20" i="9"/>
  <c r="L19" i="9"/>
  <c r="L17" i="9"/>
  <c r="H27" i="10"/>
  <c r="L20" i="10"/>
  <c r="L19" i="10"/>
  <c r="L17" i="10"/>
  <c r="J16" i="10"/>
  <c r="H27" i="7"/>
  <c r="L20" i="7"/>
  <c r="L19" i="7"/>
  <c r="L17" i="7"/>
  <c r="J16" i="7"/>
  <c r="L18" i="7"/>
  <c r="M16" i="7"/>
  <c r="L20" i="6"/>
  <c r="L19" i="6"/>
  <c r="L17" i="6"/>
  <c r="J16" i="6"/>
  <c r="G16" i="11"/>
  <c r="G16" i="9"/>
  <c r="Q38" i="9"/>
  <c r="E24" i="9"/>
  <c r="E25" i="9"/>
  <c r="E26" i="9"/>
  <c r="E27" i="9"/>
  <c r="E28" i="9"/>
  <c r="L18" i="9"/>
  <c r="K16" i="9"/>
  <c r="L16" i="9"/>
  <c r="E24" i="11"/>
  <c r="E25" i="11"/>
  <c r="E26" i="11"/>
  <c r="G16" i="6"/>
  <c r="R38" i="6"/>
  <c r="G16" i="10"/>
  <c r="Q38" i="10"/>
  <c r="E24" i="10"/>
  <c r="E25" i="10"/>
  <c r="E26" i="10"/>
  <c r="L18" i="10"/>
  <c r="M16" i="10"/>
  <c r="K16" i="10"/>
  <c r="L16" i="10"/>
  <c r="G16" i="7"/>
  <c r="Q38" i="7"/>
  <c r="E24" i="7"/>
  <c r="E25" i="7"/>
  <c r="E26" i="7"/>
  <c r="K16" i="7"/>
  <c r="L16" i="7"/>
  <c r="J24" i="7"/>
  <c r="H10" i="18"/>
  <c r="J33" i="9"/>
  <c r="R19" i="18"/>
  <c r="J32" i="11"/>
  <c r="W19" i="18"/>
  <c r="J26" i="10"/>
  <c r="M12" i="18"/>
  <c r="J31" i="7"/>
  <c r="H17" i="18"/>
  <c r="J24" i="10"/>
  <c r="M10" i="18"/>
  <c r="J34" i="9"/>
  <c r="R20" i="18"/>
  <c r="Y27" i="18"/>
  <c r="I33" i="11"/>
  <c r="J34" i="10"/>
  <c r="M20" i="18"/>
  <c r="I36" i="11"/>
  <c r="J29" i="10"/>
  <c r="M15" i="18"/>
  <c r="J25" i="10"/>
  <c r="M11" i="18"/>
  <c r="J35" i="9"/>
  <c r="R21" i="18"/>
  <c r="K37" i="7"/>
  <c r="K27" i="7"/>
  <c r="L27" i="7"/>
  <c r="M28" i="7"/>
  <c r="N28" i="7"/>
  <c r="K32" i="7"/>
  <c r="M13" i="18"/>
  <c r="R14" i="18"/>
  <c r="R18" i="18"/>
  <c r="N23" i="18"/>
  <c r="X33" i="10"/>
  <c r="X33" i="9"/>
  <c r="C45" i="6"/>
  <c r="C46" i="6"/>
  <c r="K29" i="7"/>
  <c r="K28" i="7"/>
  <c r="W11" i="18"/>
  <c r="W12" i="18"/>
  <c r="R13" i="18"/>
  <c r="C18" i="18"/>
  <c r="W18" i="18"/>
  <c r="H23" i="18"/>
  <c r="K33" i="7"/>
  <c r="H35" i="10"/>
  <c r="K37" i="6"/>
  <c r="R37" i="6"/>
  <c r="M16" i="9"/>
  <c r="W9" i="18"/>
  <c r="H11" i="18"/>
  <c r="X32" i="7"/>
  <c r="H37" i="9"/>
  <c r="K36" i="11"/>
  <c r="H37" i="6"/>
  <c r="E29" i="9"/>
  <c r="E27" i="11"/>
  <c r="E27" i="7"/>
  <c r="E27" i="10"/>
  <c r="I37" i="10"/>
  <c r="X31" i="7"/>
  <c r="X30" i="7"/>
  <c r="J36" i="7"/>
  <c r="K36" i="7"/>
  <c r="H22" i="18"/>
  <c r="E28" i="6"/>
  <c r="E26" i="18"/>
  <c r="P23" i="18"/>
  <c r="J24" i="9"/>
  <c r="R10" i="18"/>
  <c r="K16" i="11"/>
  <c r="L16" i="11"/>
  <c r="L18" i="11"/>
  <c r="M16" i="11"/>
  <c r="J35" i="11"/>
  <c r="W22" i="18"/>
  <c r="O23" i="18"/>
  <c r="R37" i="9"/>
  <c r="S37" i="9"/>
  <c r="S23" i="18"/>
  <c r="J34" i="7"/>
  <c r="K34" i="7"/>
  <c r="H20" i="18"/>
  <c r="L33" i="7"/>
  <c r="M34" i="7"/>
  <c r="N34" i="7"/>
  <c r="Q33" i="7"/>
  <c r="J33" i="10"/>
  <c r="M19" i="18"/>
  <c r="K16" i="6"/>
  <c r="L16" i="6"/>
  <c r="L18" i="6"/>
  <c r="M16" i="6"/>
  <c r="J36" i="9"/>
  <c r="R22" i="18"/>
  <c r="J36" i="10"/>
  <c r="M22" i="18"/>
  <c r="J27" i="18"/>
  <c r="J26" i="7"/>
  <c r="K26" i="7"/>
  <c r="H12" i="18"/>
  <c r="X33" i="7"/>
  <c r="K35" i="7"/>
  <c r="K24" i="7"/>
  <c r="K23" i="7"/>
  <c r="J29" i="6"/>
  <c r="J27" i="6"/>
  <c r="J26" i="6"/>
  <c r="K30" i="7"/>
  <c r="L37" i="9"/>
  <c r="M37" i="9"/>
  <c r="N37" i="9"/>
  <c r="J32" i="6"/>
  <c r="J35" i="6"/>
  <c r="J31" i="6"/>
  <c r="J25" i="6"/>
  <c r="I24" i="6"/>
  <c r="K25" i="7"/>
  <c r="J36" i="6"/>
  <c r="J30" i="6"/>
  <c r="J34" i="6"/>
  <c r="J28" i="6"/>
  <c r="I23" i="6"/>
  <c r="Y32" i="6"/>
  <c r="Y31" i="6"/>
  <c r="Y30" i="6"/>
  <c r="J33" i="6"/>
  <c r="L32" i="7"/>
  <c r="M33" i="7"/>
  <c r="N33" i="7"/>
  <c r="Q32" i="7"/>
  <c r="I18" i="18"/>
  <c r="L36" i="11"/>
  <c r="M36" i="11"/>
  <c r="N36" i="11"/>
  <c r="Q36" i="11"/>
  <c r="L28" i="7"/>
  <c r="M29" i="7"/>
  <c r="N29" i="7"/>
  <c r="Q28" i="7"/>
  <c r="J36" i="11"/>
  <c r="K35" i="11"/>
  <c r="Q35" i="11"/>
  <c r="I37" i="9"/>
  <c r="I35" i="10"/>
  <c r="L29" i="7"/>
  <c r="M30" i="7"/>
  <c r="N30" i="7"/>
  <c r="Q29" i="7"/>
  <c r="L37" i="6"/>
  <c r="M37" i="6"/>
  <c r="O37" i="6"/>
  <c r="K29" i="11"/>
  <c r="K34" i="11"/>
  <c r="Q34" i="11"/>
  <c r="Q27" i="7"/>
  <c r="I37" i="6"/>
  <c r="O27" i="18"/>
  <c r="J33" i="11"/>
  <c r="K33" i="11"/>
  <c r="W20" i="18"/>
  <c r="E27" i="18"/>
  <c r="K26" i="11"/>
  <c r="Q26" i="11"/>
  <c r="K30" i="11"/>
  <c r="Q30" i="11"/>
  <c r="Q37" i="7"/>
  <c r="K31" i="7"/>
  <c r="L37" i="7"/>
  <c r="M37" i="7"/>
  <c r="N37" i="7"/>
  <c r="K27" i="11"/>
  <c r="W23" i="18"/>
  <c r="F23" i="18"/>
  <c r="J23" i="6"/>
  <c r="C9" i="18"/>
  <c r="J24" i="6"/>
  <c r="C10" i="18"/>
  <c r="K15" i="18"/>
  <c r="L24" i="7"/>
  <c r="M25" i="7"/>
  <c r="N25" i="7"/>
  <c r="Q24" i="7"/>
  <c r="E29" i="6"/>
  <c r="K14" i="18"/>
  <c r="K19" i="18"/>
  <c r="L26" i="11"/>
  <c r="M26" i="11"/>
  <c r="N26" i="11"/>
  <c r="L29" i="11"/>
  <c r="M29" i="11"/>
  <c r="N29" i="11"/>
  <c r="Q29" i="11"/>
  <c r="R33" i="7"/>
  <c r="S33" i="7"/>
  <c r="I19" i="18"/>
  <c r="R30" i="7"/>
  <c r="S30" i="7"/>
  <c r="E28" i="10"/>
  <c r="E28" i="11"/>
  <c r="U23" i="18"/>
  <c r="L26" i="7"/>
  <c r="M27" i="7"/>
  <c r="N27" i="7"/>
  <c r="Q26" i="7"/>
  <c r="S37" i="6"/>
  <c r="T37" i="6"/>
  <c r="D23" i="18"/>
  <c r="L30" i="7"/>
  <c r="M31" i="7"/>
  <c r="N31" i="7"/>
  <c r="Q30" i="7"/>
  <c r="L35" i="7"/>
  <c r="M36" i="7"/>
  <c r="N36" i="7"/>
  <c r="Q35" i="7"/>
  <c r="L34" i="7"/>
  <c r="M35" i="7"/>
  <c r="N35" i="7"/>
  <c r="Q34" i="7"/>
  <c r="N37" i="6"/>
  <c r="L30" i="11"/>
  <c r="M30" i="11"/>
  <c r="N30" i="11"/>
  <c r="L25" i="7"/>
  <c r="M26" i="7"/>
  <c r="N26" i="7"/>
  <c r="Q25" i="7"/>
  <c r="L34" i="11"/>
  <c r="M34" i="11"/>
  <c r="N34" i="11"/>
  <c r="L23" i="7"/>
  <c r="Q23" i="7"/>
  <c r="K20" i="18"/>
  <c r="T23" i="18"/>
  <c r="L35" i="11"/>
  <c r="M35" i="11"/>
  <c r="N35" i="11"/>
  <c r="Q36" i="7"/>
  <c r="L36" i="7"/>
  <c r="E28" i="7"/>
  <c r="R27" i="7"/>
  <c r="S27" i="7"/>
  <c r="I13" i="18"/>
  <c r="R32" i="7"/>
  <c r="S32" i="7"/>
  <c r="J37" i="10"/>
  <c r="M23" i="18"/>
  <c r="E30" i="9"/>
  <c r="Q33" i="11"/>
  <c r="L33" i="11"/>
  <c r="M33" i="11"/>
  <c r="N33" i="11"/>
  <c r="L27" i="11"/>
  <c r="M27" i="11"/>
  <c r="N27" i="11"/>
  <c r="Q27" i="11"/>
  <c r="R27" i="11"/>
  <c r="S27" i="11"/>
  <c r="K23" i="18"/>
  <c r="Q31" i="7"/>
  <c r="L31" i="7"/>
  <c r="M32" i="7"/>
  <c r="N32" i="7"/>
  <c r="C23" i="18"/>
  <c r="J37" i="6"/>
  <c r="J35" i="10"/>
  <c r="M21" i="18"/>
  <c r="K28" i="11"/>
  <c r="K23" i="6"/>
  <c r="L23" i="6"/>
  <c r="R28" i="7"/>
  <c r="S28" i="7"/>
  <c r="I14" i="18"/>
  <c r="R37" i="7"/>
  <c r="S37" i="7"/>
  <c r="I23" i="18"/>
  <c r="K23" i="11"/>
  <c r="I15" i="18"/>
  <c r="R29" i="7"/>
  <c r="S29" i="7"/>
  <c r="J37" i="9"/>
  <c r="R23" i="18"/>
  <c r="R36" i="11"/>
  <c r="S36" i="11"/>
  <c r="X23" i="18"/>
  <c r="K31" i="11"/>
  <c r="K32" i="11"/>
  <c r="K25" i="11"/>
  <c r="K24" i="11"/>
  <c r="K16" i="18"/>
  <c r="Z23" i="18"/>
  <c r="Z22" i="18"/>
  <c r="R23" i="7"/>
  <c r="S23" i="7"/>
  <c r="I9" i="18"/>
  <c r="R34" i="11"/>
  <c r="S34" i="11"/>
  <c r="X21" i="18"/>
  <c r="R30" i="11"/>
  <c r="S30" i="11"/>
  <c r="X17" i="18"/>
  <c r="E31" i="9"/>
  <c r="M23" i="7"/>
  <c r="N23" i="7"/>
  <c r="M24" i="7"/>
  <c r="N24" i="7"/>
  <c r="Z21" i="18"/>
  <c r="Z17" i="18"/>
  <c r="K17" i="18"/>
  <c r="R26" i="7"/>
  <c r="S26" i="7"/>
  <c r="I12" i="18"/>
  <c r="J16" i="18"/>
  <c r="X16" i="18"/>
  <c r="E30" i="6"/>
  <c r="K23" i="10"/>
  <c r="K27" i="10"/>
  <c r="K30" i="10"/>
  <c r="K25" i="10"/>
  <c r="K28" i="10"/>
  <c r="K32" i="10"/>
  <c r="K34" i="10"/>
  <c r="K26" i="10"/>
  <c r="K31" i="10"/>
  <c r="K35" i="10"/>
  <c r="K24" i="10"/>
  <c r="K29" i="10"/>
  <c r="K33" i="10"/>
  <c r="Z13" i="18"/>
  <c r="R36" i="7"/>
  <c r="S36" i="7"/>
  <c r="I22" i="18"/>
  <c r="R25" i="7"/>
  <c r="S25" i="7"/>
  <c r="I11" i="18"/>
  <c r="R34" i="7"/>
  <c r="S34" i="7"/>
  <c r="I20" i="18"/>
  <c r="R35" i="7"/>
  <c r="S35" i="7"/>
  <c r="I21" i="18"/>
  <c r="E23" i="18"/>
  <c r="K13" i="18"/>
  <c r="E29" i="11"/>
  <c r="Z16" i="18"/>
  <c r="K36" i="10"/>
  <c r="E29" i="7"/>
  <c r="I16" i="18"/>
  <c r="J19" i="18"/>
  <c r="Z20" i="18"/>
  <c r="K11" i="18"/>
  <c r="J13" i="18"/>
  <c r="J18" i="18"/>
  <c r="R35" i="11"/>
  <c r="S35" i="11"/>
  <c r="X22" i="18"/>
  <c r="K12" i="18"/>
  <c r="K21" i="18"/>
  <c r="K22" i="18"/>
  <c r="Z14" i="18"/>
  <c r="E29" i="10"/>
  <c r="R33" i="11"/>
  <c r="S33" i="11"/>
  <c r="X20" i="18"/>
  <c r="R26" i="11"/>
  <c r="S26" i="11"/>
  <c r="X13" i="18"/>
  <c r="R24" i="7"/>
  <c r="S24" i="7"/>
  <c r="I10" i="18"/>
  <c r="L32" i="11"/>
  <c r="M32" i="11"/>
  <c r="N32" i="11"/>
  <c r="Q32" i="11"/>
  <c r="Y23" i="18"/>
  <c r="R23" i="6"/>
  <c r="X14" i="18"/>
  <c r="Q31" i="11"/>
  <c r="L31" i="11"/>
  <c r="M31" i="11"/>
  <c r="N31" i="11"/>
  <c r="Q28" i="11"/>
  <c r="L28" i="11"/>
  <c r="M28" i="11"/>
  <c r="N28" i="11"/>
  <c r="K27" i="6"/>
  <c r="K29" i="6"/>
  <c r="K30" i="6"/>
  <c r="K36" i="6"/>
  <c r="K28" i="6"/>
  <c r="K26" i="6"/>
  <c r="K33" i="6"/>
  <c r="K25" i="6"/>
  <c r="K32" i="6"/>
  <c r="K31" i="6"/>
  <c r="K34" i="6"/>
  <c r="K35" i="6"/>
  <c r="R31" i="7"/>
  <c r="S31" i="7"/>
  <c r="I17" i="18"/>
  <c r="J15" i="18"/>
  <c r="K18" i="18"/>
  <c r="L24" i="11"/>
  <c r="M24" i="11"/>
  <c r="N24" i="11"/>
  <c r="Q24" i="11"/>
  <c r="J23" i="18"/>
  <c r="L25" i="11"/>
  <c r="M25" i="11"/>
  <c r="N25" i="11"/>
  <c r="Q25" i="11"/>
  <c r="K23" i="9"/>
  <c r="K27" i="9"/>
  <c r="K31" i="9"/>
  <c r="K35" i="9"/>
  <c r="K24" i="9"/>
  <c r="K28" i="9"/>
  <c r="K32" i="9"/>
  <c r="K26" i="9"/>
  <c r="K30" i="9"/>
  <c r="K25" i="9"/>
  <c r="K29" i="9"/>
  <c r="K34" i="9"/>
  <c r="K36" i="9"/>
  <c r="K33" i="9"/>
  <c r="L23" i="11"/>
  <c r="M23" i="11"/>
  <c r="N23" i="11"/>
  <c r="Q23" i="11"/>
  <c r="K24" i="6"/>
  <c r="J14" i="18"/>
  <c r="M23" i="6"/>
  <c r="O23" i="6"/>
  <c r="N23" i="6"/>
  <c r="E30" i="7"/>
  <c r="L30" i="10"/>
  <c r="M30" i="10"/>
  <c r="N30" i="10"/>
  <c r="Q30" i="10"/>
  <c r="Y20" i="18"/>
  <c r="E30" i="10"/>
  <c r="J21" i="18"/>
  <c r="J11" i="18"/>
  <c r="J22" i="18"/>
  <c r="L35" i="10"/>
  <c r="M35" i="10"/>
  <c r="N35" i="10"/>
  <c r="Q35" i="10"/>
  <c r="L32" i="10"/>
  <c r="M32" i="10"/>
  <c r="N32" i="10"/>
  <c r="Q32" i="10"/>
  <c r="L27" i="10"/>
  <c r="M27" i="10"/>
  <c r="N27" i="10"/>
  <c r="Q27" i="10"/>
  <c r="E32" i="9"/>
  <c r="S38" i="7"/>
  <c r="J9" i="18"/>
  <c r="T23" i="7"/>
  <c r="L36" i="10"/>
  <c r="M36" i="10"/>
  <c r="N36" i="10"/>
  <c r="Q36" i="10"/>
  <c r="L34" i="10"/>
  <c r="M34" i="10"/>
  <c r="N34" i="10"/>
  <c r="Q34" i="10"/>
  <c r="Y13" i="18"/>
  <c r="E30" i="11"/>
  <c r="J20" i="18"/>
  <c r="L31" i="10"/>
  <c r="M31" i="10"/>
  <c r="N31" i="10"/>
  <c r="Q31" i="10"/>
  <c r="L28" i="10"/>
  <c r="M28" i="10"/>
  <c r="N28" i="10"/>
  <c r="Q28" i="10"/>
  <c r="L23" i="10"/>
  <c r="M23" i="10"/>
  <c r="N23" i="10"/>
  <c r="Q23" i="10"/>
  <c r="E31" i="6"/>
  <c r="J12" i="18"/>
  <c r="K10" i="18"/>
  <c r="Y21" i="18"/>
  <c r="J10" i="18"/>
  <c r="Y22" i="18"/>
  <c r="L24" i="10"/>
  <c r="M24" i="10"/>
  <c r="N24" i="10"/>
  <c r="Q24" i="10"/>
  <c r="S23" i="6"/>
  <c r="T23" i="6"/>
  <c r="D9" i="18"/>
  <c r="Y14" i="18"/>
  <c r="L33" i="10"/>
  <c r="M33" i="10"/>
  <c r="N33" i="10"/>
  <c r="Q33" i="10"/>
  <c r="L29" i="10"/>
  <c r="M29" i="10"/>
  <c r="N29" i="10"/>
  <c r="Q29" i="10"/>
  <c r="L26" i="10"/>
  <c r="M26" i="10"/>
  <c r="N26" i="10"/>
  <c r="Q26" i="10"/>
  <c r="L25" i="10"/>
  <c r="M25" i="10"/>
  <c r="N25" i="10"/>
  <c r="Q25" i="10"/>
  <c r="N38" i="7"/>
  <c r="K9" i="18"/>
  <c r="Y17" i="18"/>
  <c r="Z9" i="18"/>
  <c r="N37" i="11"/>
  <c r="Z12" i="18"/>
  <c r="Z15" i="18"/>
  <c r="Q33" i="9"/>
  <c r="L33" i="9"/>
  <c r="M33" i="9"/>
  <c r="N33" i="9"/>
  <c r="Q25" i="9"/>
  <c r="L25" i="9"/>
  <c r="M25" i="9"/>
  <c r="N25" i="9"/>
  <c r="Q28" i="9"/>
  <c r="L28" i="9"/>
  <c r="M28" i="9"/>
  <c r="N28" i="9"/>
  <c r="L27" i="9"/>
  <c r="M27" i="9"/>
  <c r="N27" i="9"/>
  <c r="Q27" i="9"/>
  <c r="R24" i="11"/>
  <c r="S24" i="11"/>
  <c r="X11" i="18"/>
  <c r="L34" i="6"/>
  <c r="R34" i="6"/>
  <c r="R33" i="6"/>
  <c r="L33" i="6"/>
  <c r="L30" i="6"/>
  <c r="R30" i="6"/>
  <c r="R28" i="11"/>
  <c r="S28" i="11"/>
  <c r="X15" i="18"/>
  <c r="R29" i="11"/>
  <c r="S29" i="11"/>
  <c r="L29" i="9"/>
  <c r="M29" i="9"/>
  <c r="N29" i="9"/>
  <c r="Q29" i="9"/>
  <c r="L32" i="9"/>
  <c r="M32" i="9"/>
  <c r="N32" i="9"/>
  <c r="Q32" i="9"/>
  <c r="Q31" i="9"/>
  <c r="L31" i="9"/>
  <c r="M31" i="9"/>
  <c r="N31" i="9"/>
  <c r="R35" i="6"/>
  <c r="L35" i="6"/>
  <c r="R25" i="6"/>
  <c r="L25" i="6"/>
  <c r="R36" i="6"/>
  <c r="L36" i="6"/>
  <c r="R24" i="6"/>
  <c r="L24" i="6"/>
  <c r="Q36" i="9"/>
  <c r="L36" i="9"/>
  <c r="M36" i="9"/>
  <c r="N36" i="9"/>
  <c r="L30" i="9"/>
  <c r="M30" i="9"/>
  <c r="N30" i="9"/>
  <c r="Q30" i="9"/>
  <c r="L24" i="9"/>
  <c r="M24" i="9"/>
  <c r="N24" i="9"/>
  <c r="Q24" i="9"/>
  <c r="Q23" i="9"/>
  <c r="L23" i="9"/>
  <c r="M23" i="9"/>
  <c r="N23" i="9"/>
  <c r="Z11" i="18"/>
  <c r="R31" i="6"/>
  <c r="L31" i="6"/>
  <c r="R26" i="6"/>
  <c r="L26" i="6"/>
  <c r="L29" i="6"/>
  <c r="R29" i="6"/>
  <c r="Z18" i="18"/>
  <c r="R32" i="11"/>
  <c r="S32" i="11"/>
  <c r="X19" i="18"/>
  <c r="R23" i="11"/>
  <c r="S23" i="11"/>
  <c r="X9" i="18"/>
  <c r="L34" i="9"/>
  <c r="M34" i="9"/>
  <c r="N34" i="9"/>
  <c r="Q34" i="9"/>
  <c r="L26" i="9"/>
  <c r="M26" i="9"/>
  <c r="N26" i="9"/>
  <c r="Q26" i="9"/>
  <c r="Q35" i="9"/>
  <c r="L35" i="9"/>
  <c r="M35" i="9"/>
  <c r="N35" i="9"/>
  <c r="X12" i="18"/>
  <c r="R25" i="11"/>
  <c r="S25" i="11"/>
  <c r="J17" i="18"/>
  <c r="L32" i="6"/>
  <c r="R32" i="6"/>
  <c r="R28" i="6"/>
  <c r="L28" i="6"/>
  <c r="L27" i="6"/>
  <c r="R27" i="6"/>
  <c r="R31" i="11"/>
  <c r="S31" i="11"/>
  <c r="X18" i="18"/>
  <c r="Z19" i="18"/>
  <c r="R26" i="10"/>
  <c r="S26" i="10"/>
  <c r="N12" i="18"/>
  <c r="P10" i="18"/>
  <c r="E32" i="6"/>
  <c r="R28" i="10"/>
  <c r="S28" i="10"/>
  <c r="N14" i="18"/>
  <c r="R34" i="10"/>
  <c r="S34" i="10"/>
  <c r="N20" i="18"/>
  <c r="C49" i="7"/>
  <c r="J28" i="18"/>
  <c r="U23" i="7"/>
  <c r="T28" i="7"/>
  <c r="T37" i="7"/>
  <c r="T29" i="7"/>
  <c r="T27" i="7"/>
  <c r="T33" i="7"/>
  <c r="T30" i="7"/>
  <c r="T31" i="7"/>
  <c r="T32" i="7"/>
  <c r="P18" i="18"/>
  <c r="T25" i="7"/>
  <c r="K28" i="18"/>
  <c r="F49" i="7"/>
  <c r="P12" i="18"/>
  <c r="P19" i="18"/>
  <c r="P14" i="18"/>
  <c r="E31" i="11"/>
  <c r="P20" i="18"/>
  <c r="E33" i="9"/>
  <c r="R27" i="10"/>
  <c r="S27" i="10"/>
  <c r="N13" i="18"/>
  <c r="R35" i="10"/>
  <c r="S35" i="10"/>
  <c r="N21" i="18"/>
  <c r="T35" i="7"/>
  <c r="E31" i="10"/>
  <c r="N16" i="18"/>
  <c r="R25" i="10"/>
  <c r="S25" i="10"/>
  <c r="N11" i="18"/>
  <c r="R29" i="10"/>
  <c r="S29" i="10"/>
  <c r="N15" i="18"/>
  <c r="R30" i="10"/>
  <c r="S30" i="10"/>
  <c r="T24" i="7"/>
  <c r="R23" i="10"/>
  <c r="S23" i="10"/>
  <c r="N9" i="18"/>
  <c r="R31" i="10"/>
  <c r="S31" i="10"/>
  <c r="N17" i="18"/>
  <c r="R36" i="10"/>
  <c r="S36" i="10"/>
  <c r="N22" i="18"/>
  <c r="P13" i="18"/>
  <c r="P21" i="18"/>
  <c r="P16" i="18"/>
  <c r="R33" i="10"/>
  <c r="S33" i="10"/>
  <c r="N19" i="18"/>
  <c r="P11" i="18"/>
  <c r="P15" i="18"/>
  <c r="E9" i="18"/>
  <c r="R24" i="10"/>
  <c r="S24" i="10"/>
  <c r="N10" i="18"/>
  <c r="T26" i="7"/>
  <c r="N38" i="10"/>
  <c r="P9" i="18"/>
  <c r="P17" i="18"/>
  <c r="T34" i="7"/>
  <c r="P22" i="18"/>
  <c r="R32" i="10"/>
  <c r="S32" i="10"/>
  <c r="N18" i="18"/>
  <c r="T36" i="7"/>
  <c r="E31" i="7"/>
  <c r="F9" i="18"/>
  <c r="S37" i="11"/>
  <c r="Y9" i="18"/>
  <c r="N26" i="6"/>
  <c r="M26" i="6"/>
  <c r="O26" i="6"/>
  <c r="M36" i="6"/>
  <c r="O36" i="6"/>
  <c r="N36" i="6"/>
  <c r="R32" i="9"/>
  <c r="S32" i="9"/>
  <c r="S18" i="18"/>
  <c r="D16" i="18"/>
  <c r="S34" i="6"/>
  <c r="T34" i="6"/>
  <c r="D20" i="18"/>
  <c r="R28" i="9"/>
  <c r="S28" i="9"/>
  <c r="S14" i="18"/>
  <c r="R33" i="9"/>
  <c r="S33" i="9"/>
  <c r="S19" i="18"/>
  <c r="T23" i="11"/>
  <c r="V37" i="11"/>
  <c r="N28" i="6"/>
  <c r="M28" i="6"/>
  <c r="O28" i="6"/>
  <c r="Y12" i="18"/>
  <c r="S21" i="18"/>
  <c r="R35" i="9"/>
  <c r="S35" i="9"/>
  <c r="U20" i="18"/>
  <c r="D12" i="18"/>
  <c r="S26" i="6"/>
  <c r="T26" i="6"/>
  <c r="U10" i="18"/>
  <c r="R36" i="9"/>
  <c r="S36" i="9"/>
  <c r="S22" i="18"/>
  <c r="S36" i="6"/>
  <c r="T36" i="6"/>
  <c r="D22" i="18"/>
  <c r="D21" i="18"/>
  <c r="S35" i="6"/>
  <c r="T35" i="6"/>
  <c r="U18" i="18"/>
  <c r="Y16" i="18"/>
  <c r="N30" i="6"/>
  <c r="M30" i="6"/>
  <c r="O30" i="6"/>
  <c r="M34" i="6"/>
  <c r="O34" i="6"/>
  <c r="N34" i="6"/>
  <c r="R27" i="9"/>
  <c r="S27" i="9"/>
  <c r="S13" i="18"/>
  <c r="U11" i="18"/>
  <c r="Z28" i="18"/>
  <c r="F48" i="11"/>
  <c r="N27" i="6"/>
  <c r="M27" i="6"/>
  <c r="O27" i="6"/>
  <c r="M32" i="6"/>
  <c r="O32" i="6"/>
  <c r="N32" i="6"/>
  <c r="R34" i="9"/>
  <c r="S34" i="9"/>
  <c r="S20" i="18"/>
  <c r="U22" i="18"/>
  <c r="M35" i="6"/>
  <c r="O35" i="6"/>
  <c r="N35" i="6"/>
  <c r="Y11" i="18"/>
  <c r="Y18" i="18"/>
  <c r="S28" i="6"/>
  <c r="T28" i="6"/>
  <c r="D14" i="18"/>
  <c r="S12" i="18"/>
  <c r="R26" i="9"/>
  <c r="S26" i="9"/>
  <c r="S30" i="6"/>
  <c r="T30" i="6"/>
  <c r="D15" i="18"/>
  <c r="S29" i="6"/>
  <c r="T29" i="6"/>
  <c r="N31" i="6"/>
  <c r="M31" i="6"/>
  <c r="O31" i="6"/>
  <c r="N38" i="9"/>
  <c r="U9" i="18"/>
  <c r="S16" i="18"/>
  <c r="M24" i="6"/>
  <c r="O24" i="6"/>
  <c r="N24" i="6"/>
  <c r="M25" i="6"/>
  <c r="O25" i="6"/>
  <c r="N25" i="6"/>
  <c r="U17" i="18"/>
  <c r="S15" i="18"/>
  <c r="R30" i="9"/>
  <c r="S30" i="9"/>
  <c r="R29" i="9"/>
  <c r="S29" i="9"/>
  <c r="N33" i="6"/>
  <c r="M33" i="6"/>
  <c r="O33" i="6"/>
  <c r="U13" i="18"/>
  <c r="R25" i="9"/>
  <c r="S25" i="9"/>
  <c r="S11" i="18"/>
  <c r="U21" i="18"/>
  <c r="R24" i="9"/>
  <c r="S24" i="9"/>
  <c r="S10" i="18"/>
  <c r="T24" i="11"/>
  <c r="S27" i="6"/>
  <c r="T27" i="6"/>
  <c r="D13" i="18"/>
  <c r="S32" i="6"/>
  <c r="T32" i="6"/>
  <c r="D18" i="18"/>
  <c r="U12" i="18"/>
  <c r="Y19" i="18"/>
  <c r="N29" i="6"/>
  <c r="M29" i="6"/>
  <c r="O29" i="6"/>
  <c r="S31" i="6"/>
  <c r="T31" i="6"/>
  <c r="D17" i="18"/>
  <c r="S9" i="18"/>
  <c r="R23" i="9"/>
  <c r="S23" i="9"/>
  <c r="U16" i="18"/>
  <c r="S24" i="6"/>
  <c r="T24" i="6"/>
  <c r="D10" i="18"/>
  <c r="S25" i="6"/>
  <c r="T25" i="6"/>
  <c r="D11" i="18"/>
  <c r="R31" i="9"/>
  <c r="S31" i="9"/>
  <c r="S17" i="18"/>
  <c r="U15" i="18"/>
  <c r="Y15" i="18"/>
  <c r="D19" i="18"/>
  <c r="S33" i="6"/>
  <c r="T33" i="6"/>
  <c r="U14" i="18"/>
  <c r="U19" i="18"/>
  <c r="O10" i="18"/>
  <c r="O14" i="18"/>
  <c r="E32" i="7"/>
  <c r="O17" i="18"/>
  <c r="O11" i="18"/>
  <c r="E34" i="9"/>
  <c r="O20" i="18"/>
  <c r="S38" i="10"/>
  <c r="T34" i="10"/>
  <c r="O9" i="18"/>
  <c r="O22" i="18"/>
  <c r="O15" i="18"/>
  <c r="E32" i="10"/>
  <c r="T27" i="10"/>
  <c r="O13" i="18"/>
  <c r="K29" i="18"/>
  <c r="F50" i="7"/>
  <c r="U24" i="7"/>
  <c r="V23" i="7"/>
  <c r="J29" i="18"/>
  <c r="C50" i="7"/>
  <c r="E33" i="6"/>
  <c r="E32" i="11"/>
  <c r="O18" i="18"/>
  <c r="T32" i="10"/>
  <c r="F49" i="10"/>
  <c r="P28" i="18"/>
  <c r="O19" i="18"/>
  <c r="T33" i="10"/>
  <c r="O16" i="18"/>
  <c r="O21" i="18"/>
  <c r="T35" i="10"/>
  <c r="O12" i="18"/>
  <c r="T26" i="10"/>
  <c r="F15" i="18"/>
  <c r="T10" i="18"/>
  <c r="O38" i="6"/>
  <c r="F10" i="18"/>
  <c r="E15" i="18"/>
  <c r="T20" i="18"/>
  <c r="T29" i="10"/>
  <c r="T36" i="10"/>
  <c r="T17" i="18"/>
  <c r="E13" i="18"/>
  <c r="F19" i="18"/>
  <c r="U28" i="18"/>
  <c r="F49" i="9"/>
  <c r="E14" i="18"/>
  <c r="Z29" i="18"/>
  <c r="F49" i="11"/>
  <c r="F12" i="18"/>
  <c r="E11" i="18"/>
  <c r="T16" i="18"/>
  <c r="T12" i="18"/>
  <c r="T13" i="18"/>
  <c r="S38" i="9"/>
  <c r="T27" i="9"/>
  <c r="E22" i="18"/>
  <c r="E20" i="18"/>
  <c r="F22" i="18"/>
  <c r="T30" i="10"/>
  <c r="T38" i="6"/>
  <c r="U29" i="6"/>
  <c r="U34" i="6"/>
  <c r="T24" i="10"/>
  <c r="E19" i="18"/>
  <c r="E10" i="18"/>
  <c r="T24" i="9"/>
  <c r="T23" i="9"/>
  <c r="T9" i="18"/>
  <c r="E18" i="18"/>
  <c r="T11" i="18"/>
  <c r="T25" i="9"/>
  <c r="F11" i="18"/>
  <c r="F17" i="18"/>
  <c r="F18" i="18"/>
  <c r="F20" i="18"/>
  <c r="T22" i="18"/>
  <c r="T36" i="9"/>
  <c r="E12" i="18"/>
  <c r="F14" i="18"/>
  <c r="T19" i="18"/>
  <c r="T33" i="9"/>
  <c r="T14" i="18"/>
  <c r="T28" i="9"/>
  <c r="T18" i="18"/>
  <c r="T32" i="9"/>
  <c r="E17" i="18"/>
  <c r="T29" i="9"/>
  <c r="T15" i="18"/>
  <c r="E16" i="18"/>
  <c r="F21" i="18"/>
  <c r="F13" i="18"/>
  <c r="F16" i="18"/>
  <c r="E21" i="18"/>
  <c r="T21" i="18"/>
  <c r="T35" i="9"/>
  <c r="T31" i="11"/>
  <c r="T26" i="11"/>
  <c r="T33" i="11"/>
  <c r="T35" i="11"/>
  <c r="T37" i="11"/>
  <c r="T36" i="11"/>
  <c r="Y28" i="18"/>
  <c r="T25" i="11"/>
  <c r="T28" i="11"/>
  <c r="U23" i="11"/>
  <c r="T30" i="11"/>
  <c r="T29" i="11"/>
  <c r="T32" i="11"/>
  <c r="T27" i="11"/>
  <c r="C48" i="11"/>
  <c r="T34" i="11"/>
  <c r="V24" i="7"/>
  <c r="U25" i="7"/>
  <c r="F50" i="10"/>
  <c r="P29" i="18"/>
  <c r="E34" i="6"/>
  <c r="J30" i="18"/>
  <c r="K30" i="18"/>
  <c r="E33" i="10"/>
  <c r="C49" i="10"/>
  <c r="T37" i="10"/>
  <c r="U23" i="10"/>
  <c r="O28" i="18"/>
  <c r="E35" i="9"/>
  <c r="T25" i="10"/>
  <c r="T31" i="10"/>
  <c r="E33" i="7"/>
  <c r="E33" i="11"/>
  <c r="T23" i="10"/>
  <c r="T28" i="10"/>
  <c r="F50" i="9"/>
  <c r="U29" i="18"/>
  <c r="U32" i="6"/>
  <c r="U23" i="6"/>
  <c r="U37" i="6"/>
  <c r="U26" i="6"/>
  <c r="U25" i="6"/>
  <c r="U36" i="6"/>
  <c r="C49" i="6"/>
  <c r="V23" i="6"/>
  <c r="U27" i="6"/>
  <c r="U28" i="6"/>
  <c r="E28" i="18"/>
  <c r="U30" i="6"/>
  <c r="U35" i="6"/>
  <c r="U33" i="6"/>
  <c r="U31" i="6"/>
  <c r="T26" i="9"/>
  <c r="Z30" i="18"/>
  <c r="T34" i="9"/>
  <c r="T28" i="18"/>
  <c r="T37" i="9"/>
  <c r="C49" i="9"/>
  <c r="U23" i="9"/>
  <c r="U24" i="6"/>
  <c r="T30" i="9"/>
  <c r="V23" i="11"/>
  <c r="U24" i="11"/>
  <c r="Y29" i="18"/>
  <c r="C49" i="11"/>
  <c r="T31" i="9"/>
  <c r="F28" i="18"/>
  <c r="F49" i="6"/>
  <c r="C50" i="10"/>
  <c r="O29" i="18"/>
  <c r="P30" i="18"/>
  <c r="E34" i="7"/>
  <c r="E35" i="6"/>
  <c r="E34" i="11"/>
  <c r="E36" i="9"/>
  <c r="U24" i="10"/>
  <c r="V23" i="10"/>
  <c r="V25" i="7"/>
  <c r="U26" i="7"/>
  <c r="E34" i="10"/>
  <c r="F50" i="6"/>
  <c r="F29" i="18"/>
  <c r="V24" i="11"/>
  <c r="U25" i="11"/>
  <c r="U24" i="9"/>
  <c r="V23" i="9"/>
  <c r="T29" i="18"/>
  <c r="C50" i="9"/>
  <c r="Y30" i="18"/>
  <c r="W23" i="6"/>
  <c r="V24" i="6"/>
  <c r="C50" i="6"/>
  <c r="E29" i="18"/>
  <c r="U30" i="18"/>
  <c r="U25" i="10"/>
  <c r="V24" i="10"/>
  <c r="E36" i="6"/>
  <c r="V26" i="7"/>
  <c r="U27" i="7"/>
  <c r="E35" i="11"/>
  <c r="E35" i="10"/>
  <c r="E37" i="9"/>
  <c r="F36" i="9"/>
  <c r="G36" i="9"/>
  <c r="E35" i="7"/>
  <c r="O30" i="18"/>
  <c r="T30" i="18"/>
  <c r="U25" i="9"/>
  <c r="V24" i="9"/>
  <c r="F30" i="18"/>
  <c r="V25" i="6"/>
  <c r="W24" i="6"/>
  <c r="E30" i="18"/>
  <c r="U26" i="11"/>
  <c r="V25" i="11"/>
  <c r="E36" i="10"/>
  <c r="E36" i="11"/>
  <c r="F35" i="11"/>
  <c r="G35" i="11"/>
  <c r="U26" i="10"/>
  <c r="V25" i="10"/>
  <c r="V27" i="7"/>
  <c r="U28" i="7"/>
  <c r="E36" i="7"/>
  <c r="F26" i="9"/>
  <c r="G26" i="9"/>
  <c r="F37" i="9"/>
  <c r="G37" i="9"/>
  <c r="F25" i="9"/>
  <c r="G25" i="9"/>
  <c r="F23" i="9"/>
  <c r="G23" i="9"/>
  <c r="F24" i="9"/>
  <c r="G24" i="9"/>
  <c r="F28" i="9"/>
  <c r="G28" i="9"/>
  <c r="F27" i="9"/>
  <c r="G27" i="9"/>
  <c r="F29" i="9"/>
  <c r="G29" i="9"/>
  <c r="F30" i="9"/>
  <c r="G30" i="9"/>
  <c r="F31" i="9"/>
  <c r="G31" i="9"/>
  <c r="F32" i="9"/>
  <c r="G32" i="9"/>
  <c r="F33" i="9"/>
  <c r="G33" i="9"/>
  <c r="F34" i="9"/>
  <c r="G34" i="9"/>
  <c r="F35" i="9"/>
  <c r="G35" i="9"/>
  <c r="E37" i="6"/>
  <c r="V26" i="6"/>
  <c r="W25" i="6"/>
  <c r="U26" i="9"/>
  <c r="V25" i="9"/>
  <c r="U27" i="11"/>
  <c r="V26" i="11"/>
  <c r="F24" i="6"/>
  <c r="G24" i="6"/>
  <c r="F26" i="6"/>
  <c r="G26" i="6"/>
  <c r="F37" i="6"/>
  <c r="G37" i="6"/>
  <c r="F23" i="6"/>
  <c r="G23" i="6"/>
  <c r="F25" i="6"/>
  <c r="G25" i="6"/>
  <c r="F27" i="6"/>
  <c r="G27" i="6"/>
  <c r="F28" i="6"/>
  <c r="G28" i="6"/>
  <c r="F29" i="6"/>
  <c r="G29" i="6"/>
  <c r="F30" i="6"/>
  <c r="G30" i="6"/>
  <c r="F31" i="6"/>
  <c r="G31" i="6"/>
  <c r="F32" i="6"/>
  <c r="G32" i="6"/>
  <c r="F33" i="6"/>
  <c r="G33" i="6"/>
  <c r="F34" i="6"/>
  <c r="G34" i="6"/>
  <c r="F35" i="6"/>
  <c r="G35" i="6"/>
  <c r="F36" i="6"/>
  <c r="G36" i="6"/>
  <c r="F36" i="11"/>
  <c r="G36" i="11"/>
  <c r="F24" i="11"/>
  <c r="G24" i="11"/>
  <c r="F25" i="11"/>
  <c r="G25" i="11"/>
  <c r="F23" i="11"/>
  <c r="G23" i="11"/>
  <c r="F26" i="11"/>
  <c r="G26" i="11"/>
  <c r="F27" i="11"/>
  <c r="G27" i="11"/>
  <c r="F28" i="11"/>
  <c r="G28" i="11"/>
  <c r="F29" i="11"/>
  <c r="G29" i="11"/>
  <c r="F30" i="11"/>
  <c r="G30" i="11"/>
  <c r="F31" i="11"/>
  <c r="G31" i="11"/>
  <c r="F32" i="11"/>
  <c r="G32" i="11"/>
  <c r="F33" i="11"/>
  <c r="G33" i="11"/>
  <c r="F34" i="11"/>
  <c r="G34" i="11"/>
  <c r="V28" i="7"/>
  <c r="U29" i="7"/>
  <c r="E37" i="10"/>
  <c r="F36" i="10"/>
  <c r="G36" i="10"/>
  <c r="E37" i="7"/>
  <c r="F36" i="7"/>
  <c r="G36" i="7"/>
  <c r="V26" i="10"/>
  <c r="U27" i="10"/>
  <c r="V26" i="9"/>
  <c r="U27" i="9"/>
  <c r="U28" i="11"/>
  <c r="V27" i="11"/>
  <c r="W26" i="6"/>
  <c r="V27" i="6"/>
  <c r="F37" i="10"/>
  <c r="G37" i="10"/>
  <c r="F23" i="10"/>
  <c r="G23" i="10"/>
  <c r="F24" i="10"/>
  <c r="G24" i="10"/>
  <c r="F25" i="10"/>
  <c r="G25" i="10"/>
  <c r="F26" i="10"/>
  <c r="G26" i="10"/>
  <c r="F27" i="10"/>
  <c r="G27" i="10"/>
  <c r="F28" i="10"/>
  <c r="G28" i="10"/>
  <c r="F29" i="10"/>
  <c r="G29" i="10"/>
  <c r="F30" i="10"/>
  <c r="G30" i="10"/>
  <c r="F31" i="10"/>
  <c r="G31" i="10"/>
  <c r="F32" i="10"/>
  <c r="G32" i="10"/>
  <c r="F33" i="10"/>
  <c r="G33" i="10"/>
  <c r="F34" i="10"/>
  <c r="G34" i="10"/>
  <c r="F35" i="10"/>
  <c r="G35" i="10"/>
  <c r="F24" i="7"/>
  <c r="G24" i="7"/>
  <c r="F37" i="7"/>
  <c r="G37" i="7"/>
  <c r="F23" i="7"/>
  <c r="G23" i="7"/>
  <c r="F26" i="7"/>
  <c r="G26" i="7"/>
  <c r="F25" i="7"/>
  <c r="G25" i="7"/>
  <c r="F27" i="7"/>
  <c r="G27" i="7"/>
  <c r="F28" i="7"/>
  <c r="G28" i="7"/>
  <c r="F29" i="7"/>
  <c r="G29" i="7"/>
  <c r="F30" i="7"/>
  <c r="G30" i="7"/>
  <c r="F31" i="7"/>
  <c r="G31" i="7"/>
  <c r="F32" i="7"/>
  <c r="G32" i="7"/>
  <c r="F33" i="7"/>
  <c r="G33" i="7"/>
  <c r="F34" i="7"/>
  <c r="G34" i="7"/>
  <c r="F35" i="7"/>
  <c r="G35" i="7"/>
  <c r="U28" i="10"/>
  <c r="V27" i="10"/>
  <c r="V29" i="7"/>
  <c r="U30" i="7"/>
  <c r="V28" i="11"/>
  <c r="U29" i="11"/>
  <c r="W27" i="6"/>
  <c r="V28" i="6"/>
  <c r="U28" i="9"/>
  <c r="V27" i="9"/>
  <c r="U29" i="10"/>
  <c r="V28" i="10"/>
  <c r="V30" i="7"/>
  <c r="U31" i="7"/>
  <c r="V29" i="6"/>
  <c r="W28" i="6"/>
  <c r="V29" i="11"/>
  <c r="U30" i="11"/>
  <c r="V28" i="9"/>
  <c r="U29" i="9"/>
  <c r="U30" i="10"/>
  <c r="V29" i="10"/>
  <c r="V31" i="7"/>
  <c r="U32" i="7"/>
  <c r="V29" i="9"/>
  <c r="U30" i="9"/>
  <c r="V30" i="11"/>
  <c r="U31" i="11"/>
  <c r="W29" i="6"/>
  <c r="V30" i="6"/>
  <c r="V30" i="10"/>
  <c r="U31" i="10"/>
  <c r="V32" i="7"/>
  <c r="U33" i="7"/>
  <c r="V31" i="11"/>
  <c r="U32" i="11"/>
  <c r="V31" i="6"/>
  <c r="W30" i="6"/>
  <c r="V30" i="9"/>
  <c r="U31" i="9"/>
  <c r="V33" i="7"/>
  <c r="U34" i="7"/>
  <c r="V31" i="10"/>
  <c r="U32" i="10"/>
  <c r="W31" i="6"/>
  <c r="V32" i="6"/>
  <c r="V31" i="9"/>
  <c r="U32" i="9"/>
  <c r="V32" i="11"/>
  <c r="U33" i="11"/>
  <c r="V34" i="7"/>
  <c r="U35" i="7"/>
  <c r="U33" i="10"/>
  <c r="V32" i="10"/>
  <c r="V32" i="9"/>
  <c r="U33" i="9"/>
  <c r="V33" i="11"/>
  <c r="U34" i="11"/>
  <c r="W32" i="6"/>
  <c r="V33" i="6"/>
  <c r="V35" i="7"/>
  <c r="U36" i="7"/>
  <c r="U34" i="10"/>
  <c r="V33" i="10"/>
  <c r="V34" i="11"/>
  <c r="U35" i="11"/>
  <c r="W33" i="6"/>
  <c r="V34" i="6"/>
  <c r="U34" i="9"/>
  <c r="V33" i="9"/>
  <c r="V36" i="7"/>
  <c r="U37" i="7"/>
  <c r="V37" i="7"/>
  <c r="V34" i="10"/>
  <c r="U35" i="10"/>
  <c r="W34" i="6"/>
  <c r="V35" i="6"/>
  <c r="V35" i="11"/>
  <c r="U36" i="11"/>
  <c r="V36" i="11"/>
  <c r="V34" i="9"/>
  <c r="U35" i="9"/>
  <c r="V35" i="10"/>
  <c r="U36" i="10"/>
  <c r="U36" i="9"/>
  <c r="V35" i="9"/>
  <c r="W35" i="6"/>
  <c r="V36" i="6"/>
  <c r="U37" i="10"/>
  <c r="V37" i="10"/>
  <c r="V36" i="10"/>
  <c r="V36" i="9"/>
  <c r="U37" i="9"/>
  <c r="V37" i="9"/>
  <c r="V37" i="6"/>
  <c r="W37" i="6"/>
  <c r="W36" i="6"/>
</calcChain>
</file>

<file path=xl/comments1.xml><?xml version="1.0" encoding="utf-8"?>
<comments xmlns="http://schemas.openxmlformats.org/spreadsheetml/2006/main">
  <authors>
    <author>Gitai Yahel</author>
    <author>Danielle Ludeman</author>
  </authors>
  <commentList>
    <comment ref="E15" authorId="0" shapeId="0">
      <text>
        <r>
          <rPr>
            <b/>
            <sz val="9"/>
            <color indexed="81"/>
            <rFont val="Tahoma"/>
            <family val="2"/>
          </rPr>
          <t>Danielle:</t>
        </r>
        <r>
          <rPr>
            <sz val="9"/>
            <color indexed="81"/>
            <rFont val="Tahoma"/>
            <family val="2"/>
          </rPr>
          <t xml:space="preserve">
Seawater at 30 psu, 12 degC</t>
        </r>
      </text>
    </comment>
    <comment ref="F15" authorId="0" shapeId="0">
      <text>
        <r>
          <rPr>
            <b/>
            <sz val="9"/>
            <color indexed="81"/>
            <rFont val="Tahoma"/>
            <family val="2"/>
          </rPr>
          <t>Danielle:</t>
        </r>
        <r>
          <rPr>
            <sz val="9"/>
            <color indexed="81"/>
            <rFont val="Tahoma"/>
            <family val="2"/>
          </rPr>
          <t xml:space="preserve">
Seawater at 30 psu, 12 degC</t>
        </r>
      </text>
    </comment>
    <comment ref="H15" authorId="1" shapeId="0">
      <text>
        <r>
          <rPr>
            <b/>
            <sz val="9"/>
            <color indexed="81"/>
            <rFont val="Calibri"/>
            <family val="2"/>
          </rPr>
          <t>Danielle Ludeman:</t>
        </r>
        <r>
          <rPr>
            <sz val="9"/>
            <color indexed="81"/>
            <rFont val="Calibri"/>
            <family val="2"/>
          </rPr>
          <t xml:space="preserve">
For seawater at 12 degrees
</t>
        </r>
      </text>
    </comment>
    <comment ref="C17" authorId="1" shapeId="0">
      <text>
        <r>
          <rPr>
            <b/>
            <sz val="9"/>
            <color indexed="81"/>
            <rFont val="Calibri"/>
            <family val="2"/>
          </rPr>
          <t>Danielle Ludeman:</t>
        </r>
        <r>
          <rPr>
            <sz val="9"/>
            <color indexed="81"/>
            <rFont val="Calibri"/>
            <family val="2"/>
          </rPr>
          <t xml:space="preserve">
mL/min for pumping power estimate
</t>
        </r>
      </text>
    </comment>
    <comment ref="K22" authorId="1" shapeId="0">
      <text>
        <r>
          <rPr>
            <b/>
            <sz val="9"/>
            <color indexed="81"/>
            <rFont val="Calibri"/>
            <family val="2"/>
          </rPr>
          <t>Danielle Ludeman:</t>
        </r>
        <r>
          <rPr>
            <sz val="9"/>
            <color indexed="81"/>
            <rFont val="Calibri"/>
            <family val="2"/>
          </rPr>
          <t xml:space="preserve">
Using equation by Reiswig 1975
</t>
        </r>
      </text>
    </comment>
    <comment ref="D32" authorId="1" shapeId="0">
      <text>
        <r>
          <rPr>
            <b/>
            <sz val="9"/>
            <color indexed="81"/>
            <rFont val="Calibri"/>
            <family val="2"/>
          </rPr>
          <t>Danielle Ludeman:</t>
        </r>
        <r>
          <rPr>
            <sz val="9"/>
            <color indexed="81"/>
            <rFont val="Calibri"/>
            <family val="2"/>
          </rPr>
          <t xml:space="preserve">
Path length is diameter in chambers
</t>
        </r>
      </text>
    </comment>
    <comment ref="D37" authorId="1" shapeId="0">
      <text>
        <r>
          <rPr>
            <b/>
            <sz val="9"/>
            <color indexed="81"/>
            <rFont val="Calibri"/>
            <family val="2"/>
          </rPr>
          <t>Danielle Ludeman:</t>
        </r>
        <r>
          <rPr>
            <sz val="9"/>
            <color indexed="81"/>
            <rFont val="Calibri"/>
            <family val="2"/>
          </rPr>
          <t xml:space="preserve">
calculated from image
P1060588</t>
        </r>
      </text>
    </comment>
  </commentList>
</comments>
</file>

<file path=xl/comments2.xml><?xml version="1.0" encoding="utf-8"?>
<comments xmlns="http://schemas.openxmlformats.org/spreadsheetml/2006/main">
  <authors>
    <author>Danielle Ludeman</author>
    <author>Gitai Yahel</author>
  </authors>
  <commentList>
    <comment ref="D15" authorId="0" shapeId="0">
      <text>
        <r>
          <rPr>
            <b/>
            <sz val="9"/>
            <color indexed="81"/>
            <rFont val="Calibri"/>
            <family val="2"/>
          </rPr>
          <t>Danielle Ludeman:</t>
        </r>
        <r>
          <rPr>
            <sz val="9"/>
            <color indexed="81"/>
            <rFont val="Calibri"/>
            <family val="2"/>
          </rPr>
          <t xml:space="preserve">
Determine the wall thickness of the cube to be used in the measurements. For example, in Callyspongia the wall thickness is 3mm, therefore the cube dimensions are 3mm x 5.77mm x 5.77mm, and the surface area of the cube is 100mm^3/3mm= 33.33mm^2</t>
        </r>
      </text>
    </comment>
    <comment ref="E15" authorId="1" shapeId="0">
      <text>
        <r>
          <rPr>
            <b/>
            <sz val="9"/>
            <color indexed="81"/>
            <rFont val="Tahoma"/>
            <family val="2"/>
          </rPr>
          <t>Danielle:</t>
        </r>
        <r>
          <rPr>
            <sz val="9"/>
            <color indexed="81"/>
            <rFont val="Tahoma"/>
            <family val="2"/>
          </rPr>
          <t xml:space="preserve">
Seawater at 30 psu, 12 degC</t>
        </r>
      </text>
    </comment>
    <comment ref="F15" authorId="1" shapeId="0">
      <text>
        <r>
          <rPr>
            <b/>
            <sz val="9"/>
            <color indexed="81"/>
            <rFont val="Tahoma"/>
            <family val="2"/>
          </rPr>
          <t>Danielle:</t>
        </r>
        <r>
          <rPr>
            <sz val="9"/>
            <color indexed="81"/>
            <rFont val="Tahoma"/>
            <family val="2"/>
          </rPr>
          <t xml:space="preserve">
Seawater at 30 psu, 12 degC</t>
        </r>
      </text>
    </comment>
    <comment ref="H15" authorId="0" shapeId="0">
      <text>
        <r>
          <rPr>
            <b/>
            <sz val="9"/>
            <color indexed="81"/>
            <rFont val="Calibri"/>
            <family val="2"/>
          </rPr>
          <t>Danielle Ludeman:</t>
        </r>
        <r>
          <rPr>
            <sz val="9"/>
            <color indexed="81"/>
            <rFont val="Calibri"/>
            <family val="2"/>
          </rPr>
          <t xml:space="preserve">
For seawater at 12 degrees
</t>
        </r>
      </text>
    </comment>
    <comment ref="K22" authorId="0" shapeId="0">
      <text>
        <r>
          <rPr>
            <b/>
            <sz val="9"/>
            <color indexed="81"/>
            <rFont val="Calibri"/>
            <family val="2"/>
          </rPr>
          <t>Danielle Ludeman:</t>
        </r>
        <r>
          <rPr>
            <sz val="9"/>
            <color indexed="81"/>
            <rFont val="Calibri"/>
            <family val="2"/>
          </rPr>
          <t xml:space="preserve">
Using equation by Reiswig 1975
</t>
        </r>
      </text>
    </comment>
    <comment ref="D32" authorId="0" shapeId="0">
      <text>
        <r>
          <rPr>
            <b/>
            <sz val="9"/>
            <color indexed="81"/>
            <rFont val="Calibri"/>
            <family val="2"/>
          </rPr>
          <t>Danielle Ludeman:</t>
        </r>
        <r>
          <rPr>
            <sz val="9"/>
            <color indexed="81"/>
            <rFont val="Calibri"/>
            <family val="2"/>
          </rPr>
          <t xml:space="preserve">
Path length is diameter in chambers
</t>
        </r>
      </text>
    </comment>
  </commentList>
</comments>
</file>

<file path=xl/comments3.xml><?xml version="1.0" encoding="utf-8"?>
<comments xmlns="http://schemas.openxmlformats.org/spreadsheetml/2006/main">
  <authors>
    <author>Danielle Ludeman</author>
    <author>Gitai Yahel</author>
  </authors>
  <commentList>
    <comment ref="D15" authorId="0" shapeId="0">
      <text>
        <r>
          <rPr>
            <b/>
            <sz val="9"/>
            <color indexed="81"/>
            <rFont val="Calibri"/>
            <family val="2"/>
          </rPr>
          <t>Danielle Ludeman:</t>
        </r>
        <r>
          <rPr>
            <sz val="9"/>
            <color indexed="81"/>
            <rFont val="Calibri"/>
            <family val="2"/>
          </rPr>
          <t xml:space="preserve">
Determine the wall thickness of the cube to be used in the measurements. For example, in Callyspongia the wall thickness is 3mm, therefore the cube dimensions are 3mm x 5.77mm x 5.77mm, and the surface area of the cube is 100mm^3/3mm= 33.33mm^2</t>
        </r>
      </text>
    </comment>
    <comment ref="E15" authorId="1" shapeId="0">
      <text>
        <r>
          <rPr>
            <b/>
            <sz val="9"/>
            <color indexed="81"/>
            <rFont val="Tahoma"/>
            <family val="2"/>
          </rPr>
          <t>Danielle:</t>
        </r>
        <r>
          <rPr>
            <sz val="9"/>
            <color indexed="81"/>
            <rFont val="Tahoma"/>
            <family val="2"/>
          </rPr>
          <t xml:space="preserve">
Seawater at 30 psu, 12 degC</t>
        </r>
      </text>
    </comment>
    <comment ref="F15" authorId="1" shapeId="0">
      <text>
        <r>
          <rPr>
            <b/>
            <sz val="9"/>
            <color indexed="81"/>
            <rFont val="Tahoma"/>
            <family val="2"/>
          </rPr>
          <t>Danielle:</t>
        </r>
        <r>
          <rPr>
            <sz val="9"/>
            <color indexed="81"/>
            <rFont val="Tahoma"/>
            <family val="2"/>
          </rPr>
          <t xml:space="preserve">
Seawater at 30 psu, 12 degC</t>
        </r>
      </text>
    </comment>
    <comment ref="H15" authorId="0" shapeId="0">
      <text>
        <r>
          <rPr>
            <b/>
            <sz val="9"/>
            <color indexed="81"/>
            <rFont val="Calibri"/>
            <family val="2"/>
          </rPr>
          <t>Danielle Ludeman:</t>
        </r>
        <r>
          <rPr>
            <sz val="9"/>
            <color indexed="81"/>
            <rFont val="Calibri"/>
            <family val="2"/>
          </rPr>
          <t xml:space="preserve">
For seawater at 12 degrees
</t>
        </r>
      </text>
    </comment>
    <comment ref="K22" authorId="0" shapeId="0">
      <text>
        <r>
          <rPr>
            <b/>
            <sz val="9"/>
            <color indexed="81"/>
            <rFont val="Calibri"/>
            <family val="2"/>
          </rPr>
          <t>Danielle Ludeman:</t>
        </r>
        <r>
          <rPr>
            <sz val="9"/>
            <color indexed="81"/>
            <rFont val="Calibri"/>
            <family val="2"/>
          </rPr>
          <t xml:space="preserve">
Using equation by Reiswig 1975
</t>
        </r>
      </text>
    </comment>
    <comment ref="D32" authorId="0" shapeId="0">
      <text>
        <r>
          <rPr>
            <b/>
            <sz val="9"/>
            <color indexed="81"/>
            <rFont val="Calibri"/>
            <family val="2"/>
          </rPr>
          <t>Danielle Ludeman:</t>
        </r>
        <r>
          <rPr>
            <sz val="9"/>
            <color indexed="81"/>
            <rFont val="Calibri"/>
            <family val="2"/>
          </rPr>
          <t xml:space="preserve">
Path length is diameter in chambers
</t>
        </r>
      </text>
    </comment>
  </commentList>
</comments>
</file>

<file path=xl/comments4.xml><?xml version="1.0" encoding="utf-8"?>
<comments xmlns="http://schemas.openxmlformats.org/spreadsheetml/2006/main">
  <authors>
    <author>Danielle Ludeman</author>
    <author>Gitai Yahel</author>
  </authors>
  <commentList>
    <comment ref="D15" authorId="0" shapeId="0">
      <text>
        <r>
          <rPr>
            <b/>
            <sz val="9"/>
            <color indexed="81"/>
            <rFont val="Calibri"/>
            <family val="2"/>
          </rPr>
          <t>Danielle Ludeman:</t>
        </r>
        <r>
          <rPr>
            <sz val="9"/>
            <color indexed="81"/>
            <rFont val="Calibri"/>
            <family val="2"/>
          </rPr>
          <t xml:space="preserve">
Wall thickness is 3mm.  Therefore the cube dimensions are 5.77x5.77x3mm</t>
        </r>
      </text>
    </comment>
    <comment ref="E15" authorId="1" shapeId="0">
      <text>
        <r>
          <rPr>
            <b/>
            <sz val="9"/>
            <color indexed="81"/>
            <rFont val="Tahoma"/>
            <family val="2"/>
          </rPr>
          <t>Danielle:</t>
        </r>
        <r>
          <rPr>
            <sz val="9"/>
            <color indexed="81"/>
            <rFont val="Tahoma"/>
            <family val="2"/>
          </rPr>
          <t xml:space="preserve">
Seawater at 30 psu, 30 degC</t>
        </r>
      </text>
    </comment>
    <comment ref="H15" authorId="0" shapeId="0">
      <text>
        <r>
          <rPr>
            <b/>
            <sz val="9"/>
            <color indexed="81"/>
            <rFont val="Calibri"/>
            <family val="2"/>
          </rPr>
          <t>Danielle Ludeman:</t>
        </r>
        <r>
          <rPr>
            <sz val="9"/>
            <color indexed="81"/>
            <rFont val="Calibri"/>
            <family val="2"/>
          </rPr>
          <t xml:space="preserve">
For seawater at 12 degrees
</t>
        </r>
      </text>
    </comment>
    <comment ref="K22" authorId="0" shapeId="0">
      <text>
        <r>
          <rPr>
            <b/>
            <sz val="9"/>
            <color indexed="81"/>
            <rFont val="Calibri"/>
            <family val="2"/>
          </rPr>
          <t>Danielle Ludeman:</t>
        </r>
        <r>
          <rPr>
            <sz val="9"/>
            <color indexed="81"/>
            <rFont val="Calibri"/>
            <family val="2"/>
          </rPr>
          <t xml:space="preserve">
Using equation by Reiswig 1975:
Effective Excurrent velocity / (fraction inhalent surface of region/fraction inhalent surface of osculum)
</t>
        </r>
      </text>
    </comment>
    <comment ref="D32" authorId="0" shapeId="0">
      <text>
        <r>
          <rPr>
            <b/>
            <sz val="9"/>
            <color indexed="81"/>
            <rFont val="Calibri"/>
            <family val="2"/>
          </rPr>
          <t>Danielle Ludeman:</t>
        </r>
        <r>
          <rPr>
            <sz val="9"/>
            <color indexed="81"/>
            <rFont val="Calibri"/>
            <family val="2"/>
          </rPr>
          <t xml:space="preserve">
Path length is diameter in chambers
</t>
        </r>
      </text>
    </comment>
    <comment ref="A45" authorId="0" shapeId="0">
      <text>
        <r>
          <rPr>
            <b/>
            <sz val="9"/>
            <color indexed="81"/>
            <rFont val="Calibri"/>
            <family val="2"/>
          </rPr>
          <t>Danielle Ludeman:</t>
        </r>
        <r>
          <rPr>
            <sz val="9"/>
            <color indexed="81"/>
            <rFont val="Calibri"/>
            <family val="2"/>
          </rPr>
          <t xml:space="preserve">
From Riisgard et al 1993 MEPS 96, pg 185.  Also in Riisgard 1988 - The ascidian pump
</t>
        </r>
      </text>
    </comment>
  </commentList>
</comments>
</file>

<file path=xl/comments5.xml><?xml version="1.0" encoding="utf-8"?>
<comments xmlns="http://schemas.openxmlformats.org/spreadsheetml/2006/main">
  <authors>
    <author>Danielle Ludeman</author>
    <author>Gitai Yahel</author>
  </authors>
  <commentList>
    <comment ref="D15" authorId="0" shapeId="0">
      <text>
        <r>
          <rPr>
            <b/>
            <sz val="9"/>
            <color indexed="81"/>
            <rFont val="Calibri"/>
            <family val="2"/>
          </rPr>
          <t>Danielle Ludeman:</t>
        </r>
        <r>
          <rPr>
            <sz val="9"/>
            <color indexed="81"/>
            <rFont val="Calibri"/>
            <family val="2"/>
          </rPr>
          <t xml:space="preserve">
Determine the wall thickness of the cube to be used in the measurements. For example, in Callyspongia the wall thickness is 3mm, therefore the cube dimensions are 3mm x 5.77mm x 5.77mm, and the surface area of the cube is 100mm^3/3mm= 33.33mm^2</t>
        </r>
      </text>
    </comment>
    <comment ref="E15" authorId="1" shapeId="0">
      <text>
        <r>
          <rPr>
            <b/>
            <sz val="9"/>
            <color indexed="81"/>
            <rFont val="Tahoma"/>
            <family val="2"/>
          </rPr>
          <t>Danielle:</t>
        </r>
        <r>
          <rPr>
            <sz val="9"/>
            <color indexed="81"/>
            <rFont val="Tahoma"/>
            <family val="2"/>
          </rPr>
          <t xml:space="preserve">
Seawater at 30 psu, 30 degC</t>
        </r>
      </text>
    </comment>
    <comment ref="H15" authorId="0" shapeId="0">
      <text>
        <r>
          <rPr>
            <b/>
            <sz val="9"/>
            <color indexed="81"/>
            <rFont val="Calibri"/>
            <family val="2"/>
          </rPr>
          <t>Danielle Ludeman:</t>
        </r>
        <r>
          <rPr>
            <sz val="9"/>
            <color indexed="81"/>
            <rFont val="Calibri"/>
            <family val="2"/>
          </rPr>
          <t xml:space="preserve">
For seawater at 30 degrees
</t>
        </r>
      </text>
    </comment>
    <comment ref="K22" authorId="0" shapeId="0">
      <text>
        <r>
          <rPr>
            <b/>
            <sz val="9"/>
            <color indexed="81"/>
            <rFont val="Calibri"/>
            <family val="2"/>
          </rPr>
          <t>Danielle Ludeman:</t>
        </r>
        <r>
          <rPr>
            <sz val="9"/>
            <color indexed="81"/>
            <rFont val="Calibri"/>
            <family val="2"/>
          </rPr>
          <t xml:space="preserve">
Using equation by Reiswig 1975
</t>
        </r>
      </text>
    </comment>
    <comment ref="D31" authorId="0" shapeId="0">
      <text>
        <r>
          <rPr>
            <b/>
            <sz val="9"/>
            <color indexed="81"/>
            <rFont val="Calibri"/>
            <family val="2"/>
          </rPr>
          <t>Danielle Ludeman:</t>
        </r>
        <r>
          <rPr>
            <sz val="9"/>
            <color indexed="81"/>
            <rFont val="Calibri"/>
            <family val="2"/>
          </rPr>
          <t xml:space="preserve">
Path length is diameter in chambers
</t>
        </r>
      </text>
    </comment>
  </commentList>
</comments>
</file>

<file path=xl/sharedStrings.xml><?xml version="1.0" encoding="utf-8"?>
<sst xmlns="http://schemas.openxmlformats.org/spreadsheetml/2006/main" count="610" uniqueCount="136">
  <si>
    <t>Cost of pumping (%)</t>
  </si>
  <si>
    <t>Pumping Power</t>
  </si>
  <si>
    <t>uW</t>
  </si>
  <si>
    <t>ul/hr</t>
  </si>
  <si>
    <t>ul/L</t>
  </si>
  <si>
    <t>1 ml/l * pumping rate (L/hr) = 1ml/hr</t>
  </si>
  <si>
    <t>umol/L</t>
  </si>
  <si>
    <t>1 ml/l = 103/22.391 = 44.661 μmol/l</t>
  </si>
  <si>
    <t>Oxygen</t>
  </si>
  <si>
    <t>osculum</t>
  </si>
  <si>
    <t>Osculum</t>
  </si>
  <si>
    <t>lg excurrent canal</t>
  </si>
  <si>
    <t>med excurrent canal</t>
  </si>
  <si>
    <t>sm excurrent canal</t>
  </si>
  <si>
    <t>Apertures of exhalent canals</t>
  </si>
  <si>
    <t>apopyle</t>
  </si>
  <si>
    <t>Apopyles</t>
  </si>
  <si>
    <t>chamber</t>
  </si>
  <si>
    <t>Chamber</t>
  </si>
  <si>
    <t>post collar space</t>
  </si>
  <si>
    <t>collar slit</t>
  </si>
  <si>
    <t>pre-collar space</t>
  </si>
  <si>
    <t>Collars</t>
  </si>
  <si>
    <t>prosopyles</t>
  </si>
  <si>
    <t>Prosopyles</t>
  </si>
  <si>
    <t>sm incurrent canal</t>
  </si>
  <si>
    <t>med incurrent canal</t>
  </si>
  <si>
    <t>lg incurrent canal</t>
  </si>
  <si>
    <t>Apertures of Inhalent canals</t>
  </si>
  <si>
    <t>Subdermal space</t>
  </si>
  <si>
    <t>ostia</t>
  </si>
  <si>
    <t>Ostia</t>
  </si>
  <si>
    <r>
      <t xml:space="preserve">% of total </t>
    </r>
    <r>
      <rPr>
        <sz val="10"/>
        <rFont val="Symbol"/>
        <family val="1"/>
      </rPr>
      <t>D</t>
    </r>
    <r>
      <rPr>
        <sz val="12"/>
        <color theme="1"/>
        <rFont val="Calibri"/>
        <family val="2"/>
        <scheme val="minor"/>
      </rPr>
      <t>Head</t>
    </r>
  </si>
  <si>
    <t>Fraction of inhalent surface</t>
  </si>
  <si>
    <t>XS area in 100 mm^3 pieces (mm^2)</t>
  </si>
  <si>
    <t>XS area (mm2) of aquiferous system in 1mm3  pieces</t>
  </si>
  <si>
    <t>% distance from inhalent surface</t>
  </si>
  <si>
    <t>proportional distance from inhalent surface</t>
  </si>
  <si>
    <t>Distance from inhalent surface (um)</t>
  </si>
  <si>
    <t>Path length of each section (um)</t>
  </si>
  <si>
    <t>Diameter (um)</t>
  </si>
  <si>
    <t>Sponge Region</t>
  </si>
  <si>
    <t>names at the comparison table</t>
  </si>
  <si>
    <t>Number of mv per collar</t>
  </si>
  <si>
    <t>Est # collars per chamber</t>
  </si>
  <si>
    <t># chambers/sponge</t>
  </si>
  <si>
    <t># chambers in 1mm3</t>
  </si>
  <si>
    <t>nL/collar/hr</t>
  </si>
  <si>
    <t>mL/mLSponge/s</t>
  </si>
  <si>
    <t>Specific pumping rate (mL/mLSponge/min)</t>
  </si>
  <si>
    <t>Sponge Volume (cm^3)</t>
  </si>
  <si>
    <t>Alfa (Vex/U)</t>
  </si>
  <si>
    <r>
      <t xml:space="preserve">Specific weight </t>
    </r>
    <r>
      <rPr>
        <b/>
        <sz val="11"/>
        <color indexed="17"/>
        <rFont val="Symbol"/>
        <family val="1"/>
        <charset val="2"/>
      </rPr>
      <t>g</t>
    </r>
  </si>
  <si>
    <r>
      <rPr>
        <b/>
        <sz val="10"/>
        <color indexed="17"/>
        <rFont val="Arial"/>
        <family val="2"/>
      </rPr>
      <t>Acceleration of gravity, g (m/s^2)</t>
    </r>
  </si>
  <si>
    <r>
      <rPr>
        <b/>
        <sz val="10"/>
        <color indexed="17"/>
        <rFont val="Arial"/>
        <family val="2"/>
      </rPr>
      <t>Density,</t>
    </r>
    <r>
      <rPr>
        <b/>
        <sz val="10"/>
        <color indexed="17"/>
        <rFont val="Symbol"/>
        <family val="1"/>
        <charset val="2"/>
      </rPr>
      <t xml:space="preserve"> r</t>
    </r>
    <r>
      <rPr>
        <b/>
        <sz val="10"/>
        <color indexed="17"/>
        <rFont val="Arial"/>
        <family val="2"/>
      </rPr>
      <t xml:space="preserve"> (kg/m^3)</t>
    </r>
  </si>
  <si>
    <t>Surface area of the 100^3 crosswall section (mm^2)</t>
  </si>
  <si>
    <t xml:space="preserve"> Osculum flow rate (mL/s) </t>
  </si>
  <si>
    <t xml:space="preserve">Excurrent velocity (m/s) </t>
  </si>
  <si>
    <t>Surface area of the sponge (cm^2)</t>
  </si>
  <si>
    <t>Summary sheet for Neopetrosia problematica</t>
  </si>
  <si>
    <t>1 ml/l = 10^3/22.391 = 44.661 μmol/l</t>
  </si>
  <si>
    <t>Post-collar space</t>
  </si>
  <si>
    <t>Pre-collar space</t>
  </si>
  <si>
    <t xml:space="preserve">Velocity (per opening, m/s) </t>
  </si>
  <si>
    <t>Haliclona mollis</t>
  </si>
  <si>
    <t>Velocity (mm/s)</t>
  </si>
  <si>
    <t>Callyspongia vaginalis</t>
  </si>
  <si>
    <t>Cliona delitrix</t>
  </si>
  <si>
    <t>Neopetrosia problematica</t>
  </si>
  <si>
    <t>per whole sponge</t>
  </si>
  <si>
    <t>1ul/hr *5.333 ~= 1 uW</t>
  </si>
  <si>
    <t>Type of opening</t>
  </si>
  <si>
    <t>Equation # in Riisgard and Larsen 1995</t>
  </si>
  <si>
    <t>Head loss (mm H20) as per Riisgard and Larsen 1995</t>
  </si>
  <si>
    <t>Head loss (um H20) as per Riisgard and Larsen 1995</t>
  </si>
  <si>
    <t>aperture</t>
  </si>
  <si>
    <t>channels/ducts</t>
  </si>
  <si>
    <t>For the lattice equation (17)</t>
  </si>
  <si>
    <t>d</t>
  </si>
  <si>
    <t>h1</t>
  </si>
  <si>
    <t>h2</t>
  </si>
  <si>
    <t>lattice - rectangular</t>
  </si>
  <si>
    <t>K</t>
  </si>
  <si>
    <t>τ</t>
  </si>
  <si>
    <t>h0</t>
  </si>
  <si>
    <t>h</t>
  </si>
  <si>
    <t>exit loss</t>
  </si>
  <si>
    <t>Using Riisgard and Larsen 1995</t>
  </si>
  <si>
    <t>Large incurrent canal</t>
  </si>
  <si>
    <t xml:space="preserve">Prosopyles </t>
  </si>
  <si>
    <t>Collar slit</t>
  </si>
  <si>
    <t xml:space="preserve">Chamber </t>
  </si>
  <si>
    <t>Apopyle</t>
  </si>
  <si>
    <t>Medium incurrent canal</t>
  </si>
  <si>
    <t>Small incurrent canal</t>
  </si>
  <si>
    <t>Small excurrent canal</t>
  </si>
  <si>
    <t>Medium excurrent canal</t>
  </si>
  <si>
    <t>Large excurrent canal</t>
  </si>
  <si>
    <t>Region of the aquiferous canal system</t>
  </si>
  <si>
    <t>Relative head</t>
  </si>
  <si>
    <r>
      <t>Head loss, ΔH (μm H</t>
    </r>
    <r>
      <rPr>
        <b/>
        <vertAlign val="subscript"/>
        <sz val="12"/>
        <color theme="1"/>
        <rFont val="Times New Roman"/>
      </rPr>
      <t>2</t>
    </r>
    <r>
      <rPr>
        <b/>
        <sz val="12"/>
        <color theme="1"/>
        <rFont val="Times New Roman"/>
      </rPr>
      <t>0)</t>
    </r>
  </si>
  <si>
    <r>
      <t xml:space="preserve">Volume flow rate, </t>
    </r>
    <r>
      <rPr>
        <b/>
        <i/>
        <sz val="12"/>
        <color theme="1"/>
        <rFont val="Times New Roman"/>
      </rPr>
      <t xml:space="preserve">Q </t>
    </r>
    <r>
      <rPr>
        <b/>
        <sz val="12"/>
        <color theme="1"/>
        <rFont val="Times New Roman"/>
      </rPr>
      <t>(mL/min)</t>
    </r>
  </si>
  <si>
    <r>
      <t>Respiration, R</t>
    </r>
    <r>
      <rPr>
        <b/>
        <vertAlign val="subscript"/>
        <sz val="12"/>
        <color theme="1"/>
        <rFont val="Times New Roman"/>
      </rPr>
      <t>tot</t>
    </r>
    <r>
      <rPr>
        <b/>
        <sz val="12"/>
        <color theme="1"/>
        <rFont val="Times New Roman"/>
      </rPr>
      <t xml:space="preserve"> (μW)</t>
    </r>
  </si>
  <si>
    <r>
      <t>Pumping Power,</t>
    </r>
    <r>
      <rPr>
        <b/>
        <i/>
        <sz val="12"/>
        <color theme="1"/>
        <rFont val="Times New Roman"/>
      </rPr>
      <t xml:space="preserve"> P</t>
    </r>
    <r>
      <rPr>
        <b/>
        <i/>
        <vertAlign val="subscript"/>
        <sz val="12"/>
        <color theme="1"/>
        <rFont val="Times New Roman"/>
      </rPr>
      <t>p</t>
    </r>
    <r>
      <rPr>
        <b/>
        <sz val="12"/>
        <color theme="1"/>
        <rFont val="Times New Roman"/>
      </rPr>
      <t xml:space="preserve"> (μW)</t>
    </r>
  </si>
  <si>
    <t>Cost of pumping, η (%)</t>
  </si>
  <si>
    <t>Morphometric model using the methods by Reiswig (1975), Riisgard et al. (1993), and Leys et al. (2011)</t>
  </si>
  <si>
    <t>Dimensions of each region of the aquiferous canal system were measured in Image J (see tabs for each region for a breakdown of the measurement process)</t>
  </si>
  <si>
    <t xml:space="preserve">Cross-sectional area of each region was estimated as per Reiswig (1975) and Leys et al. (2011). </t>
  </si>
  <si>
    <t>A 100 uL piece was used to estimate cross-sectional area, that has the dimensions of 4.5 mm x 4.5 mm x 5 mm</t>
  </si>
  <si>
    <t>Velocity was estimated as per Reiswig (1975), using the relationship between cross-sectional area and velocity ((Cross-sectional area of osculum*velocity from osculum)/cross-sectional area of region)</t>
  </si>
  <si>
    <t>Head loss was calculated as per Riisgard et al. (1993), using different equations based on the region of the canal system.  This accounts for creeping flow and fluid dynamic differences when considering apertures, lattices, vs. pipes</t>
  </si>
  <si>
    <t>Sponge volume was estimated based on image analysis</t>
  </si>
  <si>
    <t>Pumping power and cost of filtration also estimated based on Riisgard et al. (1993)</t>
  </si>
  <si>
    <t>diameter of the collar microvilli</t>
  </si>
  <si>
    <t>height of the glycocalyx mesh</t>
  </si>
  <si>
    <t>width of the collar slit</t>
  </si>
  <si>
    <t>Summary sheet for Haliclona mollis</t>
  </si>
  <si>
    <t>Summary sheet for Tethya leysae</t>
  </si>
  <si>
    <t>Summary sheet for Callyspongia vaginalis</t>
  </si>
  <si>
    <t>A 100 uL piece was used to estimate cross-sectional area, that has the dimensions of 5.77 mm x 5.77 mm x 3 mm</t>
  </si>
  <si>
    <t>Sponge volume was estimated based on image analysis (see tab)</t>
  </si>
  <si>
    <t>Summary sheet for Cliona delitrix</t>
  </si>
  <si>
    <t>Head loss (mmH20) as per Leys et al 2011</t>
  </si>
  <si>
    <t>Head loss (umH20) as per Leys et al 2011</t>
  </si>
  <si>
    <t>Using Leys et al 2011</t>
  </si>
  <si>
    <t>Tethya californiana</t>
  </si>
  <si>
    <t>Riisgard and Larson (1995)</t>
  </si>
  <si>
    <r>
      <t xml:space="preserve">Cross-sectional area, </t>
    </r>
    <r>
      <rPr>
        <i/>
        <sz val="11"/>
        <color theme="1"/>
        <rFont val="Times New Roman"/>
      </rPr>
      <t>A</t>
    </r>
    <r>
      <rPr>
        <i/>
        <vertAlign val="subscript"/>
        <sz val="11"/>
        <color theme="1"/>
        <rFont val="Times New Roman"/>
      </rPr>
      <t>i</t>
    </r>
    <r>
      <rPr>
        <i/>
        <sz val="11"/>
        <color theme="1"/>
        <rFont val="Times New Roman"/>
      </rPr>
      <t xml:space="preserve"> </t>
    </r>
    <r>
      <rPr>
        <sz val="11"/>
        <color theme="1"/>
        <rFont val="Times New Roman"/>
      </rPr>
      <t>(mm</t>
    </r>
    <r>
      <rPr>
        <vertAlign val="superscript"/>
        <sz val="11"/>
        <color theme="1"/>
        <rFont val="Times New Roman"/>
      </rPr>
      <t>2</t>
    </r>
    <r>
      <rPr>
        <sz val="11"/>
        <color theme="1"/>
        <rFont val="Times New Roman"/>
      </rPr>
      <t>)</t>
    </r>
  </si>
  <si>
    <r>
      <t xml:space="preserve">Head loss, </t>
    </r>
    <r>
      <rPr>
        <i/>
        <sz val="11"/>
        <color theme="1"/>
        <rFont val="Times New Roman"/>
      </rPr>
      <t>H</t>
    </r>
    <r>
      <rPr>
        <sz val="11"/>
        <color theme="1"/>
        <rFont val="Times New Roman"/>
      </rPr>
      <t xml:space="preserve">     (μm H</t>
    </r>
    <r>
      <rPr>
        <vertAlign val="subscript"/>
        <sz val="11"/>
        <color theme="1"/>
        <rFont val="Times New Roman"/>
      </rPr>
      <t>2</t>
    </r>
    <r>
      <rPr>
        <sz val="11"/>
        <color theme="1"/>
        <rFont val="Times New Roman"/>
      </rPr>
      <t>0)</t>
    </r>
  </si>
  <si>
    <r>
      <t xml:space="preserve">Velocity, </t>
    </r>
    <r>
      <rPr>
        <i/>
        <sz val="11"/>
        <color theme="1"/>
        <rFont val="Times New Roman"/>
      </rPr>
      <t>u</t>
    </r>
    <r>
      <rPr>
        <i/>
        <vertAlign val="subscript"/>
        <sz val="11"/>
        <color theme="1"/>
        <rFont val="Times New Roman"/>
      </rPr>
      <t>i</t>
    </r>
    <r>
      <rPr>
        <sz val="11"/>
        <color theme="1"/>
        <rFont val="Times New Roman"/>
      </rPr>
      <t xml:space="preserve"> (mm/s)</t>
    </r>
  </si>
  <si>
    <r>
      <t xml:space="preserve">Leys    </t>
    </r>
    <r>
      <rPr>
        <i/>
        <sz val="11"/>
        <color theme="1"/>
        <rFont val="Times New Roman"/>
      </rPr>
      <t xml:space="preserve"> et al </t>
    </r>
    <r>
      <rPr>
        <sz val="11"/>
        <color theme="1"/>
        <rFont val="Times New Roman"/>
      </rPr>
      <t>(2011)</t>
    </r>
  </si>
  <si>
    <t xml:space="preserve">Kinematic Viscosity (mm^2/s) </t>
  </si>
  <si>
    <t>Head loss (mmH20) as per eq 19 Riishgard and Larsen</t>
  </si>
  <si>
    <t>Head loss (mmH20) as per eq 2 Leys et al 2012</t>
  </si>
  <si>
    <t>1ul/hr *5.333 ~= uW (Riisgard 1993)</t>
  </si>
  <si>
    <t>1ul/hr *5.3333 ~= uW (Riisgard 1993)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</si>
</sst>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0.000000"/>
    <numFmt numFmtId="166" formatCode="0.0"/>
    <numFmt numFmtId="167" formatCode="0.0000"/>
    <numFmt numFmtId="168" formatCode="_(* #,##0_);_(* \(#,##0\);_(* &quot;-&quot;??_);_(@_)"/>
    <numFmt numFmtId="169" formatCode="0.000"/>
  </numFmts>
  <fonts count="39" x14ac:knownFonts="1">
    <font>
      <sz val="12"/>
      <color theme="1"/>
      <name val="Calibri"/>
      <family val="2"/>
      <scheme val="minor"/>
    </font>
    <font>
      <sz val="12"/>
      <color rgb="FF006100"/>
      <name val="Calibri"/>
      <family val="2"/>
      <scheme val="minor"/>
    </font>
    <font>
      <b/>
      <sz val="12"/>
      <color rgb="FFFA7D00"/>
      <name val="Calibri"/>
      <family val="2"/>
      <scheme val="minor"/>
    </font>
    <font>
      <b/>
      <sz val="12"/>
      <color theme="1"/>
      <name val="Calibri"/>
      <family val="2"/>
      <scheme val="minor"/>
    </font>
    <font>
      <b/>
      <sz val="10"/>
      <name val="Arial"/>
      <family val="2"/>
    </font>
    <font>
      <sz val="10"/>
      <name val="Arial"/>
      <family val="2"/>
    </font>
    <font>
      <sz val="11"/>
      <name val="Cambria"/>
      <family val="1"/>
      <scheme val="major"/>
    </font>
    <font>
      <sz val="10"/>
      <name val="Symbol"/>
      <family val="1"/>
    </font>
    <font>
      <b/>
      <sz val="11"/>
      <color rgb="FF006100"/>
      <name val="Calibri"/>
      <family val="2"/>
    </font>
    <font>
      <sz val="11"/>
      <color rgb="FF006100"/>
      <name val="Calibri"/>
      <family val="2"/>
      <charset val="177"/>
      <scheme val="minor"/>
    </font>
    <font>
      <b/>
      <sz val="11"/>
      <color indexed="17"/>
      <name val="Symbol"/>
      <family val="1"/>
      <charset val="2"/>
    </font>
    <font>
      <b/>
      <sz val="10"/>
      <color indexed="17"/>
      <name val="Calibri"/>
      <family val="2"/>
    </font>
    <font>
      <b/>
      <sz val="10"/>
      <color indexed="17"/>
      <name val="Arial"/>
      <family val="2"/>
    </font>
    <font>
      <b/>
      <sz val="10"/>
      <color indexed="17"/>
      <name val="Symbol"/>
      <family val="1"/>
      <charset val="2"/>
    </font>
    <font>
      <b/>
      <sz val="9"/>
      <color indexed="81"/>
      <name val="Calibri"/>
      <family val="2"/>
    </font>
    <font>
      <sz val="9"/>
      <color indexed="81"/>
      <name val="Calibri"/>
      <family val="2"/>
    </font>
    <font>
      <b/>
      <sz val="9"/>
      <color indexed="81"/>
      <name val="Tahoma"/>
      <family val="2"/>
    </font>
    <font>
      <sz val="9"/>
      <color indexed="81"/>
      <name val="Tahoma"/>
      <family val="2"/>
    </font>
    <font>
      <sz val="11"/>
      <color theme="1"/>
      <name val="Calibri"/>
      <family val="2"/>
      <scheme val="minor"/>
    </font>
    <font>
      <u/>
      <sz val="12"/>
      <color theme="10"/>
      <name val="Calibri"/>
      <family val="2"/>
      <scheme val="minor"/>
    </font>
    <font>
      <u/>
      <sz val="12"/>
      <color theme="11"/>
      <name val="Calibri"/>
      <family val="2"/>
      <scheme val="minor"/>
    </font>
    <font>
      <sz val="12"/>
      <color theme="1"/>
      <name val="Times New Roman"/>
    </font>
    <font>
      <b/>
      <sz val="12"/>
      <color theme="1"/>
      <name val="Times New Roman"/>
    </font>
    <font>
      <sz val="12"/>
      <color rgb="FFFF0000"/>
      <name val="Times New Roman"/>
    </font>
    <font>
      <b/>
      <sz val="12"/>
      <color rgb="FFFF0000"/>
      <name val="Times New Roman"/>
    </font>
    <font>
      <b/>
      <sz val="12"/>
      <name val="Times New Roman"/>
    </font>
    <font>
      <b/>
      <i/>
      <sz val="12"/>
      <color theme="1"/>
      <name val="Times New Roman"/>
    </font>
    <font>
      <b/>
      <vertAlign val="subscript"/>
      <sz val="12"/>
      <color theme="1"/>
      <name val="Times New Roman"/>
    </font>
    <font>
      <b/>
      <i/>
      <vertAlign val="subscript"/>
      <sz val="12"/>
      <color theme="1"/>
      <name val="Times New Roman"/>
    </font>
    <font>
      <b/>
      <sz val="16"/>
      <color theme="1"/>
      <name val="Calibri"/>
      <scheme val="minor"/>
    </font>
    <font>
      <sz val="12"/>
      <name val="Calibri"/>
      <family val="2"/>
      <scheme val="minor"/>
    </font>
    <font>
      <b/>
      <sz val="11"/>
      <color theme="1"/>
      <name val="Times New Roman"/>
    </font>
    <font>
      <b/>
      <i/>
      <sz val="11"/>
      <color theme="1"/>
      <name val="Times New Roman"/>
    </font>
    <font>
      <sz val="11"/>
      <color theme="1"/>
      <name val="Times New Roman"/>
    </font>
    <font>
      <i/>
      <sz val="11"/>
      <color theme="1"/>
      <name val="Times New Roman"/>
    </font>
    <font>
      <vertAlign val="subscript"/>
      <sz val="11"/>
      <color theme="1"/>
      <name val="Times New Roman"/>
    </font>
    <font>
      <i/>
      <vertAlign val="subscript"/>
      <sz val="11"/>
      <color theme="1"/>
      <name val="Times New Roman"/>
    </font>
    <font>
      <vertAlign val="superscript"/>
      <sz val="11"/>
      <color theme="1"/>
      <name val="Times New Roman"/>
    </font>
    <font>
      <b/>
      <sz val="11"/>
      <color rgb="FF006100"/>
      <name val="Calibri"/>
      <family val="2"/>
      <scheme val="minor"/>
    </font>
  </fonts>
  <fills count="14">
    <fill>
      <patternFill patternType="none"/>
    </fill>
    <fill>
      <patternFill patternType="gray125"/>
    </fill>
    <fill>
      <patternFill patternType="solid">
        <fgColor rgb="FFC6EFCE"/>
      </patternFill>
    </fill>
    <fill>
      <patternFill patternType="solid">
        <fgColor rgb="FFF2F2F2"/>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2F2F2"/>
        <bgColor rgb="FF000000"/>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rgb="FF7F7F7F"/>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top/>
      <bottom style="double">
        <color auto="1"/>
      </bottom>
      <diagonal/>
    </border>
  </borders>
  <cellStyleXfs count="412">
    <xf numFmtId="0" fontId="0" fillId="0" borderId="0"/>
    <xf numFmtId="0" fontId="1" fillId="2" borderId="0" applyNumberFormat="0" applyBorder="0" applyAlignment="0" applyProtection="0"/>
    <xf numFmtId="0" fontId="2" fillId="3" borderId="1" applyNumberFormat="0" applyAlignment="0" applyProtection="0"/>
    <xf numFmtId="164" fontId="5" fillId="0" borderId="0" applyFont="0" applyFill="0" applyBorder="0" applyAlignment="0" applyProtection="0"/>
    <xf numFmtId="0" fontId="9" fillId="2" borderId="0" applyNumberFormat="0" applyBorder="0" applyAlignment="0" applyProtection="0"/>
    <xf numFmtId="0" fontId="18"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189">
    <xf numFmtId="0" fontId="0" fillId="0" borderId="0" xfId="0"/>
    <xf numFmtId="2" fontId="0" fillId="0" borderId="0" xfId="0" applyNumberFormat="1"/>
    <xf numFmtId="0" fontId="0" fillId="0" borderId="0" xfId="0" applyFill="1" applyBorder="1"/>
    <xf numFmtId="0" fontId="0" fillId="0" borderId="0" xfId="0" applyFill="1"/>
    <xf numFmtId="0" fontId="0" fillId="4" borderId="0" xfId="0" applyFill="1"/>
    <xf numFmtId="0" fontId="4" fillId="0" borderId="0" xfId="0" applyFont="1" applyAlignment="1">
      <alignment horizontal="left"/>
    </xf>
    <xf numFmtId="0" fontId="3" fillId="0" borderId="0" xfId="0" applyFont="1"/>
    <xf numFmtId="2" fontId="0" fillId="4" borderId="0" xfId="0" applyNumberFormat="1" applyFill="1"/>
    <xf numFmtId="0" fontId="0" fillId="5" borderId="0" xfId="0" applyFill="1"/>
    <xf numFmtId="2" fontId="0" fillId="5" borderId="0" xfId="0" applyNumberFormat="1" applyFill="1"/>
    <xf numFmtId="0" fontId="4" fillId="0" borderId="0" xfId="0" applyFont="1" applyFill="1" applyAlignment="1">
      <alignment horizontal="left"/>
    </xf>
    <xf numFmtId="0" fontId="5" fillId="0" borderId="0" xfId="0" applyFont="1" applyAlignment="1">
      <alignment horizontal="left"/>
    </xf>
    <xf numFmtId="0" fontId="5" fillId="0" borderId="0" xfId="0" applyFont="1" applyFill="1" applyBorder="1" applyAlignment="1">
      <alignment wrapText="1"/>
    </xf>
    <xf numFmtId="0" fontId="5" fillId="6" borderId="2" xfId="0" applyFont="1" applyFill="1" applyBorder="1" applyAlignment="1">
      <alignment wrapText="1"/>
    </xf>
    <xf numFmtId="0" fontId="4" fillId="6" borderId="2" xfId="0" applyFont="1" applyFill="1" applyBorder="1" applyAlignment="1">
      <alignment horizontal="center" wrapText="1"/>
    </xf>
    <xf numFmtId="166" fontId="5" fillId="4" borderId="3" xfId="0" applyNumberFormat="1" applyFont="1" applyFill="1" applyBorder="1"/>
    <xf numFmtId="0" fontId="5" fillId="4" borderId="4" xfId="0" applyFont="1" applyFill="1" applyBorder="1"/>
    <xf numFmtId="0" fontId="5" fillId="0" borderId="0" xfId="0" applyFont="1" applyFill="1"/>
    <xf numFmtId="0" fontId="5" fillId="4" borderId="5" xfId="0" applyFont="1" applyFill="1" applyBorder="1"/>
    <xf numFmtId="0" fontId="5" fillId="4" borderId="6" xfId="0" applyFont="1" applyFill="1" applyBorder="1"/>
    <xf numFmtId="0" fontId="5" fillId="0" borderId="0" xfId="0" applyFont="1"/>
    <xf numFmtId="0" fontId="5" fillId="0" borderId="0" xfId="0" applyFont="1" applyAlignment="1">
      <alignment horizontal="center"/>
    </xf>
    <xf numFmtId="2" fontId="5" fillId="4" borderId="5" xfId="0" applyNumberFormat="1" applyFont="1" applyFill="1" applyBorder="1"/>
    <xf numFmtId="2" fontId="5" fillId="0" borderId="0" xfId="0" applyNumberFormat="1" applyFont="1"/>
    <xf numFmtId="2" fontId="5" fillId="4" borderId="7" xfId="0" applyNumberFormat="1" applyFont="1" applyFill="1" applyBorder="1"/>
    <xf numFmtId="0" fontId="5" fillId="4" borderId="8" xfId="0" applyFont="1" applyFill="1" applyBorder="1"/>
    <xf numFmtId="11" fontId="5" fillId="0" borderId="0" xfId="0" applyNumberFormat="1" applyFont="1"/>
    <xf numFmtId="2" fontId="0" fillId="0" borderId="0" xfId="0" applyNumberFormat="1" applyFill="1"/>
    <xf numFmtId="165" fontId="2" fillId="3" borderId="9" xfId="2" applyNumberFormat="1" applyBorder="1"/>
    <xf numFmtId="167" fontId="2" fillId="3" borderId="10" xfId="2" applyNumberFormat="1" applyBorder="1"/>
    <xf numFmtId="0" fontId="4" fillId="7" borderId="10" xfId="0" applyFont="1" applyFill="1" applyBorder="1"/>
    <xf numFmtId="11" fontId="8" fillId="7" borderId="10" xfId="1" applyNumberFormat="1" applyFont="1" applyFill="1" applyBorder="1" applyAlignment="1">
      <alignment wrapText="1"/>
    </xf>
    <xf numFmtId="168" fontId="8" fillId="7" borderId="10" xfId="3" applyNumberFormat="1" applyFont="1" applyFill="1" applyBorder="1"/>
    <xf numFmtId="167" fontId="8" fillId="7" borderId="10" xfId="1" applyNumberFormat="1" applyFont="1" applyFill="1" applyBorder="1" applyAlignment="1">
      <alignment wrapText="1"/>
    </xf>
    <xf numFmtId="1" fontId="8" fillId="7" borderId="10" xfId="1" applyNumberFormat="1" applyFont="1" applyFill="1" applyBorder="1" applyAlignment="1">
      <alignment wrapText="1"/>
    </xf>
    <xf numFmtId="2" fontId="8" fillId="7" borderId="10" xfId="1" applyNumberFormat="1" applyFont="1" applyFill="1" applyBorder="1" applyAlignment="1">
      <alignment wrapText="1"/>
    </xf>
    <xf numFmtId="11" fontId="8" fillId="7" borderId="10" xfId="1" applyNumberFormat="1" applyFont="1" applyFill="1" applyBorder="1" applyAlignment="1">
      <alignment horizontal="right" wrapText="1"/>
    </xf>
    <xf numFmtId="0" fontId="8" fillId="7" borderId="10" xfId="1" applyFont="1" applyFill="1" applyBorder="1" applyAlignment="1">
      <alignment horizontal="right" wrapText="1"/>
    </xf>
    <xf numFmtId="169" fontId="8" fillId="7" borderId="10" xfId="1" applyNumberFormat="1" applyFont="1" applyFill="1" applyBorder="1" applyAlignment="1">
      <alignment horizontal="right"/>
    </xf>
    <xf numFmtId="0" fontId="5" fillId="0" borderId="0" xfId="0" applyFont="1" applyFill="1" applyAlignment="1">
      <alignment wrapText="1"/>
    </xf>
    <xf numFmtId="0" fontId="2" fillId="3" borderId="9" xfId="2" applyBorder="1" applyAlignment="1">
      <alignment horizontal="center" wrapText="1"/>
    </xf>
    <xf numFmtId="0" fontId="2" fillId="3" borderId="10" xfId="2" applyBorder="1" applyAlignment="1">
      <alignment horizontal="center" wrapText="1"/>
    </xf>
    <xf numFmtId="0" fontId="2" fillId="3" borderId="10" xfId="2" applyBorder="1" applyAlignment="1">
      <alignment horizontal="left" wrapText="1"/>
    </xf>
    <xf numFmtId="0" fontId="4" fillId="7" borderId="10" xfId="0" applyFont="1" applyFill="1" applyBorder="1" applyAlignment="1">
      <alignment wrapText="1"/>
    </xf>
    <xf numFmtId="0" fontId="8" fillId="7" borderId="10" xfId="1" applyFont="1" applyFill="1" applyBorder="1" applyAlignment="1">
      <alignment wrapText="1"/>
    </xf>
    <xf numFmtId="0" fontId="8" fillId="7" borderId="10" xfId="4" applyFont="1" applyFill="1" applyBorder="1" applyAlignment="1">
      <alignment horizontal="right" wrapText="1"/>
    </xf>
    <xf numFmtId="0" fontId="11" fillId="7" borderId="10" xfId="1" applyFont="1" applyFill="1" applyBorder="1" applyAlignment="1">
      <alignment wrapText="1"/>
    </xf>
    <xf numFmtId="169" fontId="8" fillId="7" borderId="10" xfId="1" applyNumberFormat="1" applyFont="1" applyFill="1" applyBorder="1" applyAlignment="1">
      <alignment horizontal="right" wrapText="1"/>
    </xf>
    <xf numFmtId="0" fontId="0" fillId="0" borderId="0" xfId="0" applyBorder="1"/>
    <xf numFmtId="2" fontId="0" fillId="0" borderId="0" xfId="0" applyNumberFormat="1" applyBorder="1"/>
    <xf numFmtId="0" fontId="0" fillId="8" borderId="0" xfId="0" applyFill="1"/>
    <xf numFmtId="1" fontId="0" fillId="8" borderId="0" xfId="0" applyNumberFormat="1" applyFill="1"/>
    <xf numFmtId="2" fontId="0" fillId="8" borderId="0" xfId="0" applyNumberFormat="1" applyFill="1"/>
    <xf numFmtId="0" fontId="0" fillId="9" borderId="0" xfId="0" applyFill="1"/>
    <xf numFmtId="0" fontId="4" fillId="4" borderId="0" xfId="0" applyFont="1" applyFill="1" applyAlignment="1">
      <alignment horizontal="left"/>
    </xf>
    <xf numFmtId="0" fontId="3" fillId="4" borderId="0" xfId="0" applyFont="1" applyFill="1"/>
    <xf numFmtId="0" fontId="0" fillId="8" borderId="2" xfId="0" applyFill="1" applyBorder="1"/>
    <xf numFmtId="2" fontId="0" fillId="8" borderId="2" xfId="0" applyNumberFormat="1" applyFill="1" applyBorder="1"/>
    <xf numFmtId="0" fontId="0" fillId="8" borderId="4" xfId="0" applyFill="1" applyBorder="1"/>
    <xf numFmtId="0" fontId="0" fillId="10" borderId="3" xfId="0" applyFill="1" applyBorder="1"/>
    <xf numFmtId="0" fontId="4" fillId="10" borderId="4" xfId="0" applyFont="1" applyFill="1" applyBorder="1" applyAlignment="1">
      <alignment horizontal="left"/>
    </xf>
    <xf numFmtId="0" fontId="0" fillId="8" borderId="0" xfId="0" applyFill="1" applyBorder="1"/>
    <xf numFmtId="0" fontId="0" fillId="8" borderId="6" xfId="0" applyFill="1" applyBorder="1"/>
    <xf numFmtId="0" fontId="0" fillId="10" borderId="5" xfId="0" applyFill="1" applyBorder="1"/>
    <xf numFmtId="0" fontId="0" fillId="10" borderId="6" xfId="0" applyFill="1" applyBorder="1"/>
    <xf numFmtId="0" fontId="0" fillId="8" borderId="11" xfId="0" applyFill="1" applyBorder="1"/>
    <xf numFmtId="2" fontId="0" fillId="8" borderId="11" xfId="0" applyNumberFormat="1" applyFill="1" applyBorder="1"/>
    <xf numFmtId="0" fontId="0" fillId="8" borderId="8" xfId="0" applyFill="1" applyBorder="1"/>
    <xf numFmtId="0" fontId="0" fillId="10" borderId="7" xfId="0" applyFill="1" applyBorder="1"/>
    <xf numFmtId="0" fontId="4" fillId="10" borderId="8" xfId="0" applyFont="1" applyFill="1" applyBorder="1" applyAlignment="1">
      <alignment horizontal="left"/>
    </xf>
    <xf numFmtId="0" fontId="5" fillId="4" borderId="0" xfId="0" applyFont="1" applyFill="1" applyAlignment="1">
      <alignment horizontal="left"/>
    </xf>
    <xf numFmtId="166" fontId="5" fillId="8" borderId="3" xfId="0" applyNumberFormat="1" applyFont="1" applyFill="1" applyBorder="1"/>
    <xf numFmtId="0" fontId="5" fillId="7" borderId="4" xfId="0" applyFont="1" applyFill="1" applyBorder="1"/>
    <xf numFmtId="0" fontId="5" fillId="8" borderId="5" xfId="0" applyFont="1" applyFill="1" applyBorder="1"/>
    <xf numFmtId="0" fontId="5" fillId="7" borderId="6" xfId="0" applyFont="1" applyFill="1" applyBorder="1"/>
    <xf numFmtId="2" fontId="5" fillId="8" borderId="5" xfId="0" applyNumberFormat="1" applyFont="1" applyFill="1" applyBorder="1"/>
    <xf numFmtId="2" fontId="5" fillId="8" borderId="7" xfId="0" applyNumberFormat="1" applyFont="1" applyFill="1" applyBorder="1"/>
    <xf numFmtId="0" fontId="5" fillId="7" borderId="8" xfId="0" applyFont="1" applyFill="1" applyBorder="1"/>
    <xf numFmtId="165" fontId="2" fillId="8" borderId="9" xfId="2" applyNumberFormat="1" applyFill="1" applyBorder="1"/>
    <xf numFmtId="167" fontId="2" fillId="8" borderId="10" xfId="2" applyNumberFormat="1" applyFill="1" applyBorder="1"/>
    <xf numFmtId="0" fontId="4" fillId="8" borderId="10" xfId="0" applyFont="1" applyFill="1" applyBorder="1"/>
    <xf numFmtId="11" fontId="8" fillId="9" borderId="10" xfId="1" applyNumberFormat="1" applyFont="1" applyFill="1" applyBorder="1" applyAlignment="1">
      <alignment wrapText="1"/>
    </xf>
    <xf numFmtId="168" fontId="8" fillId="9" borderId="10" xfId="3" applyNumberFormat="1" applyFont="1" applyFill="1" applyBorder="1"/>
    <xf numFmtId="167" fontId="8" fillId="9" borderId="10" xfId="1" applyNumberFormat="1" applyFont="1" applyFill="1" applyBorder="1" applyAlignment="1">
      <alignment wrapText="1"/>
    </xf>
    <xf numFmtId="1" fontId="8" fillId="9" borderId="10" xfId="1" applyNumberFormat="1" applyFont="1" applyFill="1" applyBorder="1" applyAlignment="1">
      <alignment wrapText="1"/>
    </xf>
    <xf numFmtId="2" fontId="8" fillId="9" borderId="10" xfId="1" applyNumberFormat="1" applyFont="1" applyFill="1" applyBorder="1" applyAlignment="1">
      <alignment wrapText="1"/>
    </xf>
    <xf numFmtId="2" fontId="8" fillId="8" borderId="10" xfId="1" applyNumberFormat="1" applyFont="1" applyFill="1" applyBorder="1" applyAlignment="1">
      <alignment horizontal="right" wrapText="1"/>
    </xf>
    <xf numFmtId="0" fontId="8" fillId="8" borderId="10" xfId="1" applyFont="1" applyFill="1" applyBorder="1" applyAlignment="1">
      <alignment horizontal="right" wrapText="1"/>
    </xf>
    <xf numFmtId="169" fontId="8" fillId="8" borderId="10" xfId="1" applyNumberFormat="1" applyFont="1" applyFill="1" applyBorder="1" applyAlignment="1">
      <alignment horizontal="right"/>
    </xf>
    <xf numFmtId="2" fontId="8" fillId="7" borderId="10" xfId="1" applyNumberFormat="1" applyFont="1" applyFill="1" applyBorder="1" applyAlignment="1">
      <alignment horizontal="right" wrapText="1"/>
    </xf>
    <xf numFmtId="0" fontId="3" fillId="11" borderId="0" xfId="0" applyFont="1" applyFill="1"/>
    <xf numFmtId="0" fontId="0" fillId="11" borderId="0" xfId="0" applyFill="1"/>
    <xf numFmtId="0" fontId="3" fillId="0" borderId="0" xfId="0" applyFont="1" applyFill="1"/>
    <xf numFmtId="2" fontId="0" fillId="11" borderId="0" xfId="0" applyNumberFormat="1" applyFill="1"/>
    <xf numFmtId="0" fontId="21" fillId="0" borderId="0" xfId="0" applyFont="1"/>
    <xf numFmtId="0" fontId="22" fillId="0" borderId="0" xfId="0" applyFont="1"/>
    <xf numFmtId="0" fontId="21" fillId="0" borderId="0" xfId="0" applyFont="1" applyBorder="1"/>
    <xf numFmtId="0" fontId="22" fillId="0" borderId="11" xfId="0" applyFont="1" applyBorder="1"/>
    <xf numFmtId="0" fontId="23" fillId="0" borderId="0" xfId="0" applyFont="1" applyBorder="1"/>
    <xf numFmtId="0" fontId="24" fillId="0" borderId="2" xfId="0" applyFont="1" applyBorder="1"/>
    <xf numFmtId="0" fontId="25" fillId="0" borderId="2" xfId="0" applyFont="1" applyBorder="1"/>
    <xf numFmtId="0" fontId="21" fillId="7" borderId="0" xfId="0" applyFont="1" applyFill="1"/>
    <xf numFmtId="0" fontId="22" fillId="7" borderId="0" xfId="0" applyFont="1" applyFill="1"/>
    <xf numFmtId="0" fontId="21" fillId="0" borderId="0" xfId="0" applyFont="1" applyAlignment="1">
      <alignment horizontal="center"/>
    </xf>
    <xf numFmtId="2" fontId="21" fillId="0" borderId="0" xfId="0" applyNumberFormat="1" applyFont="1" applyAlignment="1">
      <alignment horizontal="center"/>
    </xf>
    <xf numFmtId="1" fontId="21" fillId="0" borderId="0" xfId="0" applyNumberFormat="1" applyFont="1" applyAlignment="1">
      <alignment horizontal="center"/>
    </xf>
    <xf numFmtId="2" fontId="21" fillId="7" borderId="0" xfId="0" applyNumberFormat="1" applyFont="1" applyFill="1" applyAlignment="1">
      <alignment horizontal="center"/>
    </xf>
    <xf numFmtId="1" fontId="21" fillId="7" borderId="0" xfId="0" applyNumberFormat="1" applyFont="1" applyFill="1" applyAlignment="1">
      <alignment horizontal="center"/>
    </xf>
    <xf numFmtId="1" fontId="22" fillId="7" borderId="0" xfId="0" applyNumberFormat="1" applyFont="1" applyFill="1" applyAlignment="1">
      <alignment horizontal="center"/>
    </xf>
    <xf numFmtId="2" fontId="21" fillId="0" borderId="2" xfId="0" applyNumberFormat="1" applyFont="1" applyBorder="1" applyAlignment="1">
      <alignment horizontal="center"/>
    </xf>
    <xf numFmtId="166" fontId="21" fillId="0" borderId="0" xfId="0" applyNumberFormat="1" applyFont="1" applyAlignment="1">
      <alignment horizontal="center"/>
    </xf>
    <xf numFmtId="166" fontId="21" fillId="7" borderId="0" xfId="0" applyNumberFormat="1" applyFont="1" applyFill="1" applyAlignment="1">
      <alignment horizontal="center"/>
    </xf>
    <xf numFmtId="0" fontId="21" fillId="0" borderId="0" xfId="0" applyFont="1" applyFill="1"/>
    <xf numFmtId="1" fontId="21" fillId="0" borderId="0" xfId="0" applyNumberFormat="1" applyFont="1" applyFill="1" applyAlignment="1">
      <alignment horizontal="center"/>
    </xf>
    <xf numFmtId="166" fontId="21" fillId="0" borderId="0" xfId="0" applyNumberFormat="1" applyFont="1" applyFill="1" applyAlignment="1">
      <alignment horizontal="center"/>
    </xf>
    <xf numFmtId="2" fontId="21" fillId="0" borderId="0" xfId="0" applyNumberFormat="1" applyFont="1" applyFill="1" applyAlignment="1">
      <alignment horizontal="center"/>
    </xf>
    <xf numFmtId="0" fontId="21" fillId="0" borderId="2" xfId="0" applyFont="1" applyFill="1" applyBorder="1"/>
    <xf numFmtId="1" fontId="21" fillId="0" borderId="2" xfId="0" applyNumberFormat="1" applyFont="1" applyFill="1" applyBorder="1" applyAlignment="1">
      <alignment horizontal="center"/>
    </xf>
    <xf numFmtId="2" fontId="21" fillId="0" borderId="2" xfId="0" applyNumberFormat="1" applyFont="1" applyFill="1" applyBorder="1" applyAlignment="1">
      <alignment horizontal="center"/>
    </xf>
    <xf numFmtId="0" fontId="22" fillId="0" borderId="11" xfId="0" applyFont="1" applyBorder="1" applyAlignment="1">
      <alignment horizontal="center"/>
    </xf>
    <xf numFmtId="1" fontId="22" fillId="0" borderId="11" xfId="0" applyNumberFormat="1" applyFont="1" applyBorder="1" applyAlignment="1">
      <alignment horizontal="center"/>
    </xf>
    <xf numFmtId="1" fontId="22" fillId="0" borderId="0" xfId="0" applyNumberFormat="1" applyFont="1" applyAlignment="1">
      <alignment horizontal="center"/>
    </xf>
    <xf numFmtId="2" fontId="24" fillId="0" borderId="2" xfId="0" applyNumberFormat="1" applyFont="1" applyBorder="1" applyAlignment="1">
      <alignment horizontal="center"/>
    </xf>
    <xf numFmtId="0" fontId="23" fillId="0" borderId="0" xfId="0" applyFont="1"/>
    <xf numFmtId="0" fontId="26" fillId="0" borderId="11" xfId="0" applyFont="1" applyBorder="1" applyAlignment="1">
      <alignment horizontal="center" wrapText="1"/>
    </xf>
    <xf numFmtId="0" fontId="26" fillId="0" borderId="11" xfId="0" applyFont="1" applyBorder="1" applyAlignment="1">
      <alignment wrapText="1"/>
    </xf>
    <xf numFmtId="0" fontId="21" fillId="0" borderId="0" xfId="0" applyFont="1" applyBorder="1" applyAlignment="1">
      <alignment horizontal="center"/>
    </xf>
    <xf numFmtId="2" fontId="21" fillId="0" borderId="0" xfId="0" applyNumberFormat="1" applyFont="1" applyBorder="1" applyAlignment="1">
      <alignment horizontal="center"/>
    </xf>
    <xf numFmtId="169" fontId="21" fillId="0" borderId="0" xfId="0" applyNumberFormat="1" applyFont="1" applyAlignment="1">
      <alignment horizontal="center"/>
    </xf>
    <xf numFmtId="169" fontId="21" fillId="7" borderId="0" xfId="0" applyNumberFormat="1" applyFont="1" applyFill="1" applyAlignment="1">
      <alignment horizontal="center"/>
    </xf>
    <xf numFmtId="169" fontId="22" fillId="7" borderId="0" xfId="0" applyNumberFormat="1" applyFont="1" applyFill="1" applyAlignment="1">
      <alignment horizontal="center"/>
    </xf>
    <xf numFmtId="167" fontId="22" fillId="7" borderId="0" xfId="0" applyNumberFormat="1" applyFont="1" applyFill="1" applyAlignment="1">
      <alignment horizontal="center"/>
    </xf>
    <xf numFmtId="167" fontId="21" fillId="0" borderId="0" xfId="0" applyNumberFormat="1" applyFont="1" applyAlignment="1">
      <alignment horizontal="center"/>
    </xf>
    <xf numFmtId="0" fontId="22" fillId="0" borderId="0" xfId="0" applyFont="1" applyBorder="1"/>
    <xf numFmtId="0" fontId="22" fillId="0" borderId="0" xfId="0" applyFont="1" applyBorder="1" applyAlignment="1">
      <alignment horizontal="center"/>
    </xf>
    <xf numFmtId="1" fontId="22" fillId="0" borderId="0" xfId="0" applyNumberFormat="1" applyFont="1" applyBorder="1" applyAlignment="1">
      <alignment horizontal="center"/>
    </xf>
    <xf numFmtId="0" fontId="29" fillId="0" borderId="0" xfId="0" applyFont="1"/>
    <xf numFmtId="0" fontId="0" fillId="0" borderId="0" xfId="0" applyFont="1"/>
    <xf numFmtId="0" fontId="0" fillId="12" borderId="0" xfId="0" applyFill="1" applyBorder="1"/>
    <xf numFmtId="165" fontId="6" fillId="12" borderId="0" xfId="3" applyNumberFormat="1" applyFont="1" applyFill="1" applyBorder="1"/>
    <xf numFmtId="164" fontId="0" fillId="12" borderId="0" xfId="0" applyNumberFormat="1" applyFill="1" applyBorder="1"/>
    <xf numFmtId="11" fontId="0" fillId="12" borderId="0" xfId="0" applyNumberFormat="1" applyFill="1" applyBorder="1"/>
    <xf numFmtId="0" fontId="0" fillId="12" borderId="0" xfId="0" applyFill="1" applyBorder="1" applyAlignment="1">
      <alignment horizontal="right"/>
    </xf>
    <xf numFmtId="165" fontId="0" fillId="12" borderId="0" xfId="0" applyNumberFormat="1" applyFill="1" applyBorder="1"/>
    <xf numFmtId="0" fontId="5" fillId="12" borderId="8" xfId="0" applyFont="1" applyFill="1" applyBorder="1" applyAlignment="1">
      <alignment wrapText="1"/>
    </xf>
    <xf numFmtId="0" fontId="5" fillId="12" borderId="11" xfId="0" applyFont="1" applyFill="1" applyBorder="1" applyAlignment="1">
      <alignment wrapText="1"/>
    </xf>
    <xf numFmtId="0" fontId="5" fillId="12" borderId="12" xfId="0" applyFont="1" applyFill="1" applyBorder="1" applyAlignment="1">
      <alignment wrapText="1"/>
    </xf>
    <xf numFmtId="0" fontId="5" fillId="12" borderId="7" xfId="0" applyFont="1" applyFill="1" applyBorder="1" applyAlignment="1">
      <alignment wrapText="1"/>
    </xf>
    <xf numFmtId="0" fontId="0" fillId="12" borderId="6" xfId="0" applyFill="1" applyBorder="1"/>
    <xf numFmtId="164" fontId="3" fillId="12" borderId="0" xfId="0" applyNumberFormat="1" applyFont="1" applyFill="1" applyBorder="1"/>
    <xf numFmtId="11" fontId="0" fillId="12" borderId="5" xfId="0" applyNumberFormat="1" applyFill="1" applyBorder="1"/>
    <xf numFmtId="0" fontId="0" fillId="12" borderId="5" xfId="0" applyFill="1" applyBorder="1"/>
    <xf numFmtId="0" fontId="0" fillId="12" borderId="4" xfId="0" applyFill="1" applyBorder="1"/>
    <xf numFmtId="0" fontId="0" fillId="12" borderId="2" xfId="0" applyFill="1" applyBorder="1"/>
    <xf numFmtId="165" fontId="0" fillId="12" borderId="2" xfId="0" applyNumberFormat="1" applyFill="1" applyBorder="1"/>
    <xf numFmtId="0" fontId="0" fillId="12" borderId="3" xfId="0" applyFill="1" applyBorder="1"/>
    <xf numFmtId="0" fontId="5" fillId="5" borderId="8" xfId="0" applyFont="1" applyFill="1" applyBorder="1" applyAlignment="1">
      <alignment wrapText="1"/>
    </xf>
    <xf numFmtId="0" fontId="5" fillId="5" borderId="11" xfId="0" applyFont="1" applyFill="1" applyBorder="1" applyAlignment="1">
      <alignment wrapText="1"/>
    </xf>
    <xf numFmtId="0" fontId="5" fillId="5" borderId="7" xfId="0" applyFont="1" applyFill="1" applyBorder="1" applyAlignment="1">
      <alignment wrapText="1"/>
    </xf>
    <xf numFmtId="0" fontId="0" fillId="5" borderId="6" xfId="0" applyFill="1" applyBorder="1"/>
    <xf numFmtId="0" fontId="30" fillId="5" borderId="0" xfId="0" applyFont="1" applyFill="1" applyBorder="1"/>
    <xf numFmtId="0" fontId="0" fillId="5" borderId="5" xfId="0" applyFill="1" applyBorder="1"/>
    <xf numFmtId="0" fontId="0" fillId="5" borderId="3" xfId="0" applyFill="1" applyBorder="1"/>
    <xf numFmtId="1" fontId="21" fillId="0" borderId="2" xfId="0" applyNumberFormat="1" applyFont="1" applyBorder="1" applyAlignment="1">
      <alignment horizontal="center"/>
    </xf>
    <xf numFmtId="166" fontId="22" fillId="0" borderId="11" xfId="0" applyNumberFormat="1" applyFont="1" applyBorder="1" applyAlignment="1">
      <alignment horizontal="center"/>
    </xf>
    <xf numFmtId="166" fontId="22" fillId="0" borderId="11" xfId="0" applyNumberFormat="1" applyFont="1" applyBorder="1"/>
    <xf numFmtId="0" fontId="32" fillId="0" borderId="11" xfId="0" applyFont="1" applyBorder="1" applyAlignment="1">
      <alignment horizontal="center" wrapText="1"/>
    </xf>
    <xf numFmtId="0" fontId="33" fillId="0" borderId="0" xfId="0" applyFont="1"/>
    <xf numFmtId="0" fontId="31" fillId="0" borderId="0" xfId="0" applyFont="1" applyBorder="1"/>
    <xf numFmtId="0" fontId="32" fillId="0" borderId="0" xfId="0" applyFont="1" applyBorder="1" applyAlignment="1">
      <alignment horizontal="center" wrapText="1"/>
    </xf>
    <xf numFmtId="0" fontId="32" fillId="0" borderId="0" xfId="0" applyFont="1" applyBorder="1" applyAlignment="1">
      <alignment wrapText="1"/>
    </xf>
    <xf numFmtId="0" fontId="33" fillId="0" borderId="13" xfId="0" applyFont="1" applyBorder="1" applyAlignment="1">
      <alignment horizontal="center" wrapText="1"/>
    </xf>
    <xf numFmtId="0" fontId="33" fillId="0" borderId="13" xfId="0" applyFont="1" applyBorder="1" applyAlignment="1">
      <alignment wrapText="1"/>
    </xf>
    <xf numFmtId="0" fontId="33" fillId="0" borderId="13" xfId="0" applyFont="1" applyBorder="1" applyAlignment="1">
      <alignment horizontal="left" wrapText="1"/>
    </xf>
    <xf numFmtId="0" fontId="33" fillId="0" borderId="0" xfId="0" applyFont="1" applyAlignment="1">
      <alignment horizontal="center"/>
    </xf>
    <xf numFmtId="167" fontId="0" fillId="8" borderId="0" xfId="0" applyNumberFormat="1" applyFill="1"/>
    <xf numFmtId="169" fontId="0" fillId="8" borderId="0" xfId="0" applyNumberFormat="1" applyFill="1"/>
    <xf numFmtId="169" fontId="0" fillId="12" borderId="0" xfId="0" applyNumberFormat="1" applyFill="1" applyBorder="1"/>
    <xf numFmtId="0" fontId="38" fillId="13" borderId="10" xfId="0" applyFont="1" applyFill="1" applyBorder="1" applyAlignment="1">
      <alignment wrapText="1"/>
    </xf>
    <xf numFmtId="0" fontId="2" fillId="3" borderId="0" xfId="2" applyBorder="1" applyAlignment="1">
      <alignment horizontal="center" wrapText="1"/>
    </xf>
    <xf numFmtId="165" fontId="2" fillId="3" borderId="0" xfId="2" applyNumberFormat="1" applyBorder="1"/>
    <xf numFmtId="1" fontId="22" fillId="0" borderId="11" xfId="0" applyNumberFormat="1" applyFont="1" applyBorder="1" applyAlignment="1">
      <alignment horizontal="center"/>
    </xf>
    <xf numFmtId="1" fontId="22" fillId="0" borderId="0" xfId="0" applyNumberFormat="1" applyFont="1" applyAlignment="1">
      <alignment horizontal="center"/>
    </xf>
    <xf numFmtId="166" fontId="22" fillId="0" borderId="11" xfId="0" applyNumberFormat="1" applyFont="1" applyBorder="1" applyAlignment="1">
      <alignment horizontal="center"/>
    </xf>
    <xf numFmtId="0" fontId="33" fillId="0" borderId="11" xfId="0" applyFont="1" applyBorder="1" applyAlignment="1">
      <alignment horizontal="center" wrapText="1"/>
    </xf>
    <xf numFmtId="0" fontId="26" fillId="0" borderId="12" xfId="0" applyFont="1" applyBorder="1" applyAlignment="1">
      <alignment horizontal="center" wrapText="1"/>
    </xf>
    <xf numFmtId="0" fontId="26" fillId="0" borderId="11" xfId="0" applyFont="1" applyBorder="1" applyAlignment="1">
      <alignment horizontal="center" wrapText="1"/>
    </xf>
    <xf numFmtId="0" fontId="31" fillId="0" borderId="13" xfId="0" applyFont="1" applyBorder="1" applyAlignment="1">
      <alignment horizontal="left" wrapText="1"/>
    </xf>
    <xf numFmtId="2" fontId="5" fillId="0" borderId="0" xfId="0" applyNumberFormat="1" applyFont="1" applyFill="1"/>
  </cellXfs>
  <cellStyles count="412">
    <cellStyle name="Calculation" xfId="2" builtinId="22"/>
    <cellStyle name="Comma 2" xfId="3"/>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Good" xfId="1" builtinId="26"/>
    <cellStyle name="Good 2" xfId="4"/>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Normal" xfId="0" builtinId="0"/>
    <cellStyle name="Normal 2"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lleludeman/Documents/MSc/Measurements%20of%20AV%20canal%20system-2011-09-1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eys/Downloads/Neopetrosia%20-%20Measurements%20of%20canal%20system-v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leys/Downloads/Haliclona%20-%20Measurements%20of%20canal%20system-v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leys/Downloads/Tethya-Measurements%20of%20canal%20system-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leys/Downloads/Callyspongia%20-%20Measurements%20of%20canal%20system-v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leys/Downloads/Cliona%20-%20Measurements%20of%20canal%20system-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 (2)"/>
      <sheetName val="Table 1."/>
      <sheetName val="Table 3. Predicted passive"/>
      <sheetName val="Sup. Table 2. Sponge sizes"/>
      <sheetName val="Active pumping"/>
      <sheetName val="Ostia"/>
      <sheetName val="Subdermal space"/>
      <sheetName val="incurrent canals"/>
      <sheetName val="prosopyle"/>
      <sheetName val="collars "/>
      <sheetName val="Flagellated chambers"/>
      <sheetName val="excurrent canals"/>
      <sheetName val="Table 1. for sigma plot"/>
      <sheetName val="Recalc of mesh DH"/>
      <sheetName val="Comparison table for paper"/>
    </sheetNames>
    <sheetDataSet>
      <sheetData sheetId="0"/>
      <sheetData sheetId="1"/>
      <sheetData sheetId="2"/>
      <sheetData sheetId="3"/>
      <sheetData sheetId="4">
        <row r="17">
          <cell r="E17">
            <v>4.4733679854839021</v>
          </cell>
          <cell r="F17">
            <v>0.30442857142857138</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opetrosia"/>
      <sheetName val="Ostia"/>
      <sheetName val="Subdermal space"/>
      <sheetName val="Incurrent Canals"/>
      <sheetName val="Prosopyles"/>
      <sheetName val="Collars"/>
      <sheetName val="Choanocyte Chambers"/>
      <sheetName val="Apopyle"/>
      <sheetName val="Excurrent Canals"/>
      <sheetName val="Osculum"/>
      <sheetName val="Sponge Volume"/>
      <sheetName val="Comparison table"/>
      <sheetName val="Graphs"/>
    </sheetNames>
    <sheetDataSet>
      <sheetData sheetId="0"/>
      <sheetData sheetId="1">
        <row r="23">
          <cell r="B23">
            <v>24.460004166666668</v>
          </cell>
          <cell r="J23">
            <v>0.16644318026435792</v>
          </cell>
        </row>
      </sheetData>
      <sheetData sheetId="2">
        <row r="7">
          <cell r="B7">
            <v>86.14815789473684</v>
          </cell>
          <cell r="C7">
            <v>242.38515789473686</v>
          </cell>
          <cell r="D7">
            <v>0.97358395335857462</v>
          </cell>
        </row>
      </sheetData>
      <sheetData sheetId="3">
        <row r="20">
          <cell r="Q20">
            <v>2944.154</v>
          </cell>
          <cell r="R20">
            <v>647.51357142857159</v>
          </cell>
          <cell r="S20">
            <v>249.50774999999999</v>
          </cell>
        </row>
        <row r="26">
          <cell r="C26">
            <v>383.33430000000004</v>
          </cell>
          <cell r="K26">
            <v>0.15930061140334367</v>
          </cell>
        </row>
        <row r="27">
          <cell r="C27">
            <v>155.81196666666668</v>
          </cell>
          <cell r="K27">
            <v>7.2081099403660032E-2</v>
          </cell>
        </row>
        <row r="28">
          <cell r="C28">
            <v>33.032133878467214</v>
          </cell>
          <cell r="K28">
            <v>5.7873356340634563E-2</v>
          </cell>
        </row>
      </sheetData>
      <sheetData sheetId="4">
        <row r="21">
          <cell r="B21">
            <v>3.852615873015873</v>
          </cell>
          <cell r="C21">
            <v>3.3418257936507936</v>
          </cell>
        </row>
        <row r="29">
          <cell r="E29">
            <v>4.9412146396773808</v>
          </cell>
        </row>
      </sheetData>
      <sheetData sheetId="5">
        <row r="12">
          <cell r="B12">
            <v>39.666666666666664</v>
          </cell>
          <cell r="C12">
            <v>0.11750000000000002</v>
          </cell>
          <cell r="D12">
            <v>9.463636363636363E-2</v>
          </cell>
          <cell r="F12">
            <v>7.3999999999999996E-2</v>
          </cell>
          <cell r="I12">
            <v>80</v>
          </cell>
          <cell r="K12">
            <v>9792.3168534402084</v>
          </cell>
          <cell r="M12">
            <v>3.755792883535177</v>
          </cell>
        </row>
        <row r="20">
          <cell r="B20">
            <v>1.2760526315789473</v>
          </cell>
          <cell r="C20">
            <v>2.550782608695652</v>
          </cell>
          <cell r="G20">
            <v>2.5498667124662227</v>
          </cell>
        </row>
        <row r="21">
          <cell r="B21">
            <v>2.550782608695652</v>
          </cell>
          <cell r="C21">
            <v>2.0640833333333335</v>
          </cell>
          <cell r="G21">
            <v>4.1245456912780689</v>
          </cell>
        </row>
      </sheetData>
      <sheetData sheetId="6">
        <row r="12">
          <cell r="D12">
            <v>23.319566583953684</v>
          </cell>
          <cell r="J12">
            <v>4.0769445401425921</v>
          </cell>
        </row>
      </sheetData>
      <sheetData sheetId="7">
        <row r="12">
          <cell r="D12">
            <v>16.045883333333332</v>
          </cell>
          <cell r="G12">
            <v>2.0794945546303398</v>
          </cell>
        </row>
      </sheetData>
      <sheetData sheetId="8">
        <row r="21">
          <cell r="S21">
            <v>173.22133333333332</v>
          </cell>
        </row>
        <row r="28">
          <cell r="C28">
            <v>282.42599999999999</v>
          </cell>
          <cell r="D28">
            <v>282.42599999999999</v>
          </cell>
          <cell r="K28">
            <v>1.2128013291497442E-2</v>
          </cell>
        </row>
        <row r="29">
          <cell r="C29">
            <v>127.61291666666666</v>
          </cell>
          <cell r="D29">
            <v>131.8451</v>
          </cell>
          <cell r="K29">
            <v>3.4716095186080112E-2</v>
          </cell>
        </row>
        <row r="30">
          <cell r="C30">
            <v>46.270696180555561</v>
          </cell>
          <cell r="D30">
            <v>44.094029694264073</v>
          </cell>
          <cell r="K30">
            <v>4.6612540519000656E-2</v>
          </cell>
        </row>
      </sheetData>
      <sheetData sheetId="9">
        <row r="16">
          <cell r="G16">
            <v>3464.3125</v>
          </cell>
          <cell r="M16">
            <v>1.3657279016666668E-2</v>
          </cell>
          <cell r="N16">
            <v>0.1492944283518047</v>
          </cell>
          <cell r="Q16">
            <v>1.3488298089147042</v>
          </cell>
        </row>
      </sheetData>
      <sheetData sheetId="10">
        <row r="21">
          <cell r="B21">
            <v>1.5228241793354846</v>
          </cell>
          <cell r="C21">
            <v>3.6628241793354848</v>
          </cell>
        </row>
      </sheetData>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liclona"/>
      <sheetName val="Ostia"/>
      <sheetName val="Subdermal space"/>
      <sheetName val="Incurrent Canals"/>
      <sheetName val="Prosopyles"/>
      <sheetName val="Collars"/>
      <sheetName val="Choanocyte Chambers"/>
      <sheetName val="Excurrent Canals"/>
      <sheetName val="Apopyle"/>
      <sheetName val="Osculum"/>
      <sheetName val="Sponge Volume"/>
      <sheetName val="Comparison table"/>
      <sheetName val="Haliclona - Measurements of can"/>
    </sheetNames>
    <sheetDataSet>
      <sheetData sheetId="0">
        <row r="43">
          <cell r="C43">
            <v>2.3180633333333303</v>
          </cell>
        </row>
      </sheetData>
      <sheetData sheetId="1">
        <row r="24">
          <cell r="B24">
            <v>14.283964285714285</v>
          </cell>
          <cell r="J24">
            <v>4.4375139943068874E-2</v>
          </cell>
        </row>
      </sheetData>
      <sheetData sheetId="2">
        <row r="7">
          <cell r="B7">
            <v>50.645272727272733</v>
          </cell>
          <cell r="C7">
            <v>94.965272727272747</v>
          </cell>
          <cell r="D7">
            <v>1.0960936952266178</v>
          </cell>
        </row>
      </sheetData>
      <sheetData sheetId="3">
        <row r="21">
          <cell r="Q21">
            <v>930.02700000000004</v>
          </cell>
          <cell r="R21">
            <v>833.95499999999993</v>
          </cell>
          <cell r="S21">
            <v>151.863</v>
          </cell>
        </row>
        <row r="26">
          <cell r="C26">
            <v>332.62233333333336</v>
          </cell>
          <cell r="K26">
            <v>0.1442814522431346</v>
          </cell>
        </row>
        <row r="27">
          <cell r="C27">
            <v>140.34078571428572</v>
          </cell>
          <cell r="K27">
            <v>3.2127633202596567E-2</v>
          </cell>
        </row>
        <row r="28">
          <cell r="C28">
            <v>51.276387668918915</v>
          </cell>
          <cell r="K28">
            <v>4.1574365485735044E-2</v>
          </cell>
          <cell r="M28">
            <v>4.1574365485735045</v>
          </cell>
        </row>
      </sheetData>
      <sheetData sheetId="4">
        <row r="16">
          <cell r="B16">
            <v>2.3719999999999999</v>
          </cell>
          <cell r="C16">
            <v>2.3719999999999999</v>
          </cell>
        </row>
        <row r="24">
          <cell r="E24">
            <v>3.4581399320581636</v>
          </cell>
        </row>
      </sheetData>
      <sheetData sheetId="5">
        <row r="17">
          <cell r="B17">
            <v>40.285714285714285</v>
          </cell>
          <cell r="C17">
            <v>0.1002</v>
          </cell>
          <cell r="D17">
            <v>0.1096</v>
          </cell>
          <cell r="F17">
            <v>0.16566666666666663</v>
          </cell>
          <cell r="I17">
            <v>139.33333333333334</v>
          </cell>
          <cell r="K17">
            <v>2684.4549619863928</v>
          </cell>
          <cell r="M17">
            <v>5.4551985641710203</v>
          </cell>
        </row>
        <row r="23">
          <cell r="B23">
            <v>5.7110000000000003</v>
          </cell>
          <cell r="C23">
            <v>3.63</v>
          </cell>
          <cell r="G23">
            <v>7.7540738747762328</v>
          </cell>
        </row>
        <row r="24">
          <cell r="B24">
            <v>3.2782142857142857</v>
          </cell>
          <cell r="C24">
            <v>3.3032222222222223</v>
          </cell>
          <cell r="G24">
            <v>4.050291487139388</v>
          </cell>
        </row>
      </sheetData>
      <sheetData sheetId="6">
        <row r="13">
          <cell r="D13">
            <v>28.518047169811318</v>
          </cell>
          <cell r="J13">
            <v>1.7148565296513061</v>
          </cell>
        </row>
      </sheetData>
      <sheetData sheetId="7">
        <row r="21">
          <cell r="Q21">
            <v>930.02700000000004</v>
          </cell>
          <cell r="R21">
            <v>546.32150000000001</v>
          </cell>
          <cell r="S21">
            <v>189.08420000000001</v>
          </cell>
        </row>
        <row r="28">
          <cell r="C28">
            <v>411.13499999999999</v>
          </cell>
          <cell r="D28">
            <v>411.13499999999999</v>
          </cell>
          <cell r="K28">
            <v>0.13107467641156248</v>
          </cell>
        </row>
        <row r="29">
          <cell r="C29">
            <v>154.54222222222225</v>
          </cell>
          <cell r="D29">
            <v>154.54222222222225</v>
          </cell>
          <cell r="K29">
            <v>6.3316560106691941E-2</v>
          </cell>
        </row>
        <row r="30">
          <cell r="C30">
            <v>51.887600659769078</v>
          </cell>
          <cell r="D30">
            <v>51.887600659769078</v>
          </cell>
          <cell r="K30">
            <v>6.7850297889605463E-2</v>
          </cell>
        </row>
      </sheetData>
      <sheetData sheetId="8">
        <row r="14">
          <cell r="C14">
            <v>14.094890873015876</v>
          </cell>
          <cell r="G14">
            <v>0.44571886137536126</v>
          </cell>
        </row>
      </sheetData>
      <sheetData sheetId="9">
        <row r="18">
          <cell r="G18">
            <v>5527.2805823964381</v>
          </cell>
          <cell r="M18">
            <v>3.0442925199999998E-2</v>
          </cell>
          <cell r="N18">
            <v>0.80979665090659481</v>
          </cell>
        </row>
        <row r="21">
          <cell r="B21">
            <v>7419.4999999999991</v>
          </cell>
        </row>
      </sheetData>
      <sheetData sheetId="10">
        <row r="24">
          <cell r="B24">
            <v>15.314227572253452</v>
          </cell>
          <cell r="C24">
            <v>20.845476226525268</v>
          </cell>
        </row>
      </sheetData>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thya"/>
      <sheetName val="Ostia"/>
      <sheetName val="Subdermal space"/>
      <sheetName val="Incurrent Canals"/>
      <sheetName val="Prosopyles"/>
      <sheetName val="Collars"/>
      <sheetName val="Choanocyte Chambers"/>
      <sheetName val="Excurrent Canals"/>
      <sheetName val="Apopyle"/>
      <sheetName val="Osculum"/>
      <sheetName val="Sponge Volume"/>
      <sheetName val="Comparison table"/>
      <sheetName val="Tethya-Measurements of canal sy"/>
    </sheetNames>
    <sheetDataSet>
      <sheetData sheetId="0">
        <row r="43">
          <cell r="C43">
            <v>2.4230583333333326</v>
          </cell>
        </row>
      </sheetData>
      <sheetData sheetId="1">
        <row r="26">
          <cell r="B26">
            <v>40.571164682539695</v>
          </cell>
          <cell r="J26">
            <v>6.792354154530332E-2</v>
          </cell>
        </row>
        <row r="80">
          <cell r="D80">
            <v>0.33339621530558644</v>
          </cell>
        </row>
      </sheetData>
      <sheetData sheetId="2">
        <row r="7">
          <cell r="B7">
            <v>105.227</v>
          </cell>
          <cell r="C7">
            <v>176.94774999999998</v>
          </cell>
          <cell r="D7">
            <v>0.82526931193471098</v>
          </cell>
        </row>
      </sheetData>
      <sheetData sheetId="3">
        <row r="24">
          <cell r="Q24">
            <v>1118.278</v>
          </cell>
          <cell r="R24">
            <v>1118.278</v>
          </cell>
          <cell r="S24">
            <v>68.858999999999995</v>
          </cell>
        </row>
        <row r="30">
          <cell r="C30">
            <v>678.32799999999997</v>
          </cell>
          <cell r="K30">
            <v>0.21702724917123395</v>
          </cell>
        </row>
        <row r="31">
          <cell r="C31">
            <v>169.580625</v>
          </cell>
          <cell r="K31">
            <v>0.24813581168118315</v>
          </cell>
        </row>
        <row r="32">
          <cell r="C32">
            <v>34.714500000000001</v>
          </cell>
          <cell r="K32">
            <v>3.6625672769438566E-2</v>
          </cell>
          <cell r="M32">
            <v>3.6625672769438564</v>
          </cell>
        </row>
      </sheetData>
      <sheetData sheetId="4">
        <row r="16">
          <cell r="B16">
            <v>4.5172142857142861</v>
          </cell>
          <cell r="C16">
            <v>4.5172142857142861</v>
          </cell>
        </row>
        <row r="24">
          <cell r="E24">
            <v>1.7169405653593237</v>
          </cell>
        </row>
      </sheetData>
      <sheetData sheetId="5">
        <row r="16">
          <cell r="B16">
            <v>38.666666666666664</v>
          </cell>
          <cell r="C16">
            <v>8.5761904761904775E-2</v>
          </cell>
          <cell r="D16">
            <v>6.621052631578947E-2</v>
          </cell>
          <cell r="F16">
            <v>5.8999999999999997E-2</v>
          </cell>
          <cell r="I16">
            <v>99</v>
          </cell>
          <cell r="K16">
            <v>14403.187311031927</v>
          </cell>
          <cell r="M16">
            <v>12.368042803010773</v>
          </cell>
        </row>
        <row r="22">
          <cell r="B22">
            <v>1.5851666666666666</v>
          </cell>
          <cell r="C22">
            <v>2.2294166666666668</v>
          </cell>
          <cell r="G22">
            <v>5.0391812342104823</v>
          </cell>
        </row>
        <row r="23">
          <cell r="B23">
            <v>2.2294166666666668</v>
          </cell>
          <cell r="C23">
            <v>3.3879999999999999</v>
          </cell>
          <cell r="G23">
            <v>10.77031606866057</v>
          </cell>
        </row>
      </sheetData>
      <sheetData sheetId="6">
        <row r="13">
          <cell r="D13">
            <v>21.108786556036556</v>
          </cell>
          <cell r="J13">
            <v>4.8796611168727608</v>
          </cell>
        </row>
      </sheetData>
      <sheetData sheetId="7">
        <row r="21">
          <cell r="R21">
            <v>994.45600000000002</v>
          </cell>
          <cell r="S21">
            <v>74.353999999999999</v>
          </cell>
        </row>
        <row r="28">
          <cell r="C28">
            <v>34.867312499999997</v>
          </cell>
          <cell r="D28">
            <v>34.867312499999997</v>
          </cell>
          <cell r="K28">
            <v>2.4702616351275838E-2</v>
          </cell>
        </row>
      </sheetData>
      <sheetData sheetId="8">
        <row r="14">
          <cell r="D14">
            <v>0.90052500000000002</v>
          </cell>
          <cell r="I14">
            <v>1.1031063815767019</v>
          </cell>
        </row>
      </sheetData>
      <sheetData sheetId="9">
        <row r="17">
          <cell r="G17">
            <v>8666.0337602158215</v>
          </cell>
          <cell r="M17">
            <v>2.1946702275E-2</v>
          </cell>
          <cell r="N17">
            <v>1.36887002028015</v>
          </cell>
        </row>
        <row r="19">
          <cell r="B19">
            <v>2184</v>
          </cell>
        </row>
      </sheetData>
      <sheetData sheetId="10">
        <row r="5">
          <cell r="H5">
            <v>37.056703919443358</v>
          </cell>
        </row>
        <row r="6">
          <cell r="H6">
            <v>53.482172789015443</v>
          </cell>
        </row>
      </sheetData>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lyspongia"/>
      <sheetName val="Ostia"/>
      <sheetName val="Subdermal space"/>
      <sheetName val="Incurrent Canals"/>
      <sheetName val="Prosopyles"/>
      <sheetName val="Collars"/>
      <sheetName val="Choanocyte Chambers"/>
      <sheetName val="Excurrent Canals"/>
      <sheetName val="Apopyle"/>
      <sheetName val="Osculum"/>
      <sheetName val="Sponge Volume"/>
      <sheetName val="Comparison table"/>
    </sheetNames>
    <sheetDataSet>
      <sheetData sheetId="0">
        <row r="43">
          <cell r="C43">
            <v>2.6761350868010902</v>
          </cell>
        </row>
      </sheetData>
      <sheetData sheetId="1">
        <row r="23">
          <cell r="B23">
            <v>31.19580952380953</v>
          </cell>
          <cell r="J23">
            <v>0.38471454201444044</v>
          </cell>
        </row>
      </sheetData>
      <sheetData sheetId="2">
        <row r="7">
          <cell r="B7">
            <v>130.89681250000001</v>
          </cell>
          <cell r="C7">
            <v>168.233125</v>
          </cell>
          <cell r="D7">
            <v>0.65513089040080996</v>
          </cell>
        </row>
      </sheetData>
      <sheetData sheetId="3">
        <row r="20">
          <cell r="Q20">
            <v>923.13199999999995</v>
          </cell>
          <cell r="R20">
            <v>725.45550000000003</v>
          </cell>
          <cell r="S20">
            <v>0.5</v>
          </cell>
        </row>
        <row r="26">
          <cell r="C26">
            <v>406.50412499999999</v>
          </cell>
          <cell r="K26">
            <v>0.1405165127072632</v>
          </cell>
        </row>
        <row r="27">
          <cell r="C27">
            <v>194.959</v>
          </cell>
          <cell r="K27">
            <v>2.698058389881177E-2</v>
          </cell>
        </row>
        <row r="28">
          <cell r="C28">
            <v>43.806322727272722</v>
          </cell>
          <cell r="K28">
            <v>3.6651154155832068E-2</v>
          </cell>
          <cell r="M28">
            <v>3.6651154155832066</v>
          </cell>
        </row>
      </sheetData>
      <sheetData sheetId="4">
        <row r="21">
          <cell r="B21">
            <v>0.53374999999999995</v>
          </cell>
          <cell r="C21">
            <v>2.6952499999999997</v>
          </cell>
        </row>
        <row r="29">
          <cell r="E29">
            <v>0.55157698793055054</v>
          </cell>
        </row>
      </sheetData>
      <sheetData sheetId="5">
        <row r="13">
          <cell r="B13">
            <v>32.666666666666664</v>
          </cell>
          <cell r="C13">
            <v>0.1086</v>
          </cell>
          <cell r="D13">
            <v>6.9399999999999989E-2</v>
          </cell>
          <cell r="F13">
            <v>5.1818181818181812E-2</v>
          </cell>
          <cell r="I13">
            <v>92.5</v>
          </cell>
          <cell r="K13">
            <v>14358.317270685819</v>
          </cell>
          <cell r="M13">
            <v>4.9157451781115586</v>
          </cell>
        </row>
        <row r="19">
          <cell r="B19">
            <v>0.49100000000000005</v>
          </cell>
          <cell r="C19">
            <v>2.6087499999999997</v>
          </cell>
          <cell r="G19">
            <v>1.7012151142206824</v>
          </cell>
        </row>
        <row r="20">
          <cell r="B20">
            <v>2.6087499999999997</v>
          </cell>
          <cell r="C20">
            <v>1.6326000000000001</v>
          </cell>
          <cell r="G20">
            <v>5.6566268746979338</v>
          </cell>
        </row>
      </sheetData>
      <sheetData sheetId="6">
        <row r="12">
          <cell r="D12">
            <v>19.748556565656564</v>
          </cell>
          <cell r="J12">
            <v>4.0598912443223591</v>
          </cell>
        </row>
      </sheetData>
      <sheetData sheetId="7">
        <row r="21">
          <cell r="Q21">
            <v>1342.145</v>
          </cell>
          <cell r="R21">
            <v>1096.0216666666665</v>
          </cell>
          <cell r="S21">
            <v>0.5</v>
          </cell>
        </row>
        <row r="28">
          <cell r="C28">
            <v>339.41449999999998</v>
          </cell>
          <cell r="D28">
            <v>339.41449999999998</v>
          </cell>
          <cell r="K28">
            <v>3.0390099043091943E-2</v>
          </cell>
        </row>
        <row r="29">
          <cell r="C29">
            <v>178.83952380952383</v>
          </cell>
          <cell r="D29">
            <v>178.83952380952383</v>
          </cell>
          <cell r="K29">
            <v>2.8734333938444625E-2</v>
          </cell>
        </row>
        <row r="30">
          <cell r="C30">
            <v>52.886501262626268</v>
          </cell>
          <cell r="D30">
            <v>52.886501262626268</v>
          </cell>
          <cell r="K30">
            <v>5.16807342470532E-3</v>
          </cell>
        </row>
      </sheetData>
      <sheetData sheetId="8">
        <row r="12">
          <cell r="D12">
            <v>5.9745000000000008</v>
          </cell>
          <cell r="G12">
            <v>0.40252842858589472</v>
          </cell>
        </row>
      </sheetData>
      <sheetData sheetId="9">
        <row r="18">
          <cell r="G18">
            <v>16209.05</v>
          </cell>
          <cell r="M18">
            <v>5.9332341400000002E-2</v>
          </cell>
          <cell r="N18">
            <v>12.35907750116362</v>
          </cell>
        </row>
      </sheetData>
      <sheetData sheetId="10">
        <row r="26">
          <cell r="F26">
            <v>198410</v>
          </cell>
          <cell r="M26">
            <v>41.930349057533782</v>
          </cell>
        </row>
      </sheetData>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stia"/>
      <sheetName val="Subdermal space"/>
      <sheetName val="Canals"/>
      <sheetName val="Prosopyles"/>
      <sheetName val="Collars"/>
      <sheetName val="Choanocyte Chambers"/>
      <sheetName val="Apopyle"/>
      <sheetName val="Osculum"/>
      <sheetName val="Sponge Volume"/>
      <sheetName val="Comparison table"/>
    </sheetNames>
    <sheetDataSet>
      <sheetData sheetId="0"/>
      <sheetData sheetId="1">
        <row r="24">
          <cell r="B24">
            <v>37.251791666666669</v>
          </cell>
          <cell r="J24">
            <v>0.13934571176914021</v>
          </cell>
        </row>
      </sheetData>
      <sheetData sheetId="2"/>
      <sheetData sheetId="3">
        <row r="23">
          <cell r="Q23">
            <v>1130.4580000000001</v>
          </cell>
          <cell r="R23">
            <v>969.00300000000004</v>
          </cell>
          <cell r="S23">
            <v>250.59699999999998</v>
          </cell>
        </row>
        <row r="29">
          <cell r="C29">
            <v>294.14950000000005</v>
          </cell>
          <cell r="K29">
            <v>3.3092437600061794E-2</v>
          </cell>
        </row>
        <row r="30">
          <cell r="C30">
            <v>144.33046153846155</v>
          </cell>
          <cell r="K30">
            <v>2.5676058220450593E-2</v>
          </cell>
        </row>
        <row r="31">
          <cell r="C31">
            <v>60.145624999999995</v>
          </cell>
          <cell r="K31">
            <v>1.709909383918649E-2</v>
          </cell>
          <cell r="M31">
            <v>1.709909383918649</v>
          </cell>
        </row>
      </sheetData>
      <sheetData sheetId="4">
        <row r="14">
          <cell r="B14">
            <v>2.5878333333333332</v>
          </cell>
          <cell r="C14">
            <v>2.5878333333333332</v>
          </cell>
        </row>
        <row r="22">
          <cell r="E22">
            <v>0.17730164349874769</v>
          </cell>
        </row>
      </sheetData>
      <sheetData sheetId="5">
        <row r="15">
          <cell r="B15">
            <v>33.4</v>
          </cell>
          <cell r="C15">
            <v>9.9142857142857158E-2</v>
          </cell>
          <cell r="D15">
            <v>7.0444444444444448E-2</v>
          </cell>
          <cell r="F15">
            <v>0.11799999999999999</v>
          </cell>
          <cell r="I15">
            <v>50</v>
          </cell>
          <cell r="K15">
            <v>35174.608656524295</v>
          </cell>
          <cell r="M15">
            <v>10.954715971923845</v>
          </cell>
        </row>
        <row r="21">
          <cell r="B21">
            <v>0.68558333333333332</v>
          </cell>
          <cell r="C21">
            <v>2.1879090909090908</v>
          </cell>
          <cell r="G21">
            <v>2.6380851101804397</v>
          </cell>
        </row>
        <row r="22">
          <cell r="B22">
            <v>2.1879090909090908</v>
          </cell>
          <cell r="C22">
            <v>2.6473333333333331</v>
          </cell>
          <cell r="G22">
            <v>10.186785921990062</v>
          </cell>
        </row>
      </sheetData>
      <sheetData sheetId="6">
        <row r="13">
          <cell r="D13">
            <v>15.969515625000001</v>
          </cell>
          <cell r="J13">
            <v>6.7382600367918002</v>
          </cell>
        </row>
      </sheetData>
      <sheetData sheetId="7">
        <row r="14">
          <cell r="D14">
            <v>4.2334999999999994</v>
          </cell>
          <cell r="G14">
            <v>0.52101576848277364</v>
          </cell>
        </row>
      </sheetData>
      <sheetData sheetId="8">
        <row r="16">
          <cell r="G16">
            <v>22666.25</v>
          </cell>
          <cell r="M16">
            <v>0.1104072765</v>
          </cell>
          <cell r="N16">
            <v>44.468848738657307</v>
          </cell>
          <cell r="R16">
            <v>2.2023233660538528</v>
          </cell>
        </row>
        <row r="18">
          <cell r="B18">
            <v>9983</v>
          </cell>
        </row>
      </sheetData>
      <sheetData sheetId="9">
        <row r="27">
          <cell r="B27">
            <v>3822.5053019317797</v>
          </cell>
        </row>
        <row r="32">
          <cell r="B32">
            <v>382.25053019317795</v>
          </cell>
          <cell r="C32">
            <v>240.4577861309092</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0"/>
  <sheetViews>
    <sheetView tabSelected="1" topLeftCell="A28" workbookViewId="0">
      <selection activeCell="A18" sqref="A18"/>
    </sheetView>
  </sheetViews>
  <sheetFormatPr defaultColWidth="11" defaultRowHeight="15.5" x14ac:dyDescent="0.35"/>
  <cols>
    <col min="1" max="1" width="27.83203125" customWidth="1"/>
    <col min="2" max="2" width="21.1640625" customWidth="1"/>
    <col min="3" max="3" width="12.1640625" bestFit="1" customWidth="1"/>
    <col min="10" max="10" width="18.83203125" customWidth="1"/>
    <col min="11" max="11" width="17.5" customWidth="1"/>
    <col min="12" max="12" width="12.1640625" bestFit="1" customWidth="1"/>
    <col min="13" max="14" width="11.5" customWidth="1"/>
    <col min="15" max="15" width="13" customWidth="1"/>
    <col min="17" max="17" width="11.5" bestFit="1" customWidth="1"/>
    <col min="19" max="19" width="12.1640625" bestFit="1" customWidth="1"/>
    <col min="20" max="20" width="15.6640625" customWidth="1"/>
    <col min="21" max="21" width="12.1640625" bestFit="1" customWidth="1"/>
    <col min="22" max="22" width="16.83203125" bestFit="1" customWidth="1"/>
    <col min="23" max="23" width="13.5" customWidth="1"/>
    <col min="25" max="25" width="12.1640625" bestFit="1" customWidth="1"/>
    <col min="29" max="29" width="11.1640625" bestFit="1" customWidth="1"/>
  </cols>
  <sheetData>
    <row r="1" spans="1:16" ht="21" x14ac:dyDescent="0.5">
      <c r="A1" s="136" t="s">
        <v>59</v>
      </c>
    </row>
    <row r="2" spans="1:16" x14ac:dyDescent="0.35">
      <c r="A2" s="6"/>
    </row>
    <row r="3" spans="1:16" x14ac:dyDescent="0.35">
      <c r="A3" s="6" t="s">
        <v>105</v>
      </c>
    </row>
    <row r="4" spans="1:16" x14ac:dyDescent="0.35">
      <c r="A4" s="137" t="s">
        <v>106</v>
      </c>
    </row>
    <row r="5" spans="1:16" x14ac:dyDescent="0.35">
      <c r="A5" s="137" t="s">
        <v>107</v>
      </c>
    </row>
    <row r="6" spans="1:16" x14ac:dyDescent="0.35">
      <c r="A6" s="137" t="s">
        <v>108</v>
      </c>
    </row>
    <row r="7" spans="1:16" x14ac:dyDescent="0.35">
      <c r="A7" s="137"/>
    </row>
    <row r="8" spans="1:16" x14ac:dyDescent="0.35">
      <c r="A8" s="137" t="s">
        <v>111</v>
      </c>
    </row>
    <row r="9" spans="1:16" x14ac:dyDescent="0.35">
      <c r="A9" s="6"/>
    </row>
    <row r="10" spans="1:16" x14ac:dyDescent="0.35">
      <c r="A10" s="137" t="s">
        <v>109</v>
      </c>
    </row>
    <row r="11" spans="1:16" x14ac:dyDescent="0.35">
      <c r="A11" s="6" t="s">
        <v>110</v>
      </c>
    </row>
    <row r="12" spans="1:16" x14ac:dyDescent="0.35">
      <c r="A12" s="6" t="s">
        <v>112</v>
      </c>
    </row>
    <row r="15" spans="1:16" ht="72.5" x14ac:dyDescent="0.35">
      <c r="A15" s="47" t="s">
        <v>58</v>
      </c>
      <c r="B15" s="37" t="s">
        <v>57</v>
      </c>
      <c r="C15" s="37" t="s">
        <v>56</v>
      </c>
      <c r="D15" s="44" t="s">
        <v>55</v>
      </c>
      <c r="E15" s="46" t="s">
        <v>54</v>
      </c>
      <c r="F15" s="46" t="s">
        <v>53</v>
      </c>
      <c r="G15" s="45" t="s">
        <v>52</v>
      </c>
      <c r="H15" s="44" t="s">
        <v>131</v>
      </c>
      <c r="I15" s="44" t="s">
        <v>51</v>
      </c>
      <c r="J15" s="43" t="s">
        <v>50</v>
      </c>
      <c r="K15" s="42" t="s">
        <v>49</v>
      </c>
      <c r="L15" s="41" t="s">
        <v>48</v>
      </c>
      <c r="M15" s="40" t="s">
        <v>47</v>
      </c>
      <c r="N15" s="179"/>
      <c r="O15" s="39"/>
      <c r="P15" s="3"/>
    </row>
    <row r="16" spans="1:16" x14ac:dyDescent="0.35">
      <c r="A16" s="38">
        <f>'[2]Sponge Volume'!C21</f>
        <v>3.6628241793354848</v>
      </c>
      <c r="B16" s="37">
        <f>[2]Osculum!M16</f>
        <v>1.3657279016666668E-2</v>
      </c>
      <c r="C16" s="36">
        <f>[2]Osculum!N16</f>
        <v>0.1492944283518047</v>
      </c>
      <c r="D16" s="35">
        <f>20.25</f>
        <v>20.25</v>
      </c>
      <c r="E16" s="34">
        <v>1024</v>
      </c>
      <c r="F16" s="33">
        <v>9806.65</v>
      </c>
      <c r="G16" s="32">
        <f>E16*9.81</f>
        <v>10045.44</v>
      </c>
      <c r="H16" s="31">
        <v>1.3504</v>
      </c>
      <c r="I16" s="31"/>
      <c r="J16" s="30">
        <f>'[2]Sponge Volume'!B21</f>
        <v>1.5228241793354846</v>
      </c>
      <c r="K16" s="29">
        <f>C16*60/J16</f>
        <v>5.8822717833500269</v>
      </c>
      <c r="L16" s="29">
        <f>K16/60</f>
        <v>9.8037863055833785E-2</v>
      </c>
      <c r="M16" s="28">
        <f>(C16*3600*1000000)/(L18*L19*L20)</f>
        <v>1.1357825337936474E-2</v>
      </c>
      <c r="N16" s="180"/>
      <c r="O16" s="27"/>
      <c r="P16" s="3"/>
    </row>
    <row r="17" spans="1:31" x14ac:dyDescent="0.35">
      <c r="A17" s="20"/>
      <c r="B17" s="20"/>
      <c r="C17" s="26">
        <f>C16*60</f>
        <v>8.957665701108283</v>
      </c>
      <c r="D17" s="20"/>
      <c r="E17" s="20"/>
      <c r="G17" s="21"/>
      <c r="H17" s="20"/>
      <c r="I17" s="20"/>
      <c r="J17" s="20"/>
      <c r="K17" s="25" t="s">
        <v>46</v>
      </c>
      <c r="L17" s="24">
        <f>[2]Collars!K12</f>
        <v>9792.3168534402084</v>
      </c>
      <c r="M17" s="20"/>
      <c r="N17" s="20"/>
    </row>
    <row r="18" spans="1:31" x14ac:dyDescent="0.35">
      <c r="A18" s="20"/>
      <c r="B18" s="20"/>
      <c r="C18" s="23"/>
      <c r="D18" s="21"/>
      <c r="E18" s="20"/>
      <c r="G18" s="21"/>
      <c r="H18" s="20"/>
      <c r="I18" s="20"/>
      <c r="J18" s="20"/>
      <c r="K18" s="19" t="s">
        <v>45</v>
      </c>
      <c r="L18" s="22">
        <f>L17*(J16*1000)</f>
        <v>14911976.87613312</v>
      </c>
      <c r="M18" s="20"/>
      <c r="N18" s="20"/>
      <c r="S18" s="3"/>
    </row>
    <row r="19" spans="1:31" x14ac:dyDescent="0.35">
      <c r="A19" s="20"/>
      <c r="B19" s="20"/>
      <c r="C19" s="20"/>
      <c r="D19" s="21"/>
      <c r="E19" s="20"/>
      <c r="G19" s="21"/>
      <c r="H19" s="20"/>
      <c r="I19" s="20"/>
      <c r="J19" s="20"/>
      <c r="K19" s="19" t="s">
        <v>44</v>
      </c>
      <c r="L19" s="18">
        <f>[2]Collars!I12</f>
        <v>80</v>
      </c>
      <c r="M19" s="17"/>
      <c r="N19" s="17"/>
      <c r="S19" s="3"/>
      <c r="T19" s="2"/>
      <c r="U19" s="2"/>
      <c r="V19" s="2"/>
      <c r="W19" s="2"/>
      <c r="X19" s="2"/>
      <c r="Y19" s="2"/>
      <c r="Z19" s="2"/>
      <c r="AA19" s="2"/>
      <c r="AB19" s="2"/>
      <c r="AC19" s="2"/>
      <c r="AD19" s="2"/>
      <c r="AE19" s="2"/>
    </row>
    <row r="20" spans="1:31" x14ac:dyDescent="0.35">
      <c r="K20" s="16" t="s">
        <v>43</v>
      </c>
      <c r="L20" s="15">
        <f>[2]Collars!B12</f>
        <v>39.666666666666664</v>
      </c>
      <c r="S20" s="3"/>
      <c r="T20" s="2"/>
      <c r="U20" s="2"/>
      <c r="V20" s="2"/>
      <c r="W20" s="2"/>
      <c r="X20" s="2"/>
      <c r="Y20" s="2"/>
      <c r="Z20" s="2"/>
      <c r="AA20" s="2"/>
      <c r="AB20" s="2"/>
      <c r="AC20" s="2"/>
      <c r="AD20" s="2"/>
      <c r="AE20" s="2"/>
    </row>
    <row r="21" spans="1:31" x14ac:dyDescent="0.35">
      <c r="S21" s="3"/>
      <c r="T21" s="2"/>
      <c r="U21" s="2"/>
      <c r="V21" s="2"/>
      <c r="W21" s="2"/>
      <c r="X21" s="2"/>
      <c r="Y21" s="2"/>
      <c r="Z21" s="2"/>
      <c r="AA21" s="2"/>
      <c r="AB21" s="2"/>
      <c r="AC21" s="2"/>
      <c r="AD21" s="2"/>
      <c r="AE21" s="2"/>
    </row>
    <row r="22" spans="1:31" s="12" customFormat="1" ht="63.5" x14ac:dyDescent="0.35">
      <c r="A22" s="14" t="s">
        <v>42</v>
      </c>
      <c r="B22" s="13" t="s">
        <v>41</v>
      </c>
      <c r="C22" s="13" t="s">
        <v>40</v>
      </c>
      <c r="D22" s="13" t="s">
        <v>39</v>
      </c>
      <c r="E22" s="13" t="s">
        <v>38</v>
      </c>
      <c r="F22" s="13" t="s">
        <v>37</v>
      </c>
      <c r="G22" s="13" t="s">
        <v>36</v>
      </c>
      <c r="H22" s="13" t="s">
        <v>35</v>
      </c>
      <c r="I22" s="13" t="s">
        <v>34</v>
      </c>
      <c r="J22" s="13" t="s">
        <v>33</v>
      </c>
      <c r="K22" s="13" t="s">
        <v>63</v>
      </c>
      <c r="L22" s="156" t="s">
        <v>65</v>
      </c>
      <c r="M22" s="157" t="s">
        <v>132</v>
      </c>
      <c r="N22" s="157" t="s">
        <v>133</v>
      </c>
      <c r="O22" s="158" t="s">
        <v>123</v>
      </c>
      <c r="P22" s="144" t="s">
        <v>71</v>
      </c>
      <c r="Q22" s="145" t="s">
        <v>72</v>
      </c>
      <c r="R22" s="145" t="s">
        <v>65</v>
      </c>
      <c r="S22" s="145" t="s">
        <v>73</v>
      </c>
      <c r="T22" s="145" t="s">
        <v>74</v>
      </c>
      <c r="U22" s="146" t="s">
        <v>32</v>
      </c>
      <c r="V22" s="145" t="s">
        <v>99</v>
      </c>
      <c r="W22" s="145" t="s">
        <v>99</v>
      </c>
      <c r="X22" s="145"/>
      <c r="Y22" s="147"/>
    </row>
    <row r="23" spans="1:31" x14ac:dyDescent="0.35">
      <c r="A23" s="5" t="s">
        <v>31</v>
      </c>
      <c r="B23" t="s">
        <v>30</v>
      </c>
      <c r="C23" s="4">
        <f>[2]Ostia!B23</f>
        <v>24.460004166666668</v>
      </c>
      <c r="D23" s="4">
        <v>0.5</v>
      </c>
      <c r="E23">
        <v>0</v>
      </c>
      <c r="F23">
        <f t="shared" ref="F23:F37" si="0">E23/$E$37</f>
        <v>0</v>
      </c>
      <c r="G23">
        <f t="shared" ref="G23:G37" si="1">F23*100</f>
        <v>0</v>
      </c>
      <c r="H23" s="4">
        <f>[2]Ostia!J23</f>
        <v>0.16644318026435792</v>
      </c>
      <c r="I23" s="4">
        <f>H23*$D$16</f>
        <v>3.3704744003532481</v>
      </c>
      <c r="J23" s="4">
        <f t="shared" ref="J23:J37" si="2">I23/$D$16*100</f>
        <v>16.644318026435791</v>
      </c>
      <c r="K23" s="4">
        <f>$K$37/(J23/$J$37)</f>
        <v>1.0427521160716957E-3</v>
      </c>
      <c r="L23" s="159">
        <f>K23*1000</f>
        <v>1.0427521160716957</v>
      </c>
      <c r="M23" s="160">
        <f>(8*Viscosity*L23*($D23/1000))/($F$16*(($C23/1000/2)^2))</f>
        <v>3.8399870772817218E-3</v>
      </c>
      <c r="N23" s="8">
        <f t="shared" ref="N23:N37" si="3">((32*Viscosity*(D23/1000))/($F$16*((C23/1000)^2)))*L23</f>
        <v>3.8399870772817218E-3</v>
      </c>
      <c r="O23" s="161">
        <f>M23*1000</f>
        <v>3.8399870772817217</v>
      </c>
      <c r="P23" s="148" t="s">
        <v>75</v>
      </c>
      <c r="Q23" s="138">
        <v>15</v>
      </c>
      <c r="R23" s="138">
        <f t="shared" ref="R23:R37" si="4">K23*1000</f>
        <v>1.0427521160716957</v>
      </c>
      <c r="S23" s="138">
        <f>(6*PI()*Viscosity*R23)/($F$16*(C23/1000))</f>
        <v>0.11065407954690171</v>
      </c>
      <c r="T23" s="139">
        <f>S23*1000</f>
        <v>110.65407954690171</v>
      </c>
      <c r="U23" s="149">
        <f t="shared" ref="U23:U37" si="5">T23/$T$38*100</f>
        <v>5.1751222662326946</v>
      </c>
      <c r="V23" s="140">
        <f>T38-T23</f>
        <v>2027.5384858522139</v>
      </c>
      <c r="W23" s="140">
        <f t="shared" ref="W23:W37" si="6">V23/$V$23</f>
        <v>1</v>
      </c>
      <c r="X23" s="138"/>
      <c r="Y23" s="150"/>
      <c r="Z23" s="2"/>
      <c r="AA23" s="2"/>
    </row>
    <row r="24" spans="1:31" x14ac:dyDescent="0.35">
      <c r="A24" s="5" t="s">
        <v>29</v>
      </c>
      <c r="B24" s="11" t="s">
        <v>29</v>
      </c>
      <c r="C24" s="4">
        <f>'[2]Subdermal space'!C7</f>
        <v>242.38515789473686</v>
      </c>
      <c r="D24" s="4">
        <f>'[2]Subdermal space'!B7</f>
        <v>86.14815789473684</v>
      </c>
      <c r="E24">
        <f>D23</f>
        <v>0.5</v>
      </c>
      <c r="F24">
        <f t="shared" si="0"/>
        <v>6.4752041049011445E-5</v>
      </c>
      <c r="G24">
        <f t="shared" si="1"/>
        <v>6.4752041049011442E-3</v>
      </c>
      <c r="H24" s="4">
        <f>'[2]Subdermal space'!D7</f>
        <v>0.97358395335857462</v>
      </c>
      <c r="I24" s="4">
        <f>H24*$D$16</f>
        <v>19.715075055511136</v>
      </c>
      <c r="J24" s="4">
        <f t="shared" si="2"/>
        <v>97.358395335857466</v>
      </c>
      <c r="K24" s="4">
        <f t="shared" ref="K24:K36" si="7">$K$37/(J24/$J$37)</f>
        <v>1.7826811732838768E-4</v>
      </c>
      <c r="L24" s="159">
        <f t="shared" ref="L24:L37" si="8">K24*1000</f>
        <v>0.17826811732838768</v>
      </c>
      <c r="M24" s="160">
        <f>(8*Viscosity*L24*($D24/1000))/($F$16*(($C24/1000/2)^2))</f>
        <v>1.151859104860375E-3</v>
      </c>
      <c r="N24" s="8">
        <f t="shared" si="3"/>
        <v>1.1518591048603748E-3</v>
      </c>
      <c r="O24" s="161">
        <f t="shared" ref="O24:O37" si="9">M24*1000</f>
        <v>1.151859104860375</v>
      </c>
      <c r="P24" s="148" t="s">
        <v>76</v>
      </c>
      <c r="Q24" s="138">
        <v>21</v>
      </c>
      <c r="R24" s="138">
        <f t="shared" si="4"/>
        <v>0.17826811732838768</v>
      </c>
      <c r="S24" s="138">
        <f>(12*Viscosity*R24*(C24/1000))/($F$16*(D24/1000)^2)</f>
        <v>9.6207894418982847E-3</v>
      </c>
      <c r="T24" s="139">
        <f t="shared" ref="T24:T37" si="10">S24*1000</f>
        <v>9.6207894418982853</v>
      </c>
      <c r="U24" s="149">
        <f t="shared" si="5"/>
        <v>0.4499496255662298</v>
      </c>
      <c r="V24" s="140">
        <f>V23-T24</f>
        <v>2017.9176964103156</v>
      </c>
      <c r="W24" s="140">
        <f t="shared" si="6"/>
        <v>0.99525494114709512</v>
      </c>
      <c r="X24" s="138"/>
      <c r="Y24" s="151"/>
      <c r="Z24" s="2"/>
      <c r="AA24" s="2"/>
    </row>
    <row r="25" spans="1:31" x14ac:dyDescent="0.35">
      <c r="A25" s="5" t="s">
        <v>28</v>
      </c>
      <c r="B25" t="s">
        <v>27</v>
      </c>
      <c r="C25" s="4">
        <f>'[2]Incurrent Canals'!C26</f>
        <v>383.33430000000004</v>
      </c>
      <c r="D25" s="4">
        <f>'[2]Incurrent Canals'!Q20</f>
        <v>2944.154</v>
      </c>
      <c r="E25">
        <f t="shared" ref="E25:E37" si="11">E24+D24</f>
        <v>86.64815789473684</v>
      </c>
      <c r="F25">
        <f t="shared" si="0"/>
        <v>1.1221290153642451E-2</v>
      </c>
      <c r="G25">
        <f t="shared" si="1"/>
        <v>1.1221290153642451</v>
      </c>
      <c r="H25" s="4">
        <f>'[2]Incurrent Canals'!K26</f>
        <v>0.15930061140334367</v>
      </c>
      <c r="I25" s="4">
        <f t="shared" ref="I25:I37" si="12">H25*100</f>
        <v>15.930061140334367</v>
      </c>
      <c r="J25" s="4">
        <f t="shared" si="2"/>
        <v>78.666968594243784</v>
      </c>
      <c r="K25" s="4">
        <f t="shared" si="7"/>
        <v>2.2062497326109188E-4</v>
      </c>
      <c r="L25" s="159">
        <f t="shared" si="8"/>
        <v>0.22062497326109187</v>
      </c>
      <c r="M25" s="160">
        <f>(8*Viscosity*L25*($D25/1000))/($F$16*(($C25/1000/2)^2))</f>
        <v>1.9478323007229362E-2</v>
      </c>
      <c r="N25" s="8">
        <f t="shared" si="3"/>
        <v>1.9478323007229362E-2</v>
      </c>
      <c r="O25" s="161">
        <f t="shared" si="9"/>
        <v>19.478323007229363</v>
      </c>
      <c r="P25" s="148" t="s">
        <v>76</v>
      </c>
      <c r="Q25" s="138">
        <v>19</v>
      </c>
      <c r="R25" s="138">
        <f t="shared" si="4"/>
        <v>0.22062497326109187</v>
      </c>
      <c r="S25" s="138">
        <f>(8*Viscosity*R25*(D25/1000))/($F$16*((C25/1000/2)^2))</f>
        <v>1.9478323007229362E-2</v>
      </c>
      <c r="T25" s="139">
        <f t="shared" si="10"/>
        <v>19.478323007229363</v>
      </c>
      <c r="U25" s="149">
        <f t="shared" si="5"/>
        <v>0.91097141213721944</v>
      </c>
      <c r="V25" s="140">
        <f t="shared" ref="V25:V37" si="13">V24-T25</f>
        <v>1998.4393734030862</v>
      </c>
      <c r="W25" s="140">
        <f t="shared" si="6"/>
        <v>0.98564805913565845</v>
      </c>
      <c r="X25" s="138"/>
      <c r="Y25" s="151"/>
      <c r="Z25" s="2"/>
      <c r="AA25" s="2"/>
    </row>
    <row r="26" spans="1:31" x14ac:dyDescent="0.35">
      <c r="A26" s="5"/>
      <c r="B26" t="s">
        <v>26</v>
      </c>
      <c r="C26" s="4">
        <f>'[2]Incurrent Canals'!C27</f>
        <v>155.81196666666668</v>
      </c>
      <c r="D26" s="4">
        <f>'[2]Incurrent Canals'!R20</f>
        <v>647.51357142857159</v>
      </c>
      <c r="E26">
        <f t="shared" si="11"/>
        <v>3030.8021578947369</v>
      </c>
      <c r="F26">
        <f t="shared" si="0"/>
        <v>0.392501251478865</v>
      </c>
      <c r="G26">
        <f t="shared" si="1"/>
        <v>39.2501251478865</v>
      </c>
      <c r="H26" s="4">
        <f>'[2]Incurrent Canals'!K27</f>
        <v>7.2081099403660032E-2</v>
      </c>
      <c r="I26" s="4">
        <f t="shared" si="12"/>
        <v>7.2081099403660032</v>
      </c>
      <c r="J26" s="4">
        <f t="shared" si="2"/>
        <v>35.595604643782728</v>
      </c>
      <c r="K26" s="4">
        <f t="shared" si="7"/>
        <v>4.8758542006302572E-4</v>
      </c>
      <c r="L26" s="159">
        <f t="shared" si="8"/>
        <v>0.48758542006302574</v>
      </c>
      <c r="M26" s="160">
        <f t="shared" ref="M26:M37" si="14">(8*Viscosity*L26*($D26/1000))/($F$16*(($C26/1000/2)^2))</f>
        <v>5.7304628253936479E-2</v>
      </c>
      <c r="N26" s="8">
        <f t="shared" si="3"/>
        <v>5.7304628253936479E-2</v>
      </c>
      <c r="O26" s="161">
        <f t="shared" si="9"/>
        <v>57.304628253936478</v>
      </c>
      <c r="P26" s="148" t="s">
        <v>76</v>
      </c>
      <c r="Q26" s="138">
        <v>19</v>
      </c>
      <c r="R26" s="138">
        <f t="shared" si="4"/>
        <v>0.48758542006302574</v>
      </c>
      <c r="S26" s="138">
        <f>(8*Viscosity*R26*(D26/1000))/($F$16*((C26/1000/2)^2))</f>
        <v>5.7304628253936479E-2</v>
      </c>
      <c r="T26" s="139">
        <f t="shared" si="10"/>
        <v>57.304628253936478</v>
      </c>
      <c r="U26" s="149">
        <f t="shared" si="5"/>
        <v>2.6800499254022978</v>
      </c>
      <c r="V26" s="140">
        <f t="shared" si="13"/>
        <v>1941.1347451491497</v>
      </c>
      <c r="W26" s="140">
        <f t="shared" si="6"/>
        <v>0.95738490721336567</v>
      </c>
      <c r="X26" s="138" t="s">
        <v>77</v>
      </c>
      <c r="Y26" s="151"/>
      <c r="Z26" s="2"/>
      <c r="AA26" s="2"/>
    </row>
    <row r="27" spans="1:31" x14ac:dyDescent="0.35">
      <c r="A27" s="10"/>
      <c r="B27" t="s">
        <v>25</v>
      </c>
      <c r="C27" s="4">
        <f>'[2]Incurrent Canals'!C28</f>
        <v>33.032133878467214</v>
      </c>
      <c r="D27" s="4">
        <f>'[2]Incurrent Canals'!S20</f>
        <v>249.50774999999999</v>
      </c>
      <c r="E27">
        <f t="shared" si="11"/>
        <v>3678.3157293233085</v>
      </c>
      <c r="F27">
        <f t="shared" si="0"/>
        <v>0.47635690219273474</v>
      </c>
      <c r="G27">
        <f t="shared" si="1"/>
        <v>47.635690219273471</v>
      </c>
      <c r="H27" s="4">
        <f>'[2]Incurrent Canals'!K28</f>
        <v>5.7873356340634563E-2</v>
      </c>
      <c r="I27" s="4">
        <f t="shared" si="12"/>
        <v>5.7873356340634565</v>
      </c>
      <c r="J27" s="4">
        <f t="shared" si="2"/>
        <v>28.579435229942995</v>
      </c>
      <c r="K27" s="4">
        <f t="shared" si="7"/>
        <v>6.0728624281743051E-4</v>
      </c>
      <c r="L27" s="159">
        <f t="shared" si="8"/>
        <v>0.60728624281743049</v>
      </c>
      <c r="M27" s="160">
        <f t="shared" si="14"/>
        <v>0.61192184125984117</v>
      </c>
      <c r="N27" s="8">
        <f t="shared" si="3"/>
        <v>0.61192184125984106</v>
      </c>
      <c r="O27" s="161">
        <f t="shared" si="9"/>
        <v>611.92184125984113</v>
      </c>
      <c r="P27" s="148" t="s">
        <v>76</v>
      </c>
      <c r="Q27" s="138">
        <v>19</v>
      </c>
      <c r="R27" s="138">
        <f t="shared" si="4"/>
        <v>0.60728624281743049</v>
      </c>
      <c r="S27" s="138">
        <f>(8*Viscosity*R27*(D27/1000))/($F$16*((C27/1000/2)^2))</f>
        <v>0.61192184125984117</v>
      </c>
      <c r="T27" s="139">
        <f t="shared" si="10"/>
        <v>611.92184125984113</v>
      </c>
      <c r="U27" s="149">
        <f t="shared" si="5"/>
        <v>28.618649749426083</v>
      </c>
      <c r="V27" s="140">
        <f t="shared" si="13"/>
        <v>1329.2129038893086</v>
      </c>
      <c r="W27" s="140">
        <f t="shared" si="6"/>
        <v>0.65557961694158151</v>
      </c>
      <c r="X27" s="142" t="s">
        <v>78</v>
      </c>
      <c r="Y27" s="151">
        <f>[2]Collars!C12/1000</f>
        <v>1.1750000000000002E-4</v>
      </c>
      <c r="Z27" s="2" t="s">
        <v>113</v>
      </c>
      <c r="AA27" s="2"/>
    </row>
    <row r="28" spans="1:31" x14ac:dyDescent="0.35">
      <c r="A28" s="5" t="s">
        <v>24</v>
      </c>
      <c r="B28" t="s">
        <v>23</v>
      </c>
      <c r="C28" s="4">
        <f>([2]Prosopyles!B21+[2]Prosopyles!C21)/2</f>
        <v>3.5972208333333331</v>
      </c>
      <c r="D28" s="4">
        <f>0.5</f>
        <v>0.5</v>
      </c>
      <c r="E28">
        <f t="shared" si="11"/>
        <v>3927.8234793233087</v>
      </c>
      <c r="F28">
        <f t="shared" si="0"/>
        <v>0.50866917433282777</v>
      </c>
      <c r="G28">
        <f t="shared" si="1"/>
        <v>50.866917433282779</v>
      </c>
      <c r="H28" s="7">
        <f>[2]Prosopyles!E29</f>
        <v>4.9412146396773808</v>
      </c>
      <c r="I28" s="4">
        <f t="shared" si="12"/>
        <v>494.12146396773807</v>
      </c>
      <c r="J28" s="4">
        <f t="shared" si="2"/>
        <v>2440.1059949024102</v>
      </c>
      <c r="K28" s="4">
        <f t="shared" si="7"/>
        <v>7.1127639040657012E-6</v>
      </c>
      <c r="L28" s="159">
        <f>K28*1000</f>
        <v>7.112763904065701E-3</v>
      </c>
      <c r="M28" s="160">
        <f t="shared" si="14"/>
        <v>1.2110607518342883E-3</v>
      </c>
      <c r="N28" s="8">
        <f t="shared" si="3"/>
        <v>1.2110607518342881E-3</v>
      </c>
      <c r="O28" s="161">
        <f t="shared" si="9"/>
        <v>1.2110607518342884</v>
      </c>
      <c r="P28" s="148" t="s">
        <v>75</v>
      </c>
      <c r="Q28" s="138">
        <v>15</v>
      </c>
      <c r="R28" s="138">
        <f t="shared" si="4"/>
        <v>7.112763904065701E-3</v>
      </c>
      <c r="S28" s="138">
        <f>(6*PI()*Viscosity*R28)/($F$16*(C28/1000))</f>
        <v>5.1323252387320238E-3</v>
      </c>
      <c r="T28" s="139">
        <f t="shared" si="10"/>
        <v>5.1323252387320242</v>
      </c>
      <c r="U28" s="149">
        <f t="shared" si="5"/>
        <v>0.24003101132165908</v>
      </c>
      <c r="V28" s="140">
        <f t="shared" si="13"/>
        <v>1324.0805786505766</v>
      </c>
      <c r="W28" s="140">
        <f t="shared" si="6"/>
        <v>0.65304830852275531</v>
      </c>
      <c r="X28" s="142" t="s">
        <v>79</v>
      </c>
      <c r="Y28" s="151">
        <f>[2]Collars!D12/1000</f>
        <v>9.4636363636363635E-5</v>
      </c>
      <c r="Z28" s="2" t="s">
        <v>114</v>
      </c>
      <c r="AA28" s="2"/>
    </row>
    <row r="29" spans="1:31" x14ac:dyDescent="0.35">
      <c r="A29" s="5" t="s">
        <v>22</v>
      </c>
      <c r="B29" t="s">
        <v>21</v>
      </c>
      <c r="C29" s="8">
        <f>[2]Collars!B20</f>
        <v>1.2760526315789473</v>
      </c>
      <c r="D29" s="8">
        <f>[2]Collars!C20</f>
        <v>2.550782608695652</v>
      </c>
      <c r="E29">
        <f t="shared" si="11"/>
        <v>3928.3234793233087</v>
      </c>
      <c r="F29">
        <f t="shared" si="0"/>
        <v>0.50873392637387671</v>
      </c>
      <c r="G29">
        <f t="shared" si="1"/>
        <v>50.873392637387674</v>
      </c>
      <c r="H29" s="9">
        <f>[2]Collars!G20</f>
        <v>2.5498667124662227</v>
      </c>
      <c r="I29" s="8">
        <f t="shared" si="12"/>
        <v>254.98667124662228</v>
      </c>
      <c r="J29" s="8">
        <f t="shared" si="2"/>
        <v>1259.1934382549248</v>
      </c>
      <c r="K29" s="4">
        <f t="shared" si="7"/>
        <v>1.3783345207618904E-5</v>
      </c>
      <c r="L29" s="159">
        <f t="shared" si="8"/>
        <v>1.3783345207618904E-2</v>
      </c>
      <c r="M29" s="160">
        <f t="shared" si="14"/>
        <v>9.5144269850220911E-2</v>
      </c>
      <c r="N29" s="8">
        <f t="shared" si="3"/>
        <v>9.5144269850220925E-2</v>
      </c>
      <c r="O29" s="161">
        <f t="shared" si="9"/>
        <v>95.144269850220908</v>
      </c>
      <c r="P29" s="148" t="s">
        <v>76</v>
      </c>
      <c r="Q29" s="138">
        <v>19</v>
      </c>
      <c r="R29" s="138">
        <f t="shared" si="4"/>
        <v>1.3783345207618904E-2</v>
      </c>
      <c r="S29" s="138">
        <f>(8*Viscosity*R29*(D29/1000))/($F$16*((C29/1000/2)^2))</f>
        <v>9.5144269850220911E-2</v>
      </c>
      <c r="T29" s="139">
        <f t="shared" si="10"/>
        <v>95.144269850220908</v>
      </c>
      <c r="U29" s="149">
        <f t="shared" si="5"/>
        <v>4.4497521593646203</v>
      </c>
      <c r="V29" s="140">
        <f t="shared" si="13"/>
        <v>1228.9363088003556</v>
      </c>
      <c r="W29" s="140">
        <f t="shared" si="6"/>
        <v>0.60612230908347453</v>
      </c>
      <c r="X29" s="142" t="s">
        <v>80</v>
      </c>
      <c r="Y29" s="151">
        <f>[2]Collars!F12/1000</f>
        <v>7.3999999999999996E-5</v>
      </c>
      <c r="Z29" s="2" t="s">
        <v>115</v>
      </c>
      <c r="AA29" s="2"/>
    </row>
    <row r="30" spans="1:31" x14ac:dyDescent="0.35">
      <c r="B30" t="s">
        <v>20</v>
      </c>
      <c r="C30" s="8">
        <f>[2]Collars!D12</f>
        <v>9.463636363636363E-2</v>
      </c>
      <c r="D30" s="8">
        <f>[2]Collars!C12</f>
        <v>0.11750000000000002</v>
      </c>
      <c r="E30">
        <f t="shared" si="11"/>
        <v>3930.8742619320042</v>
      </c>
      <c r="F30">
        <f t="shared" si="0"/>
        <v>0.50906426313424746</v>
      </c>
      <c r="G30">
        <f t="shared" si="1"/>
        <v>50.906426313424745</v>
      </c>
      <c r="H30" s="8">
        <f>[2]Collars!M12</f>
        <v>3.755792883535177</v>
      </c>
      <c r="I30" s="8">
        <f t="shared" si="12"/>
        <v>375.57928835351771</v>
      </c>
      <c r="J30" s="8">
        <f t="shared" si="2"/>
        <v>1854.7125350791</v>
      </c>
      <c r="K30" s="4">
        <f t="shared" si="7"/>
        <v>9.3577293054182065E-6</v>
      </c>
      <c r="L30" s="159">
        <f t="shared" si="8"/>
        <v>9.3577293054182067E-3</v>
      </c>
      <c r="M30" s="160">
        <f t="shared" si="14"/>
        <v>0.54098346093596084</v>
      </c>
      <c r="N30" s="8">
        <f t="shared" si="3"/>
        <v>0.54098346093596084</v>
      </c>
      <c r="O30" s="161">
        <f t="shared" si="9"/>
        <v>540.98346093596081</v>
      </c>
      <c r="P30" s="148" t="s">
        <v>81</v>
      </c>
      <c r="Q30" s="138">
        <v>17</v>
      </c>
      <c r="R30" s="138">
        <f t="shared" si="4"/>
        <v>9.3577293054182067E-3</v>
      </c>
      <c r="S30" s="138">
        <f>(Y30*Viscosity*R29)/(F16*Y33)</f>
        <v>0.28776718505858984</v>
      </c>
      <c r="T30" s="139">
        <f t="shared" si="10"/>
        <v>287.76718505858986</v>
      </c>
      <c r="U30" s="149">
        <f t="shared" si="5"/>
        <v>13.458431654628598</v>
      </c>
      <c r="V30" s="140">
        <f t="shared" si="13"/>
        <v>941.16912374176582</v>
      </c>
      <c r="W30" s="140">
        <f t="shared" si="6"/>
        <v>0.46419297601947818</v>
      </c>
      <c r="X30" s="142" t="s">
        <v>82</v>
      </c>
      <c r="Y30" s="151">
        <f>(8*PI())/(1-2*LN(Y31)+((Y31^2)/6))</f>
        <v>6.296271064415607</v>
      </c>
      <c r="Z30" s="2"/>
      <c r="AA30" s="2"/>
    </row>
    <row r="31" spans="1:31" x14ac:dyDescent="0.35">
      <c r="A31" s="5"/>
      <c r="B31" t="s">
        <v>19</v>
      </c>
      <c r="C31" s="8">
        <f>[2]Collars!B21</f>
        <v>2.550782608695652</v>
      </c>
      <c r="D31" s="8">
        <f>[2]Collars!C21</f>
        <v>2.0640833333333335</v>
      </c>
      <c r="E31">
        <f t="shared" si="11"/>
        <v>3930.991761932004</v>
      </c>
      <c r="F31">
        <f t="shared" si="0"/>
        <v>0.5090794798638939</v>
      </c>
      <c r="G31">
        <f t="shared" si="1"/>
        <v>50.907947986389388</v>
      </c>
      <c r="H31" s="9">
        <f>[2]Collars!G21</f>
        <v>4.1245456912780689</v>
      </c>
      <c r="I31" s="8">
        <f t="shared" si="12"/>
        <v>412.45456912780691</v>
      </c>
      <c r="J31" s="8">
        <f t="shared" si="2"/>
        <v>2036.8126870508984</v>
      </c>
      <c r="K31" s="4">
        <f t="shared" si="7"/>
        <v>8.5211065077200598E-6</v>
      </c>
      <c r="L31" s="159">
        <f t="shared" si="8"/>
        <v>8.5211065077200592E-3</v>
      </c>
      <c r="M31" s="160">
        <f t="shared" si="14"/>
        <v>1.1911543970618051E-2</v>
      </c>
      <c r="N31" s="8">
        <f t="shared" si="3"/>
        <v>1.1911543970618051E-2</v>
      </c>
      <c r="O31" s="161">
        <f t="shared" si="9"/>
        <v>11.911543970618052</v>
      </c>
      <c r="P31" s="148" t="s">
        <v>76</v>
      </c>
      <c r="Q31" s="138">
        <v>19</v>
      </c>
      <c r="R31" s="138">
        <f t="shared" si="4"/>
        <v>8.5211065077200592E-3</v>
      </c>
      <c r="S31" s="138">
        <f>(8*Viscosity*R31*(D31/1000))/($F$16*((C31/1000/2)^2))</f>
        <v>1.1911543970618051E-2</v>
      </c>
      <c r="T31" s="139">
        <f t="shared" si="10"/>
        <v>11.911543970618052</v>
      </c>
      <c r="U31" s="149">
        <f t="shared" si="5"/>
        <v>0.55708471553845473</v>
      </c>
      <c r="V31" s="140">
        <f t="shared" si="13"/>
        <v>929.25757977114779</v>
      </c>
      <c r="W31" s="140">
        <f t="shared" si="6"/>
        <v>0.45831809667502454</v>
      </c>
      <c r="X31" s="142" t="s">
        <v>83</v>
      </c>
      <c r="Y31" s="151">
        <f>(PI()*Y27)/Y32</f>
        <v>6.3323054704211978</v>
      </c>
      <c r="Z31" s="2"/>
      <c r="AA31" s="2"/>
    </row>
    <row r="32" spans="1:31" x14ac:dyDescent="0.35">
      <c r="A32" s="5" t="s">
        <v>18</v>
      </c>
      <c r="B32" t="s">
        <v>17</v>
      </c>
      <c r="C32" s="4">
        <f>'[2]Choanocyte Chambers'!D12</f>
        <v>23.319566583953684</v>
      </c>
      <c r="D32" s="4">
        <f>C32</f>
        <v>23.319566583953684</v>
      </c>
      <c r="E32">
        <f t="shared" si="11"/>
        <v>3933.0558452653372</v>
      </c>
      <c r="F32">
        <f t="shared" si="0"/>
        <v>0.50934678708135106</v>
      </c>
      <c r="G32">
        <f t="shared" si="1"/>
        <v>50.93467870813511</v>
      </c>
      <c r="H32" s="4">
        <f>'[2]Choanocyte Chambers'!J12</f>
        <v>4.0769445401425921</v>
      </c>
      <c r="I32" s="4">
        <f t="shared" si="12"/>
        <v>407.69445401425924</v>
      </c>
      <c r="J32" s="4">
        <f t="shared" si="2"/>
        <v>2013.3059457494282</v>
      </c>
      <c r="K32" s="4">
        <f t="shared" si="7"/>
        <v>8.6205963277854782E-6</v>
      </c>
      <c r="L32" s="159">
        <f t="shared" si="8"/>
        <v>8.6205963277854788E-3</v>
      </c>
      <c r="M32" s="160">
        <f t="shared" si="14"/>
        <v>1.6289530483097571E-3</v>
      </c>
      <c r="N32" s="8">
        <f t="shared" si="3"/>
        <v>1.6289530483097571E-3</v>
      </c>
      <c r="O32" s="161">
        <f t="shared" si="9"/>
        <v>1.628953048309757</v>
      </c>
      <c r="P32" s="148" t="s">
        <v>76</v>
      </c>
      <c r="Q32" s="138">
        <v>19</v>
      </c>
      <c r="R32" s="138">
        <f t="shared" si="4"/>
        <v>8.6205963277854788E-3</v>
      </c>
      <c r="S32" s="138">
        <f>(8*Viscosity*R32*(D32/1000))/($F$16*((C32/1000/2)^2))</f>
        <v>1.6289530483097571E-3</v>
      </c>
      <c r="T32" s="139">
        <f t="shared" si="10"/>
        <v>1.628953048309757</v>
      </c>
      <c r="U32" s="149">
        <f t="shared" si="5"/>
        <v>7.6183645695433247E-2</v>
      </c>
      <c r="V32" s="140">
        <f t="shared" si="13"/>
        <v>927.62862672283802</v>
      </c>
      <c r="W32" s="140">
        <f t="shared" si="6"/>
        <v>0.45751468255505773</v>
      </c>
      <c r="X32" s="142" t="s">
        <v>84</v>
      </c>
      <c r="Y32" s="151">
        <f>(Y28*Y29)/(SQRT((Y28^2)+(Y29^2)))</f>
        <v>5.8294271892137156E-5</v>
      </c>
      <c r="Z32" s="2"/>
      <c r="AA32" s="2"/>
    </row>
    <row r="33" spans="1:31" x14ac:dyDescent="0.35">
      <c r="A33" s="5" t="s">
        <v>16</v>
      </c>
      <c r="B33" t="s">
        <v>15</v>
      </c>
      <c r="C33" s="7">
        <f>[2]Apopyle!D12</f>
        <v>16.045883333333332</v>
      </c>
      <c r="D33" s="4">
        <v>0.5</v>
      </c>
      <c r="E33">
        <f t="shared" si="11"/>
        <v>3956.3754118492907</v>
      </c>
      <c r="F33">
        <f t="shared" si="0"/>
        <v>0.51236676614672971</v>
      </c>
      <c r="G33">
        <f t="shared" si="1"/>
        <v>51.236676614672973</v>
      </c>
      <c r="H33" s="7">
        <f>[2]Apopyle!G12</f>
        <v>2.0794945546303398</v>
      </c>
      <c r="I33" s="4">
        <f t="shared" si="12"/>
        <v>207.94945546303398</v>
      </c>
      <c r="J33" s="4">
        <f t="shared" si="2"/>
        <v>1026.9108911754765</v>
      </c>
      <c r="K33" s="4">
        <f t="shared" si="7"/>
        <v>1.6901074856426318E-5</v>
      </c>
      <c r="L33" s="159">
        <f t="shared" si="8"/>
        <v>1.6901074856426317E-2</v>
      </c>
      <c r="M33" s="160">
        <f t="shared" si="14"/>
        <v>1.4462680802381089E-4</v>
      </c>
      <c r="N33" s="8">
        <f t="shared" si="3"/>
        <v>1.4462680802381089E-4</v>
      </c>
      <c r="O33" s="161">
        <f t="shared" si="9"/>
        <v>0.14462680802381089</v>
      </c>
      <c r="P33" s="148" t="s">
        <v>75</v>
      </c>
      <c r="Q33" s="138">
        <v>15</v>
      </c>
      <c r="R33" s="138">
        <f t="shared" si="4"/>
        <v>1.6901074856426317E-2</v>
      </c>
      <c r="S33" s="138">
        <f>(6*PI()*Viscosity*R33)/($F$16*(C33/1000))</f>
        <v>2.7339689118419251E-3</v>
      </c>
      <c r="T33" s="139">
        <f t="shared" si="10"/>
        <v>2.733968911841925</v>
      </c>
      <c r="U33" s="149">
        <f t="shared" si="5"/>
        <v>0.12786354962054605</v>
      </c>
      <c r="V33" s="140">
        <f t="shared" si="13"/>
        <v>924.89465781099614</v>
      </c>
      <c r="W33" s="140">
        <f t="shared" si="6"/>
        <v>0.45616626479089739</v>
      </c>
      <c r="X33" s="142" t="s">
        <v>85</v>
      </c>
      <c r="Y33" s="151">
        <f>(Y28*Y29)/(Y28+Y29)</f>
        <v>4.1527762803234495E-5</v>
      </c>
      <c r="Z33" s="2"/>
      <c r="AA33" s="2"/>
    </row>
    <row r="34" spans="1:31" x14ac:dyDescent="0.35">
      <c r="A34" s="5" t="s">
        <v>14</v>
      </c>
      <c r="B34" t="s">
        <v>13</v>
      </c>
      <c r="C34" s="4">
        <f>('[2]Excurrent Canals'!C30+'[2]Excurrent Canals'!D30)/2</f>
        <v>45.18236293740982</v>
      </c>
      <c r="D34" s="4">
        <f>'[2]Excurrent Canals'!S21</f>
        <v>173.22133333333332</v>
      </c>
      <c r="E34">
        <f t="shared" si="11"/>
        <v>3956.8754118492907</v>
      </c>
      <c r="F34">
        <f t="shared" si="0"/>
        <v>0.51243151818777877</v>
      </c>
      <c r="G34">
        <f t="shared" si="1"/>
        <v>51.243151818777875</v>
      </c>
      <c r="H34" s="4">
        <f>'[2]Excurrent Canals'!K30</f>
        <v>4.6612540519000656E-2</v>
      </c>
      <c r="I34" s="4">
        <f t="shared" si="12"/>
        <v>4.661254051900066</v>
      </c>
      <c r="J34" s="4">
        <f t="shared" si="2"/>
        <v>23.018538527901562</v>
      </c>
      <c r="K34" s="4">
        <f t="shared" si="7"/>
        <v>7.5399651553023281E-4</v>
      </c>
      <c r="L34" s="159">
        <f t="shared" si="8"/>
        <v>0.75399651553023284</v>
      </c>
      <c r="M34" s="160">
        <f t="shared" si="14"/>
        <v>0.28191914421891284</v>
      </c>
      <c r="N34" s="8">
        <f t="shared" si="3"/>
        <v>0.28191914421891284</v>
      </c>
      <c r="O34" s="161">
        <f t="shared" si="9"/>
        <v>281.91914421891283</v>
      </c>
      <c r="P34" s="148" t="s">
        <v>76</v>
      </c>
      <c r="Q34" s="138">
        <v>19</v>
      </c>
      <c r="R34" s="138">
        <f t="shared" si="4"/>
        <v>0.75399651553023284</v>
      </c>
      <c r="S34" s="138">
        <f>(8*Viscosity*R34*(D34/1000))/($F$16*((C34/1000/2)^2))</f>
        <v>0.28191914421891284</v>
      </c>
      <c r="T34" s="139">
        <f t="shared" si="10"/>
        <v>281.91914421891283</v>
      </c>
      <c r="U34" s="149">
        <f t="shared" si="5"/>
        <v>13.184927717971451</v>
      </c>
      <c r="V34" s="140">
        <f t="shared" si="13"/>
        <v>642.9755135920833</v>
      </c>
      <c r="W34" s="140">
        <f t="shared" si="6"/>
        <v>0.31712123744069309</v>
      </c>
      <c r="X34" s="138"/>
      <c r="Y34" s="151"/>
      <c r="Z34" s="2"/>
      <c r="AA34" s="2"/>
    </row>
    <row r="35" spans="1:31" x14ac:dyDescent="0.35">
      <c r="A35" s="6"/>
      <c r="B35" t="s">
        <v>12</v>
      </c>
      <c r="C35" s="4">
        <f>('[2]Excurrent Canals'!C29+'[2]Excurrent Canals'!D29)/2</f>
        <v>129.72900833333333</v>
      </c>
      <c r="D35" s="4">
        <f>D26</f>
        <v>647.51357142857159</v>
      </c>
      <c r="E35">
        <f t="shared" si="11"/>
        <v>4130.0967451826236</v>
      </c>
      <c r="F35">
        <f t="shared" si="0"/>
        <v>0.53486438796090763</v>
      </c>
      <c r="G35">
        <f t="shared" si="1"/>
        <v>53.486438796090766</v>
      </c>
      <c r="H35" s="4">
        <f>'[2]Excurrent Canals'!K29</f>
        <v>3.4716095186080112E-2</v>
      </c>
      <c r="I35" s="4">
        <f t="shared" si="12"/>
        <v>3.4716095186080111</v>
      </c>
      <c r="J35" s="4">
        <f t="shared" si="2"/>
        <v>17.143750709175364</v>
      </c>
      <c r="K35" s="4">
        <f t="shared" si="7"/>
        <v>1.0123746044293147E-3</v>
      </c>
      <c r="L35" s="159">
        <f t="shared" si="8"/>
        <v>1.0123746044293147</v>
      </c>
      <c r="M35" s="160">
        <f t="shared" si="14"/>
        <v>0.17163571086174495</v>
      </c>
      <c r="N35" s="8">
        <f t="shared" si="3"/>
        <v>0.17163571086174495</v>
      </c>
      <c r="O35" s="161">
        <f t="shared" si="9"/>
        <v>171.63571086174494</v>
      </c>
      <c r="P35" s="148" t="s">
        <v>76</v>
      </c>
      <c r="Q35" s="138">
        <v>19</v>
      </c>
      <c r="R35" s="138">
        <f t="shared" si="4"/>
        <v>1.0123746044293147</v>
      </c>
      <c r="S35" s="138">
        <f>(8*Viscosity*R35*(D35/1000))/($F$16*((C35/1000/2)^2))</f>
        <v>0.17163571086174495</v>
      </c>
      <c r="T35" s="139">
        <f t="shared" si="10"/>
        <v>171.63571086174494</v>
      </c>
      <c r="U35" s="149">
        <f t="shared" si="5"/>
        <v>8.0271400078368238</v>
      </c>
      <c r="V35" s="140">
        <f t="shared" si="13"/>
        <v>471.33980273033836</v>
      </c>
      <c r="W35" s="140">
        <f t="shared" si="6"/>
        <v>0.23246897951346412</v>
      </c>
      <c r="X35" s="138"/>
      <c r="Y35" s="151"/>
      <c r="Z35" s="2"/>
      <c r="AA35" s="2"/>
    </row>
    <row r="36" spans="1:31" x14ac:dyDescent="0.35">
      <c r="A36" s="6"/>
      <c r="B36" t="s">
        <v>11</v>
      </c>
      <c r="C36" s="4">
        <f>('[2]Excurrent Canals'!C28+'[2]Excurrent Canals'!D28)/2</f>
        <v>282.42599999999999</v>
      </c>
      <c r="D36" s="4">
        <f>D25</f>
        <v>2944.154</v>
      </c>
      <c r="E36">
        <f t="shared" si="11"/>
        <v>4777.6103166111952</v>
      </c>
      <c r="F36">
        <f t="shared" si="0"/>
        <v>0.61872003867477743</v>
      </c>
      <c r="G36">
        <f t="shared" si="1"/>
        <v>61.872003867477744</v>
      </c>
      <c r="H36" s="4">
        <f>'[2]Excurrent Canals'!K28</f>
        <v>1.2128013291497442E-2</v>
      </c>
      <c r="I36" s="4">
        <f t="shared" si="12"/>
        <v>1.2128013291497441</v>
      </c>
      <c r="J36" s="4">
        <f t="shared" si="2"/>
        <v>5.9891423661715759</v>
      </c>
      <c r="K36" s="4">
        <f t="shared" si="7"/>
        <v>2.8978936851906151E-3</v>
      </c>
      <c r="L36" s="159">
        <f t="shared" si="8"/>
        <v>2.8978936851906152</v>
      </c>
      <c r="M36" s="160">
        <f t="shared" si="14"/>
        <v>0.4713302927921767</v>
      </c>
      <c r="N36" s="8">
        <f t="shared" si="3"/>
        <v>0.47133029279217675</v>
      </c>
      <c r="O36" s="161">
        <f t="shared" si="9"/>
        <v>471.33029279217669</v>
      </c>
      <c r="P36" s="148" t="s">
        <v>76</v>
      </c>
      <c r="Q36" s="138">
        <v>19</v>
      </c>
      <c r="R36" s="138">
        <f t="shared" si="4"/>
        <v>2.8978936851906152</v>
      </c>
      <c r="S36" s="138">
        <f>(8*Viscosity*R36*(D36/1000))/($F$16*((C36/1000/2)^2))</f>
        <v>0.4713302927921767</v>
      </c>
      <c r="T36" s="139">
        <f t="shared" si="10"/>
        <v>471.33029279217669</v>
      </c>
      <c r="U36" s="149">
        <f t="shared" si="5"/>
        <v>22.043397793977366</v>
      </c>
      <c r="V36" s="140">
        <f t="shared" si="13"/>
        <v>9.5099381616705614E-3</v>
      </c>
      <c r="W36" s="140">
        <f t="shared" si="6"/>
        <v>4.6903860163588211E-6</v>
      </c>
      <c r="X36" s="138"/>
      <c r="Y36" s="151"/>
      <c r="Z36" s="2"/>
      <c r="AA36" s="2"/>
    </row>
    <row r="37" spans="1:31" x14ac:dyDescent="0.35">
      <c r="A37" s="5" t="s">
        <v>10</v>
      </c>
      <c r="B37" t="s">
        <v>9</v>
      </c>
      <c r="C37" s="4">
        <f>[2]Osculum!G16</f>
        <v>3464.3125</v>
      </c>
      <c r="D37" s="4">
        <v>6676</v>
      </c>
      <c r="E37">
        <f t="shared" si="11"/>
        <v>7721.7643166111957</v>
      </c>
      <c r="F37">
        <f t="shared" si="0"/>
        <v>1</v>
      </c>
      <c r="G37">
        <f t="shared" si="1"/>
        <v>100</v>
      </c>
      <c r="H37" s="4">
        <f>(PI()*(C37/2/1000)^2)/(A16*1000)</f>
        <v>2.5734037569598027E-3</v>
      </c>
      <c r="I37" s="4">
        <f t="shared" si="12"/>
        <v>0.25734037569598028</v>
      </c>
      <c r="J37" s="4">
        <f t="shared" si="2"/>
        <v>1.2708166701036063</v>
      </c>
      <c r="K37" s="4">
        <f>B16</f>
        <v>1.3657279016666668E-2</v>
      </c>
      <c r="L37" s="159">
        <f t="shared" si="8"/>
        <v>13.657279016666667</v>
      </c>
      <c r="M37" s="160">
        <f t="shared" si="14"/>
        <v>3.3476351586431669E-2</v>
      </c>
      <c r="N37" s="8">
        <f t="shared" si="3"/>
        <v>3.3476351586431669E-2</v>
      </c>
      <c r="O37" s="161">
        <f t="shared" si="9"/>
        <v>33.476351586431669</v>
      </c>
      <c r="P37" s="148" t="s">
        <v>86</v>
      </c>
      <c r="Q37" s="138">
        <v>22</v>
      </c>
      <c r="R37" s="138">
        <f t="shared" si="4"/>
        <v>13.657279016666667</v>
      </c>
      <c r="S37" s="138">
        <f>((R37^2)/(2*F16))/1000</f>
        <v>9.5099381613029753E-6</v>
      </c>
      <c r="T37" s="139">
        <f t="shared" si="10"/>
        <v>9.5099381613029752E-3</v>
      </c>
      <c r="U37" s="149">
        <f t="shared" si="5"/>
        <v>4.4476528050820565E-4</v>
      </c>
      <c r="V37" s="140">
        <f t="shared" si="13"/>
        <v>3.6758616983600945E-13</v>
      </c>
      <c r="W37" s="140">
        <f t="shared" si="6"/>
        <v>1.8129676570923676E-16</v>
      </c>
      <c r="X37" s="138"/>
      <c r="Y37" s="151"/>
      <c r="Z37" s="2"/>
      <c r="AA37" s="2"/>
    </row>
    <row r="38" spans="1:31" x14ac:dyDescent="0.35">
      <c r="O38" s="162">
        <f>SUM(O23:O37)</f>
        <v>2303.0820535273829</v>
      </c>
      <c r="P38" s="152"/>
      <c r="Q38" s="153"/>
      <c r="R38" s="153">
        <f>K38*1000000</f>
        <v>0</v>
      </c>
      <c r="S38" s="153"/>
      <c r="T38" s="154">
        <f>SUM(T23:T37)</f>
        <v>2138.1925653991157</v>
      </c>
      <c r="U38" s="153"/>
      <c r="V38" s="153"/>
      <c r="W38" s="153"/>
      <c r="X38" s="153"/>
      <c r="Y38" s="155"/>
      <c r="Z38" s="2"/>
      <c r="AA38" s="2"/>
    </row>
    <row r="39" spans="1:31" x14ac:dyDescent="0.35">
      <c r="M39" s="2"/>
      <c r="N39" s="2"/>
      <c r="O39" s="2"/>
      <c r="P39" s="2"/>
      <c r="Q39" s="2"/>
      <c r="R39" s="2"/>
      <c r="S39" s="2"/>
      <c r="T39" s="2"/>
      <c r="U39" s="2"/>
      <c r="V39" s="2"/>
      <c r="W39" s="2"/>
      <c r="X39" s="2"/>
      <c r="Y39" s="2"/>
    </row>
    <row r="40" spans="1:31" x14ac:dyDescent="0.35">
      <c r="O40" s="2"/>
      <c r="P40" s="2"/>
      <c r="Q40" s="2"/>
      <c r="R40" s="2"/>
      <c r="S40" s="2"/>
      <c r="T40" s="2"/>
      <c r="U40" s="2"/>
      <c r="V40" s="2"/>
      <c r="W40" s="2"/>
      <c r="X40" s="2"/>
      <c r="Y40" s="2"/>
      <c r="Z40" s="2"/>
    </row>
    <row r="41" spans="1:31" x14ac:dyDescent="0.35">
      <c r="O41" s="2"/>
      <c r="P41" s="2"/>
      <c r="Q41" s="2"/>
      <c r="R41" s="2"/>
      <c r="S41" s="2"/>
      <c r="T41" s="2"/>
      <c r="U41" s="2"/>
      <c r="V41" s="2"/>
      <c r="W41" s="2"/>
      <c r="X41" s="2"/>
      <c r="Y41" s="2"/>
      <c r="Z41" s="2"/>
    </row>
    <row r="42" spans="1:31" x14ac:dyDescent="0.35">
      <c r="A42" t="s">
        <v>8</v>
      </c>
      <c r="T42" s="2"/>
      <c r="U42" s="2"/>
      <c r="V42" s="2"/>
      <c r="W42" s="2"/>
      <c r="X42" s="2"/>
      <c r="Y42" s="2"/>
      <c r="Z42" s="2"/>
      <c r="AA42" s="2"/>
      <c r="AB42" s="2"/>
      <c r="AC42" s="2"/>
      <c r="AD42" s="2"/>
      <c r="AE42" s="2"/>
    </row>
    <row r="43" spans="1:31" x14ac:dyDescent="0.35">
      <c r="A43" t="s">
        <v>7</v>
      </c>
      <c r="C43">
        <f>[2]Osculum!Q16</f>
        <v>1.3488298089147042</v>
      </c>
      <c r="D43" t="s">
        <v>6</v>
      </c>
      <c r="T43" s="2"/>
      <c r="U43" s="2"/>
      <c r="V43" s="2"/>
      <c r="W43" s="2"/>
      <c r="X43" s="2"/>
      <c r="Y43" s="2"/>
      <c r="Z43" s="2"/>
      <c r="AA43" s="2"/>
      <c r="AB43" s="2"/>
      <c r="AC43" s="2"/>
      <c r="AD43" s="2"/>
      <c r="AE43" s="2"/>
    </row>
    <row r="44" spans="1:31" x14ac:dyDescent="0.35">
      <c r="A44" t="s">
        <v>5</v>
      </c>
      <c r="C44">
        <f>(C43/44.661)*1000</f>
        <v>30.20151382447111</v>
      </c>
      <c r="D44" t="s">
        <v>4</v>
      </c>
    </row>
    <row r="45" spans="1:31" x14ac:dyDescent="0.35">
      <c r="A45" t="s">
        <v>134</v>
      </c>
      <c r="C45" s="1">
        <f>C44*(C16/1000*60*60)</f>
        <v>16.232103870420747</v>
      </c>
      <c r="D45" t="s">
        <v>3</v>
      </c>
    </row>
    <row r="46" spans="1:31" x14ac:dyDescent="0.35">
      <c r="C46">
        <f>C45*5.3333</f>
        <v>86.570679572114983</v>
      </c>
      <c r="D46" t="s">
        <v>2</v>
      </c>
    </row>
    <row r="48" spans="1:31" x14ac:dyDescent="0.35">
      <c r="C48" t="s">
        <v>87</v>
      </c>
      <c r="D48" s="49"/>
      <c r="F48" t="s">
        <v>124</v>
      </c>
      <c r="G48" s="49"/>
    </row>
    <row r="49" spans="3:7" x14ac:dyDescent="0.35">
      <c r="C49" s="51">
        <f>$E$16*($F$16/1000)*($T$38/1000)*($C$17/1000/60)</f>
        <v>3.2056126820314788</v>
      </c>
      <c r="D49" t="s">
        <v>1</v>
      </c>
      <c r="F49" s="51">
        <f>$E$16*($F$16/1000)*($O$38/1000)*($C$17/1000/60)</f>
        <v>3.4528176545073741</v>
      </c>
      <c r="G49" t="s">
        <v>1</v>
      </c>
    </row>
    <row r="50" spans="3:7" x14ac:dyDescent="0.35">
      <c r="C50" s="176">
        <f>$C$49/$C$46*100</f>
        <v>3.7028849696866981</v>
      </c>
      <c r="D50" t="s">
        <v>0</v>
      </c>
      <c r="F50" s="176">
        <f>$F$49/$C$46*100</f>
        <v>3.9884377384736975</v>
      </c>
      <c r="G50" t="s">
        <v>0</v>
      </c>
    </row>
  </sheetData>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4"/>
  <sheetViews>
    <sheetView topLeftCell="A10" workbookViewId="0">
      <selection activeCell="C18" sqref="C18"/>
    </sheetView>
  </sheetViews>
  <sheetFormatPr defaultColWidth="11" defaultRowHeight="15.5" x14ac:dyDescent="0.35"/>
  <cols>
    <col min="1" max="1" width="27.83203125" customWidth="1"/>
    <col min="2" max="2" width="21.1640625" customWidth="1"/>
    <col min="3" max="3" width="12.1640625" bestFit="1" customWidth="1"/>
    <col min="8" max="8" width="12.1640625" bestFit="1" customWidth="1"/>
    <col min="10" max="10" width="18.83203125" customWidth="1"/>
    <col min="11" max="11" width="17.5" customWidth="1"/>
    <col min="12" max="12" width="12.1640625" bestFit="1" customWidth="1"/>
    <col min="13" max="13" width="12.5" customWidth="1"/>
    <col min="14" max="14" width="14.33203125" customWidth="1"/>
    <col min="16" max="16" width="13" customWidth="1"/>
    <col min="18" max="18" width="12.1640625" bestFit="1" customWidth="1"/>
    <col min="19" max="19" width="19.1640625" customWidth="1"/>
    <col min="20" max="20" width="16.83203125" bestFit="1" customWidth="1"/>
    <col min="21" max="21" width="13.5" customWidth="1"/>
    <col min="27" max="27" width="11.1640625" bestFit="1" customWidth="1"/>
  </cols>
  <sheetData>
    <row r="1" spans="1:15" ht="21" x14ac:dyDescent="0.5">
      <c r="A1" s="136" t="s">
        <v>116</v>
      </c>
      <c r="B1" s="3"/>
      <c r="C1" s="3"/>
      <c r="D1" s="3"/>
    </row>
    <row r="2" spans="1:15" x14ac:dyDescent="0.35">
      <c r="A2" s="6"/>
      <c r="B2" s="3"/>
      <c r="C2" s="3"/>
      <c r="D2" s="3"/>
    </row>
    <row r="3" spans="1:15" x14ac:dyDescent="0.35">
      <c r="A3" s="6" t="s">
        <v>105</v>
      </c>
      <c r="C3" s="2"/>
    </row>
    <row r="4" spans="1:15" x14ac:dyDescent="0.35">
      <c r="A4" s="137" t="s">
        <v>106</v>
      </c>
      <c r="C4" s="2"/>
    </row>
    <row r="5" spans="1:15" x14ac:dyDescent="0.35">
      <c r="A5" s="137" t="s">
        <v>107</v>
      </c>
      <c r="C5" s="2"/>
    </row>
    <row r="6" spans="1:15" x14ac:dyDescent="0.35">
      <c r="A6" s="137" t="s">
        <v>108</v>
      </c>
      <c r="C6" s="2"/>
    </row>
    <row r="7" spans="1:15" x14ac:dyDescent="0.35">
      <c r="A7" s="137"/>
      <c r="C7" s="2"/>
    </row>
    <row r="8" spans="1:15" x14ac:dyDescent="0.35">
      <c r="A8" s="137" t="s">
        <v>111</v>
      </c>
      <c r="C8" s="2"/>
    </row>
    <row r="9" spans="1:15" x14ac:dyDescent="0.35">
      <c r="A9" s="6"/>
      <c r="C9" s="2"/>
    </row>
    <row r="10" spans="1:15" x14ac:dyDescent="0.35">
      <c r="A10" s="137" t="s">
        <v>109</v>
      </c>
      <c r="C10" s="2"/>
    </row>
    <row r="11" spans="1:15" x14ac:dyDescent="0.35">
      <c r="A11" s="6" t="s">
        <v>110</v>
      </c>
      <c r="C11" s="2"/>
    </row>
    <row r="12" spans="1:15" x14ac:dyDescent="0.35">
      <c r="A12" s="6" t="s">
        <v>112</v>
      </c>
      <c r="C12" s="2"/>
    </row>
    <row r="13" spans="1:15" x14ac:dyDescent="0.35">
      <c r="C13" s="2"/>
    </row>
    <row r="15" spans="1:15" ht="72.5" x14ac:dyDescent="0.35">
      <c r="A15" s="47" t="s">
        <v>58</v>
      </c>
      <c r="B15" s="37" t="s">
        <v>57</v>
      </c>
      <c r="C15" s="37" t="s">
        <v>56</v>
      </c>
      <c r="D15" s="44" t="s">
        <v>55</v>
      </c>
      <c r="E15" s="46" t="s">
        <v>54</v>
      </c>
      <c r="F15" s="46" t="s">
        <v>53</v>
      </c>
      <c r="G15" s="45" t="s">
        <v>52</v>
      </c>
      <c r="H15" s="44" t="s">
        <v>131</v>
      </c>
      <c r="I15" s="44" t="s">
        <v>51</v>
      </c>
      <c r="J15" s="43" t="s">
        <v>50</v>
      </c>
      <c r="K15" s="42" t="s">
        <v>49</v>
      </c>
      <c r="L15" s="41" t="s">
        <v>48</v>
      </c>
      <c r="M15" s="40" t="s">
        <v>47</v>
      </c>
      <c r="N15" s="39"/>
      <c r="O15" s="3"/>
    </row>
    <row r="16" spans="1:15" x14ac:dyDescent="0.35">
      <c r="A16" s="88">
        <f>'[3]Sponge Volume'!C24</f>
        <v>20.845476226525268</v>
      </c>
      <c r="B16" s="87">
        <f>[3]Osculum!M18</f>
        <v>3.0442925199999998E-2</v>
      </c>
      <c r="C16" s="86">
        <f>[3]Osculum!N18</f>
        <v>0.80979665090659481</v>
      </c>
      <c r="D16" s="85">
        <v>20.25</v>
      </c>
      <c r="E16" s="84">
        <v>1024</v>
      </c>
      <c r="F16" s="33">
        <v>9806.65</v>
      </c>
      <c r="G16" s="82">
        <f>E16*9.81</f>
        <v>10045.44</v>
      </c>
      <c r="H16" s="31">
        <v>1.3504</v>
      </c>
      <c r="I16" s="31"/>
      <c r="J16" s="80">
        <f>'[3]Sponge Volume'!B24</f>
        <v>15.314227572253452</v>
      </c>
      <c r="K16" s="79">
        <f>C16*60/J16</f>
        <v>3.17272280467007</v>
      </c>
      <c r="L16" s="79">
        <f>K16/60</f>
        <v>5.287871341116783E-2</v>
      </c>
      <c r="M16" s="78">
        <f>(C16*3600*1000000)/(L18*L19*L20)</f>
        <v>1.2633426649821599E-2</v>
      </c>
      <c r="N16" s="27"/>
      <c r="O16" s="3"/>
    </row>
    <row r="17" spans="1:29" x14ac:dyDescent="0.35">
      <c r="A17" s="20"/>
      <c r="B17" s="17"/>
      <c r="C17" s="188">
        <f>C16*60</f>
        <v>48.587799054395688</v>
      </c>
      <c r="D17" s="20"/>
      <c r="E17" s="20"/>
      <c r="G17" s="21"/>
      <c r="H17" s="20"/>
      <c r="I17" s="20"/>
      <c r="J17" s="20"/>
      <c r="K17" s="77" t="s">
        <v>46</v>
      </c>
      <c r="L17" s="76">
        <f>[3]Collars!K17</f>
        <v>2684.4549619863928</v>
      </c>
      <c r="M17" s="20"/>
    </row>
    <row r="18" spans="1:29" x14ac:dyDescent="0.35">
      <c r="A18" s="20"/>
      <c r="C18" s="23"/>
      <c r="D18" s="21"/>
      <c r="E18" s="20"/>
      <c r="G18" s="21"/>
      <c r="H18" s="20"/>
      <c r="I18" s="20"/>
      <c r="J18" s="20"/>
      <c r="K18" s="74" t="s">
        <v>45</v>
      </c>
      <c r="L18" s="75">
        <f>L17*(J16*1000)</f>
        <v>41110354.195324607</v>
      </c>
      <c r="M18" s="20"/>
      <c r="R18" s="3"/>
      <c r="S18" s="3"/>
    </row>
    <row r="19" spans="1:29" x14ac:dyDescent="0.35">
      <c r="A19" s="20"/>
      <c r="B19" s="20"/>
      <c r="C19" s="20"/>
      <c r="D19" s="21"/>
      <c r="E19" s="20"/>
      <c r="G19" s="21"/>
      <c r="H19" s="20"/>
      <c r="I19" s="20"/>
      <c r="J19" s="20"/>
      <c r="K19" s="74" t="s">
        <v>44</v>
      </c>
      <c r="L19" s="73">
        <f>[3]Collars!I17</f>
        <v>139.33333333333334</v>
      </c>
      <c r="M19" s="17"/>
      <c r="R19" s="3"/>
      <c r="S19" s="3"/>
    </row>
    <row r="20" spans="1:29" x14ac:dyDescent="0.35">
      <c r="K20" s="72" t="s">
        <v>43</v>
      </c>
      <c r="L20" s="71">
        <f>[3]Collars!B17</f>
        <v>40.285714285714285</v>
      </c>
      <c r="R20" s="3"/>
      <c r="S20" s="3"/>
      <c r="T20" s="2"/>
      <c r="U20" s="2"/>
      <c r="V20" s="2"/>
      <c r="W20" s="2"/>
      <c r="X20" s="2"/>
      <c r="Y20" s="2"/>
      <c r="Z20" s="2"/>
      <c r="AA20" s="2"/>
      <c r="AB20" s="2"/>
      <c r="AC20" s="2"/>
    </row>
    <row r="21" spans="1:29" x14ac:dyDescent="0.35">
      <c r="R21" s="3"/>
      <c r="S21" s="3"/>
      <c r="T21" s="2"/>
      <c r="U21" s="2"/>
      <c r="V21" s="2"/>
      <c r="W21" s="2"/>
      <c r="X21" s="2"/>
      <c r="Y21" s="2"/>
      <c r="Z21" s="2"/>
      <c r="AA21" s="2"/>
      <c r="AB21" s="2"/>
      <c r="AC21" s="2"/>
    </row>
    <row r="22" spans="1:29" s="12" customFormat="1" ht="51" x14ac:dyDescent="0.35">
      <c r="A22" s="14" t="s">
        <v>42</v>
      </c>
      <c r="B22" s="13" t="s">
        <v>41</v>
      </c>
      <c r="C22" s="13" t="s">
        <v>40</v>
      </c>
      <c r="D22" s="13" t="s">
        <v>39</v>
      </c>
      <c r="E22" s="13" t="s">
        <v>38</v>
      </c>
      <c r="F22" s="13" t="s">
        <v>37</v>
      </c>
      <c r="G22" s="13" t="s">
        <v>36</v>
      </c>
      <c r="H22" s="13" t="s">
        <v>35</v>
      </c>
      <c r="I22" s="13" t="s">
        <v>34</v>
      </c>
      <c r="J22" s="13" t="s">
        <v>33</v>
      </c>
      <c r="K22" s="13" t="s">
        <v>63</v>
      </c>
      <c r="L22" s="156" t="s">
        <v>65</v>
      </c>
      <c r="M22" s="157" t="s">
        <v>122</v>
      </c>
      <c r="N22" s="158" t="s">
        <v>123</v>
      </c>
      <c r="O22" s="144" t="s">
        <v>71</v>
      </c>
      <c r="P22" s="145" t="s">
        <v>72</v>
      </c>
      <c r="Q22" s="145" t="s">
        <v>65</v>
      </c>
      <c r="R22" s="145" t="s">
        <v>73</v>
      </c>
      <c r="S22" s="145" t="s">
        <v>74</v>
      </c>
      <c r="T22" s="146" t="s">
        <v>32</v>
      </c>
      <c r="U22" s="145" t="s">
        <v>99</v>
      </c>
      <c r="V22" s="145" t="s">
        <v>99</v>
      </c>
      <c r="W22" s="145"/>
      <c r="X22" s="145"/>
      <c r="Y22" s="145"/>
      <c r="Z22" s="147"/>
    </row>
    <row r="23" spans="1:29" x14ac:dyDescent="0.35">
      <c r="A23" s="54" t="s">
        <v>31</v>
      </c>
      <c r="B23" s="4" t="s">
        <v>30</v>
      </c>
      <c r="C23" s="50">
        <f>([3]Ostia!B24)</f>
        <v>14.283964285714285</v>
      </c>
      <c r="D23" s="50">
        <v>0.5</v>
      </c>
      <c r="E23" s="50">
        <v>0</v>
      </c>
      <c r="F23" s="50">
        <f t="shared" ref="F23:F37" si="0">E23/$E$37</f>
        <v>0</v>
      </c>
      <c r="G23" s="50">
        <f t="shared" ref="G23:G37" si="1">F23*100</f>
        <v>0</v>
      </c>
      <c r="H23" s="50">
        <f>[3]Ostia!J24</f>
        <v>4.4375139943068874E-2</v>
      </c>
      <c r="I23" s="50">
        <f>H23*$D$16</f>
        <v>0.89859658384714469</v>
      </c>
      <c r="J23" s="50">
        <f t="shared" ref="J23:J37" si="2">I23/$D$16*100</f>
        <v>4.4375139943068875</v>
      </c>
      <c r="K23" s="50">
        <f t="shared" ref="K23:K36" si="3">$K$37/(J23/$J$37)</f>
        <v>3.8996236904560305E-3</v>
      </c>
      <c r="L23" s="159">
        <f>K23*1000</f>
        <v>3.8996236904560306</v>
      </c>
      <c r="M23" s="160">
        <f>(8*Viscosity*L23*($D23/1000))/($F$16*(($C23/1000/2)^2))</f>
        <v>4.2110163257563837E-2</v>
      </c>
      <c r="N23" s="161">
        <f>M23*1000</f>
        <v>42.11016325756384</v>
      </c>
      <c r="O23" s="148" t="s">
        <v>75</v>
      </c>
      <c r="P23" s="138">
        <v>15</v>
      </c>
      <c r="Q23" s="138">
        <f t="shared" ref="Q23:Q37" si="4">K23*1000</f>
        <v>3.8996236904560306</v>
      </c>
      <c r="R23" s="138">
        <f>(6*PI()*Viscosity*Q23)/($F$16*(C23/1000))</f>
        <v>0.70862557307912566</v>
      </c>
      <c r="S23" s="139">
        <f>R23*1000</f>
        <v>708.62557307912562</v>
      </c>
      <c r="T23" s="149">
        <f t="shared" ref="T23:T37" si="5">S23/$S$38*100</f>
        <v>37.671720390839475</v>
      </c>
      <c r="U23" s="140">
        <f>S38-S23</f>
        <v>1172.4288776526762</v>
      </c>
      <c r="V23" s="140">
        <f t="shared" ref="V23:V37" si="6">U23/$U$23</f>
        <v>1</v>
      </c>
      <c r="W23" s="138"/>
      <c r="X23" s="138"/>
      <c r="Y23" s="138"/>
      <c r="Z23" s="151"/>
    </row>
    <row r="24" spans="1:29" x14ac:dyDescent="0.35">
      <c r="A24" s="54" t="s">
        <v>29</v>
      </c>
      <c r="B24" s="70" t="s">
        <v>29</v>
      </c>
      <c r="C24" s="50">
        <f>'[3]Subdermal space'!C7</f>
        <v>94.965272727272747</v>
      </c>
      <c r="D24" s="50">
        <f>'[3]Subdermal space'!B7</f>
        <v>50.645272727272733</v>
      </c>
      <c r="E24" s="50">
        <f>D23</f>
        <v>0.5</v>
      </c>
      <c r="F24" s="50">
        <f t="shared" si="0"/>
        <v>1.362778639883862E-4</v>
      </c>
      <c r="G24" s="50">
        <f t="shared" si="1"/>
        <v>1.3627786398838619E-2</v>
      </c>
      <c r="H24" s="50">
        <f>'[3]Subdermal space'!D7</f>
        <v>1.0960936952266178</v>
      </c>
      <c r="I24" s="50">
        <f>H24*$D$16</f>
        <v>22.195897328339012</v>
      </c>
      <c r="J24" s="50">
        <f t="shared" si="2"/>
        <v>109.60936952266178</v>
      </c>
      <c r="K24" s="50">
        <f t="shared" si="3"/>
        <v>1.5787550621164341E-4</v>
      </c>
      <c r="L24" s="159">
        <f t="shared" ref="L24:L37" si="7">K24*1000</f>
        <v>0.1578755062116434</v>
      </c>
      <c r="M24" s="160">
        <f t="shared" ref="M24:M36" si="8">(8*Viscosity*L23*($D24/1000))/($F$16*(($C24/1000/2)^2))</f>
        <v>9.649919860069843E-2</v>
      </c>
      <c r="N24" s="161">
        <f t="shared" ref="N24:N36" si="9">M24*1000</f>
        <v>96.499198600698435</v>
      </c>
      <c r="O24" s="148" t="s">
        <v>76</v>
      </c>
      <c r="P24" s="138">
        <v>21</v>
      </c>
      <c r="Q24" s="138">
        <f t="shared" si="4"/>
        <v>0.1578755062116434</v>
      </c>
      <c r="R24" s="138">
        <f>(12*Viscosity*Q24*(C24/1000))/($F$16*(D24/1000)^2)</f>
        <v>9.6588350031962967E-3</v>
      </c>
      <c r="S24" s="139">
        <f t="shared" ref="S24:S37" si="10">R24*1000</f>
        <v>9.6588350031962964</v>
      </c>
      <c r="T24" s="149">
        <f t="shared" si="5"/>
        <v>0.51347981975953128</v>
      </c>
      <c r="U24" s="140">
        <f>U23-S24</f>
        <v>1162.7700426494798</v>
      </c>
      <c r="V24" s="140">
        <f t="shared" si="6"/>
        <v>0.99176168790508268</v>
      </c>
      <c r="W24" s="138"/>
      <c r="X24" s="138"/>
      <c r="Y24" s="138"/>
      <c r="Z24" s="151"/>
    </row>
    <row r="25" spans="1:29" x14ac:dyDescent="0.35">
      <c r="A25" s="54" t="s">
        <v>28</v>
      </c>
      <c r="B25" s="4" t="s">
        <v>27</v>
      </c>
      <c r="C25" s="50">
        <f>'[3]Incurrent Canals'!C26</f>
        <v>332.62233333333336</v>
      </c>
      <c r="D25" s="50">
        <f>'[3]Incurrent Canals'!Q21</f>
        <v>930.02700000000004</v>
      </c>
      <c r="E25" s="50">
        <f t="shared" ref="E25:E37" si="11">E24+D24</f>
        <v>51.145272727272733</v>
      </c>
      <c r="F25" s="50">
        <f t="shared" si="0"/>
        <v>1.3939937040752384E-2</v>
      </c>
      <c r="G25" s="50">
        <f t="shared" si="1"/>
        <v>1.3939937040752384</v>
      </c>
      <c r="H25" s="50">
        <f>'[3]Incurrent Canals'!K26</f>
        <v>0.1442814522431346</v>
      </c>
      <c r="I25" s="50">
        <f>H25*100</f>
        <v>14.428145224313461</v>
      </c>
      <c r="J25" s="50">
        <f t="shared" si="2"/>
        <v>71.250099873152891</v>
      </c>
      <c r="K25" s="50">
        <f t="shared" si="3"/>
        <v>2.4287172550967482E-4</v>
      </c>
      <c r="L25" s="159">
        <f t="shared" si="7"/>
        <v>0.24287172550967481</v>
      </c>
      <c r="M25" s="160">
        <f t="shared" si="8"/>
        <v>5.8478905196255662E-3</v>
      </c>
      <c r="N25" s="161">
        <f t="shared" si="9"/>
        <v>5.8478905196255662</v>
      </c>
      <c r="O25" s="148" t="s">
        <v>76</v>
      </c>
      <c r="P25" s="138">
        <v>19</v>
      </c>
      <c r="Q25" s="138">
        <f t="shared" si="4"/>
        <v>0.24287172550967481</v>
      </c>
      <c r="R25" s="138">
        <f>(8*Viscosity*Q25*(D25/1000))/($F$16*((C25/1000/2)^2))</f>
        <v>8.9962483425968173E-3</v>
      </c>
      <c r="S25" s="139">
        <f t="shared" si="10"/>
        <v>8.996248342596818</v>
      </c>
      <c r="T25" s="149">
        <f t="shared" si="5"/>
        <v>0.47825560493992803</v>
      </c>
      <c r="U25" s="140">
        <f t="shared" ref="U25:U37" si="12">U24-S25</f>
        <v>1153.773794306883</v>
      </c>
      <c r="V25" s="140">
        <f t="shared" si="6"/>
        <v>0.98408851598474567</v>
      </c>
      <c r="W25" s="138"/>
      <c r="X25" s="138"/>
      <c r="Y25" s="138"/>
      <c r="Z25" s="151"/>
    </row>
    <row r="26" spans="1:29" x14ac:dyDescent="0.35">
      <c r="A26" s="54"/>
      <c r="B26" s="4" t="s">
        <v>26</v>
      </c>
      <c r="C26" s="50">
        <f>'[3]Incurrent Canals'!C27</f>
        <v>140.34078571428572</v>
      </c>
      <c r="D26" s="50">
        <f>'[3]Incurrent Canals'!R21</f>
        <v>833.95499999999993</v>
      </c>
      <c r="E26" s="50">
        <f t="shared" si="11"/>
        <v>981.1722727272728</v>
      </c>
      <c r="F26" s="50">
        <f t="shared" si="0"/>
        <v>0.26742412306380614</v>
      </c>
      <c r="G26" s="50">
        <f t="shared" si="1"/>
        <v>26.742412306380615</v>
      </c>
      <c r="H26" s="50">
        <f>'[3]Incurrent Canals'!K27</f>
        <v>3.2127633202596567E-2</v>
      </c>
      <c r="I26" s="50">
        <f>H26*100</f>
        <v>3.2127633202596568</v>
      </c>
      <c r="J26" s="50">
        <f t="shared" si="2"/>
        <v>15.865497877825465</v>
      </c>
      <c r="K26" s="50">
        <f t="shared" si="3"/>
        <v>1.0907085823707594E-3</v>
      </c>
      <c r="L26" s="159">
        <f t="shared" si="7"/>
        <v>1.0907085823707594</v>
      </c>
      <c r="M26" s="160">
        <f t="shared" si="8"/>
        <v>4.5315158137423629E-2</v>
      </c>
      <c r="N26" s="161">
        <f t="shared" si="9"/>
        <v>45.31515813742363</v>
      </c>
      <c r="O26" s="148" t="s">
        <v>76</v>
      </c>
      <c r="P26" s="138">
        <v>19</v>
      </c>
      <c r="Q26" s="138">
        <f t="shared" si="4"/>
        <v>1.0907085823707594</v>
      </c>
      <c r="R26" s="138">
        <f>(8*Viscosity*Q26*(D26/1000))/($F$16*((C26/1000/2)^2))</f>
        <v>0.20350508807995121</v>
      </c>
      <c r="S26" s="139">
        <f t="shared" si="10"/>
        <v>203.50508807995121</v>
      </c>
      <c r="T26" s="149">
        <f t="shared" si="5"/>
        <v>10.818670772703044</v>
      </c>
      <c r="U26" s="140">
        <f t="shared" si="12"/>
        <v>950.26870622693184</v>
      </c>
      <c r="V26" s="140">
        <f t="shared" si="6"/>
        <v>0.81051288000468569</v>
      </c>
      <c r="W26" s="138" t="s">
        <v>77</v>
      </c>
      <c r="X26" s="138"/>
      <c r="Y26" s="138"/>
      <c r="Z26" s="151"/>
    </row>
    <row r="27" spans="1:29" x14ac:dyDescent="0.35">
      <c r="A27" s="54"/>
      <c r="B27" s="4" t="s">
        <v>25</v>
      </c>
      <c r="C27" s="50">
        <f>'[3]Incurrent Canals'!C28</f>
        <v>51.276387668918915</v>
      </c>
      <c r="D27" s="50">
        <f>'[3]Incurrent Canals'!S21</f>
        <v>151.863</v>
      </c>
      <c r="E27" s="50">
        <f t="shared" si="11"/>
        <v>1815.1272727272726</v>
      </c>
      <c r="F27" s="50">
        <f t="shared" si="0"/>
        <v>0.49472333518867534</v>
      </c>
      <c r="G27" s="50">
        <f t="shared" si="1"/>
        <v>49.472333518867536</v>
      </c>
      <c r="H27" s="50">
        <f>'[3]Incurrent Canals'!K28</f>
        <v>4.1574365485735044E-2</v>
      </c>
      <c r="I27" s="50">
        <f>'[3]Incurrent Canals'!M28</f>
        <v>4.1574365485735045</v>
      </c>
      <c r="J27" s="50">
        <f t="shared" si="2"/>
        <v>20.530550857153109</v>
      </c>
      <c r="K27" s="50">
        <f t="shared" si="3"/>
        <v>8.4287240120009478E-4</v>
      </c>
      <c r="L27" s="159">
        <f t="shared" si="7"/>
        <v>0.84287240120009477</v>
      </c>
      <c r="M27" s="160">
        <f t="shared" si="8"/>
        <v>0.27759880536343612</v>
      </c>
      <c r="N27" s="161">
        <f t="shared" si="9"/>
        <v>277.5988053634361</v>
      </c>
      <c r="O27" s="148" t="s">
        <v>76</v>
      </c>
      <c r="P27" s="138">
        <v>19</v>
      </c>
      <c r="Q27" s="138">
        <f t="shared" si="4"/>
        <v>0.84287240120009477</v>
      </c>
      <c r="R27" s="138">
        <f>(8*Viscosity*Q27*(D27/1000))/($F$16*((C27/1000/2)^2))</f>
        <v>0.21452143627436984</v>
      </c>
      <c r="S27" s="139">
        <f t="shared" si="10"/>
        <v>214.52143627436985</v>
      </c>
      <c r="T27" s="149">
        <f t="shared" si="5"/>
        <v>11.404318263669232</v>
      </c>
      <c r="U27" s="140">
        <f t="shared" si="12"/>
        <v>735.74726995256196</v>
      </c>
      <c r="V27" s="140">
        <f t="shared" si="6"/>
        <v>0.62754106792866104</v>
      </c>
      <c r="W27" s="142" t="s">
        <v>78</v>
      </c>
      <c r="X27" s="138">
        <f>([3]Collars!C17/1000)</f>
        <v>1.002E-4</v>
      </c>
      <c r="Y27" s="138" t="s">
        <v>113</v>
      </c>
      <c r="Z27" s="151"/>
    </row>
    <row r="28" spans="1:29" x14ac:dyDescent="0.35">
      <c r="A28" s="54" t="s">
        <v>24</v>
      </c>
      <c r="B28" s="4" t="s">
        <v>23</v>
      </c>
      <c r="C28" s="50">
        <f>([3]Prosopyles!B16+[3]Prosopyles!C16)/2</f>
        <v>2.3719999999999999</v>
      </c>
      <c r="D28" s="50">
        <f>0.5</f>
        <v>0.5</v>
      </c>
      <c r="E28" s="50">
        <f t="shared" si="11"/>
        <v>1966.9902727272727</v>
      </c>
      <c r="F28" s="50">
        <f t="shared" si="0"/>
        <v>0.53611446570641197</v>
      </c>
      <c r="G28" s="50">
        <f t="shared" si="1"/>
        <v>53.611446570641199</v>
      </c>
      <c r="H28" s="52">
        <f>[3]Prosopyles!E24</f>
        <v>3.4581399320581636</v>
      </c>
      <c r="I28" s="50">
        <f t="shared" ref="I28:I37" si="13">H28*100</f>
        <v>345.81399320581636</v>
      </c>
      <c r="J28" s="50">
        <f t="shared" si="2"/>
        <v>1707.7234232385995</v>
      </c>
      <c r="K28" s="50">
        <f t="shared" si="3"/>
        <v>1.0133160009079257E-5</v>
      </c>
      <c r="L28" s="159">
        <f>K28*1000</f>
        <v>1.0133160009079257E-2</v>
      </c>
      <c r="M28" s="160">
        <f t="shared" si="8"/>
        <v>0.33006099200564898</v>
      </c>
      <c r="N28" s="161">
        <f t="shared" si="9"/>
        <v>330.06099200564898</v>
      </c>
      <c r="O28" s="148" t="s">
        <v>75</v>
      </c>
      <c r="P28" s="138">
        <v>15</v>
      </c>
      <c r="Q28" s="138">
        <f t="shared" si="4"/>
        <v>1.0133160009079257E-2</v>
      </c>
      <c r="R28" s="138">
        <f>(6*PI()*Viscosity*Q28)/($F$16*(C28/1000))</f>
        <v>1.1088507449551614E-2</v>
      </c>
      <c r="S28" s="139">
        <f t="shared" si="10"/>
        <v>11.088507449551614</v>
      </c>
      <c r="T28" s="149">
        <f t="shared" si="5"/>
        <v>0.58948359762992308</v>
      </c>
      <c r="U28" s="140">
        <f t="shared" si="12"/>
        <v>724.65876250301039</v>
      </c>
      <c r="V28" s="140">
        <f t="shared" si="6"/>
        <v>0.61808334502460582</v>
      </c>
      <c r="W28" s="142" t="s">
        <v>79</v>
      </c>
      <c r="X28" s="138">
        <f>([3]Collars!D17/1000)</f>
        <v>1.0960000000000001E-4</v>
      </c>
      <c r="Y28" s="138" t="s">
        <v>114</v>
      </c>
      <c r="Z28" s="151"/>
    </row>
    <row r="29" spans="1:29" x14ac:dyDescent="0.35">
      <c r="A29" s="69" t="s">
        <v>22</v>
      </c>
      <c r="B29" s="68" t="s">
        <v>62</v>
      </c>
      <c r="C29" s="67">
        <f>[3]Collars!B23</f>
        <v>5.7110000000000003</v>
      </c>
      <c r="D29" s="65">
        <f>[3]Collars!C23</f>
        <v>3.63</v>
      </c>
      <c r="E29" s="65">
        <f t="shared" si="11"/>
        <v>1967.4902727272727</v>
      </c>
      <c r="F29" s="65">
        <f t="shared" si="0"/>
        <v>0.53625074357040026</v>
      </c>
      <c r="G29" s="65">
        <f t="shared" si="1"/>
        <v>53.625074357040027</v>
      </c>
      <c r="H29" s="66">
        <f>[3]Collars!G23</f>
        <v>7.7540738747762328</v>
      </c>
      <c r="I29" s="65">
        <f t="shared" si="13"/>
        <v>775.40738747762327</v>
      </c>
      <c r="J29" s="65">
        <f t="shared" si="2"/>
        <v>3829.1722838401151</v>
      </c>
      <c r="K29" s="65">
        <f t="shared" si="3"/>
        <v>4.5191580363094081E-6</v>
      </c>
      <c r="L29" s="159">
        <f t="shared" si="7"/>
        <v>4.5191580363094083E-3</v>
      </c>
      <c r="M29" s="160">
        <f t="shared" si="8"/>
        <v>4.969571429103114E-3</v>
      </c>
      <c r="N29" s="161">
        <f t="shared" si="9"/>
        <v>4.9695714291031141</v>
      </c>
      <c r="O29" s="148" t="s">
        <v>76</v>
      </c>
      <c r="P29" s="138">
        <v>19</v>
      </c>
      <c r="Q29" s="138">
        <f t="shared" si="4"/>
        <v>4.5191580363094083E-3</v>
      </c>
      <c r="R29" s="138">
        <f>(8*Viscosity*Q29*(D29/1000))/($F$16*((C29/1000/2)^2))</f>
        <v>2.2163154080980141E-3</v>
      </c>
      <c r="S29" s="139">
        <f t="shared" si="10"/>
        <v>2.2163154080980143</v>
      </c>
      <c r="T29" s="149">
        <f t="shared" si="5"/>
        <v>0.11782303309911007</v>
      </c>
      <c r="U29" s="140">
        <f t="shared" si="12"/>
        <v>722.44244709491238</v>
      </c>
      <c r="V29" s="140">
        <f t="shared" si="6"/>
        <v>0.61619298267483558</v>
      </c>
      <c r="W29" s="142" t="s">
        <v>80</v>
      </c>
      <c r="X29" s="138">
        <f>([3]Collars!F17/1000)</f>
        <v>1.6566666666666664E-4</v>
      </c>
      <c r="Y29" s="138" t="s">
        <v>115</v>
      </c>
      <c r="Z29" s="151"/>
    </row>
    <row r="30" spans="1:29" x14ac:dyDescent="0.35">
      <c r="A30" s="64"/>
      <c r="B30" s="63" t="s">
        <v>20</v>
      </c>
      <c r="C30" s="62">
        <f>[3]Collars!F17</f>
        <v>0.16566666666666663</v>
      </c>
      <c r="D30" s="61">
        <f>[3]Collars!C17</f>
        <v>0.1002</v>
      </c>
      <c r="E30" s="61">
        <f t="shared" si="11"/>
        <v>1971.1202727272728</v>
      </c>
      <c r="F30" s="61">
        <f t="shared" si="0"/>
        <v>0.53724012086295603</v>
      </c>
      <c r="G30" s="61">
        <f t="shared" si="1"/>
        <v>53.724012086295602</v>
      </c>
      <c r="H30" s="61">
        <f>[3]Collars!M17</f>
        <v>5.4551985641710203</v>
      </c>
      <c r="I30" s="61">
        <f t="shared" si="13"/>
        <v>545.51985641710201</v>
      </c>
      <c r="J30" s="61">
        <f t="shared" si="2"/>
        <v>2693.9252168745779</v>
      </c>
      <c r="K30" s="61">
        <f t="shared" si="3"/>
        <v>6.4235764937104285E-6</v>
      </c>
      <c r="L30" s="159">
        <f t="shared" si="7"/>
        <v>6.4235764937104287E-3</v>
      </c>
      <c r="M30" s="160">
        <f t="shared" si="8"/>
        <v>7.2702059638789798E-2</v>
      </c>
      <c r="N30" s="161">
        <f t="shared" si="9"/>
        <v>72.702059638789805</v>
      </c>
      <c r="O30" s="148" t="s">
        <v>81</v>
      </c>
      <c r="P30" s="138">
        <v>17</v>
      </c>
      <c r="Q30" s="138">
        <f t="shared" si="4"/>
        <v>6.4235764937104287E-3</v>
      </c>
      <c r="R30" s="138">
        <f>(X30*Viscosity*Q29)/(F16*X33)</f>
        <v>0.47094630367243329</v>
      </c>
      <c r="S30" s="139">
        <f t="shared" si="10"/>
        <v>470.94630367243326</v>
      </c>
      <c r="T30" s="149">
        <f t="shared" si="5"/>
        <v>25.036292994560426</v>
      </c>
      <c r="U30" s="140">
        <f t="shared" si="12"/>
        <v>251.49614342247912</v>
      </c>
      <c r="V30" s="140">
        <f t="shared" si="6"/>
        <v>0.2145086565301943</v>
      </c>
      <c r="W30" s="142" t="s">
        <v>82</v>
      </c>
      <c r="X30" s="138">
        <f>(8*PI())/(1-2*LN(X31)+((X31^2)/6))</f>
        <v>49.918804304068132</v>
      </c>
      <c r="Y30" s="138"/>
      <c r="Z30" s="151"/>
    </row>
    <row r="31" spans="1:29" x14ac:dyDescent="0.35">
      <c r="A31" s="60"/>
      <c r="B31" s="59" t="s">
        <v>61</v>
      </c>
      <c r="C31" s="58">
        <f>[3]Collars!B24</f>
        <v>3.2782142857142857</v>
      </c>
      <c r="D31" s="56">
        <f>[3]Collars!C24</f>
        <v>3.3032222222222223</v>
      </c>
      <c r="E31" s="56">
        <f t="shared" si="11"/>
        <v>1971.2204727272729</v>
      </c>
      <c r="F31" s="56">
        <f t="shared" si="0"/>
        <v>0.53726743094689933</v>
      </c>
      <c r="G31" s="56">
        <f t="shared" si="1"/>
        <v>53.72674309468993</v>
      </c>
      <c r="H31" s="57">
        <f>[3]Collars!G24</f>
        <v>4.050291487139388</v>
      </c>
      <c r="I31" s="56">
        <f t="shared" si="13"/>
        <v>405.02914871393881</v>
      </c>
      <c r="J31" s="56">
        <f t="shared" si="2"/>
        <v>2000.1439442663645</v>
      </c>
      <c r="K31" s="56">
        <f t="shared" si="3"/>
        <v>8.6516946685437158E-6</v>
      </c>
      <c r="L31" s="159">
        <f t="shared" si="7"/>
        <v>8.6516946685437166E-3</v>
      </c>
      <c r="M31" s="160">
        <f t="shared" si="8"/>
        <v>8.7002502920944993E-3</v>
      </c>
      <c r="N31" s="161">
        <f t="shared" si="9"/>
        <v>8.7002502920944984</v>
      </c>
      <c r="O31" s="148" t="s">
        <v>76</v>
      </c>
      <c r="P31" s="138">
        <v>19</v>
      </c>
      <c r="Q31" s="138">
        <f t="shared" si="4"/>
        <v>8.6516946685437166E-3</v>
      </c>
      <c r="R31" s="138">
        <f>(8*Viscosity*Q31*(D31/1000))/($F$16*((C31/1000/2)^2))</f>
        <v>1.1718068453113545E-2</v>
      </c>
      <c r="S31" s="139">
        <f t="shared" si="10"/>
        <v>11.718068453113546</v>
      </c>
      <c r="T31" s="149">
        <f t="shared" si="5"/>
        <v>0.62295211329766509</v>
      </c>
      <c r="U31" s="140">
        <f t="shared" si="12"/>
        <v>239.77807496936558</v>
      </c>
      <c r="V31" s="140">
        <f t="shared" si="6"/>
        <v>0.20451396203190259</v>
      </c>
      <c r="W31" s="142" t="s">
        <v>83</v>
      </c>
      <c r="X31" s="138">
        <f>(PI()*X27)/X32</f>
        <v>3.4437947803332949</v>
      </c>
      <c r="Y31" s="138"/>
      <c r="Z31" s="151"/>
    </row>
    <row r="32" spans="1:29" x14ac:dyDescent="0.35">
      <c r="A32" s="54" t="s">
        <v>18</v>
      </c>
      <c r="B32" s="4" t="s">
        <v>17</v>
      </c>
      <c r="C32" s="50">
        <f>'[3]Choanocyte Chambers'!D13</f>
        <v>28.518047169811318</v>
      </c>
      <c r="D32" s="50">
        <f>C32</f>
        <v>28.518047169811318</v>
      </c>
      <c r="E32" s="50">
        <f t="shared" si="11"/>
        <v>1974.5236949494952</v>
      </c>
      <c r="F32" s="50">
        <f t="shared" si="0"/>
        <v>0.53816774308434612</v>
      </c>
      <c r="G32" s="50">
        <f t="shared" si="1"/>
        <v>53.81677430843461</v>
      </c>
      <c r="H32" s="50">
        <f>'[3]Choanocyte Chambers'!J13</f>
        <v>1.7148565296513061</v>
      </c>
      <c r="I32" s="50">
        <f t="shared" si="13"/>
        <v>171.48565296513061</v>
      </c>
      <c r="J32" s="50">
        <f t="shared" si="2"/>
        <v>846.8427306920031</v>
      </c>
      <c r="K32" s="50">
        <f t="shared" si="3"/>
        <v>2.0434295615655471E-5</v>
      </c>
      <c r="L32" s="159">
        <f t="shared" si="7"/>
        <v>2.0434295615655469E-2</v>
      </c>
      <c r="M32" s="160">
        <f t="shared" si="8"/>
        <v>1.3368206118490867E-3</v>
      </c>
      <c r="N32" s="161">
        <f t="shared" si="9"/>
        <v>1.3368206118490866</v>
      </c>
      <c r="O32" s="148" t="s">
        <v>76</v>
      </c>
      <c r="P32" s="138">
        <v>19</v>
      </c>
      <c r="Q32" s="138">
        <f t="shared" si="4"/>
        <v>2.0434295615655469E-2</v>
      </c>
      <c r="R32" s="138">
        <f>(8*Viscosity*Q32*(D32/1000))/($F$16*((C32/1000/2)^2))</f>
        <v>3.1574146585346082E-3</v>
      </c>
      <c r="S32" s="139">
        <f t="shared" si="10"/>
        <v>3.1574146585346083</v>
      </c>
      <c r="T32" s="149">
        <f t="shared" si="5"/>
        <v>0.167853442908378</v>
      </c>
      <c r="U32" s="140">
        <f t="shared" si="12"/>
        <v>236.62066031083097</v>
      </c>
      <c r="V32" s="140">
        <f t="shared" si="6"/>
        <v>0.20182090770791145</v>
      </c>
      <c r="W32" s="142" t="s">
        <v>84</v>
      </c>
      <c r="X32" s="138">
        <f>(X28*X29)/(SQRT((X28^2)+(X29^2)))</f>
        <v>9.1407184216485654E-5</v>
      </c>
      <c r="Y32" s="138"/>
      <c r="Z32" s="151"/>
    </row>
    <row r="33" spans="1:29" x14ac:dyDescent="0.35">
      <c r="A33" s="54" t="s">
        <v>16</v>
      </c>
      <c r="B33" s="4" t="s">
        <v>15</v>
      </c>
      <c r="C33" s="52">
        <f>[3]Apopyle!C14</f>
        <v>14.094890873015876</v>
      </c>
      <c r="D33" s="50">
        <v>0.5</v>
      </c>
      <c r="E33" s="50">
        <f t="shared" si="11"/>
        <v>2003.0417421193065</v>
      </c>
      <c r="F33" s="50">
        <f t="shared" si="0"/>
        <v>0.54594050019119</v>
      </c>
      <c r="G33" s="50">
        <f t="shared" si="1"/>
        <v>54.594050019119003</v>
      </c>
      <c r="H33" s="52">
        <f>[3]Apopyle!G14</f>
        <v>0.44571886137536126</v>
      </c>
      <c r="I33" s="50">
        <f t="shared" si="13"/>
        <v>44.571886137536126</v>
      </c>
      <c r="J33" s="50">
        <f t="shared" si="2"/>
        <v>220.1080796915364</v>
      </c>
      <c r="K33" s="50">
        <f t="shared" si="3"/>
        <v>7.8618807284041304E-5</v>
      </c>
      <c r="L33" s="159">
        <f t="shared" si="7"/>
        <v>7.8618807284041303E-2</v>
      </c>
      <c r="M33" s="160">
        <f t="shared" si="8"/>
        <v>2.2661986300591899E-4</v>
      </c>
      <c r="N33" s="161">
        <f t="shared" si="9"/>
        <v>0.22661986300591899</v>
      </c>
      <c r="O33" s="148" t="s">
        <v>75</v>
      </c>
      <c r="P33" s="138">
        <v>15</v>
      </c>
      <c r="Q33" s="138">
        <f t="shared" si="4"/>
        <v>7.8618807284041303E-2</v>
      </c>
      <c r="R33" s="138">
        <f>(6*PI()*Viscosity*Q33)/($F$16*(C33/1000))</f>
        <v>1.4477967917277085E-2</v>
      </c>
      <c r="S33" s="139">
        <f t="shared" si="10"/>
        <v>14.477967917277086</v>
      </c>
      <c r="T33" s="149">
        <f t="shared" si="5"/>
        <v>0.76967298376953441</v>
      </c>
      <c r="U33" s="140">
        <f t="shared" si="12"/>
        <v>222.14269239355389</v>
      </c>
      <c r="V33" s="140">
        <f t="shared" si="6"/>
        <v>0.18947221160084909</v>
      </c>
      <c r="W33" s="142" t="s">
        <v>85</v>
      </c>
      <c r="X33" s="138">
        <f>(X28*X29)/(X28+X29)</f>
        <v>6.5961734076047454E-5</v>
      </c>
      <c r="Y33" s="138"/>
      <c r="Z33" s="151"/>
    </row>
    <row r="34" spans="1:29" x14ac:dyDescent="0.35">
      <c r="A34" s="54" t="s">
        <v>14</v>
      </c>
      <c r="B34" s="4" t="s">
        <v>13</v>
      </c>
      <c r="C34" s="50">
        <f>('[3]Excurrent Canals'!C30+'[3]Excurrent Canals'!D30)/2</f>
        <v>51.887600659769078</v>
      </c>
      <c r="D34" s="50">
        <f>'[3]Excurrent Canals'!S21</f>
        <v>189.08420000000001</v>
      </c>
      <c r="E34" s="50">
        <f t="shared" si="11"/>
        <v>2003.5417421193065</v>
      </c>
      <c r="F34" s="50">
        <f t="shared" si="0"/>
        <v>0.5460767780551784</v>
      </c>
      <c r="G34" s="50">
        <f t="shared" si="1"/>
        <v>54.607677805517838</v>
      </c>
      <c r="H34" s="50">
        <f>'[3]Excurrent Canals'!K30</f>
        <v>6.7850297889605463E-2</v>
      </c>
      <c r="I34" s="50">
        <f t="shared" si="13"/>
        <v>6.7850297889605464</v>
      </c>
      <c r="J34" s="50">
        <f t="shared" si="2"/>
        <v>33.506319945484179</v>
      </c>
      <c r="K34" s="50">
        <f t="shared" si="3"/>
        <v>5.1645882708350197E-4</v>
      </c>
      <c r="L34" s="159">
        <f t="shared" si="7"/>
        <v>0.51645882708350199</v>
      </c>
      <c r="M34" s="160">
        <f t="shared" si="8"/>
        <v>2.4330231742891856E-2</v>
      </c>
      <c r="N34" s="161">
        <f t="shared" si="9"/>
        <v>24.330231742891858</v>
      </c>
      <c r="O34" s="148" t="s">
        <v>76</v>
      </c>
      <c r="P34" s="138">
        <v>19</v>
      </c>
      <c r="Q34" s="138">
        <f t="shared" si="4"/>
        <v>0.51645882708350199</v>
      </c>
      <c r="R34" s="138">
        <f>(8*Viscosity*Q34*(D34/1000))/($F$16*((C34/1000/2)^2))</f>
        <v>0.15982896946281172</v>
      </c>
      <c r="S34" s="139">
        <f t="shared" si="10"/>
        <v>159.82896946281173</v>
      </c>
      <c r="T34" s="149">
        <f t="shared" si="5"/>
        <v>8.4967752741358531</v>
      </c>
      <c r="U34" s="140">
        <f t="shared" si="12"/>
        <v>62.313722930742159</v>
      </c>
      <c r="V34" s="140">
        <f t="shared" si="6"/>
        <v>5.3149256316085178E-2</v>
      </c>
      <c r="W34" s="138"/>
      <c r="X34" s="138"/>
      <c r="Y34" s="138"/>
      <c r="Z34" s="151"/>
    </row>
    <row r="35" spans="1:29" x14ac:dyDescent="0.35">
      <c r="A35" s="55"/>
      <c r="B35" s="4" t="s">
        <v>12</v>
      </c>
      <c r="C35" s="50">
        <f>('[3]Excurrent Canals'!C29+'[3]Excurrent Canals'!D29)/2</f>
        <v>154.54222222222225</v>
      </c>
      <c r="D35" s="50">
        <f>'[3]Excurrent Canals'!R21</f>
        <v>546.32150000000001</v>
      </c>
      <c r="E35" s="50">
        <f t="shared" si="11"/>
        <v>2192.6259421193063</v>
      </c>
      <c r="F35" s="50">
        <f t="shared" si="0"/>
        <v>0.597612759835084</v>
      </c>
      <c r="G35" s="50">
        <f t="shared" si="1"/>
        <v>59.761275983508398</v>
      </c>
      <c r="H35" s="50">
        <f>'[3]Excurrent Canals'!K29</f>
        <v>6.3316560106691941E-2</v>
      </c>
      <c r="I35" s="50">
        <f t="shared" si="13"/>
        <v>6.3316560106691941</v>
      </c>
      <c r="J35" s="50">
        <f t="shared" si="2"/>
        <v>31.267437089724414</v>
      </c>
      <c r="K35" s="50">
        <f t="shared" si="3"/>
        <v>5.5343949839164205E-4</v>
      </c>
      <c r="L35" s="159">
        <f t="shared" si="7"/>
        <v>0.55343949839164208</v>
      </c>
      <c r="M35" s="160">
        <f t="shared" si="8"/>
        <v>5.2057274083195194E-2</v>
      </c>
      <c r="N35" s="161">
        <f t="shared" si="9"/>
        <v>52.057274083195196</v>
      </c>
      <c r="O35" s="148" t="s">
        <v>76</v>
      </c>
      <c r="P35" s="138">
        <v>19</v>
      </c>
      <c r="Q35" s="138">
        <f t="shared" si="4"/>
        <v>0.55343949839164208</v>
      </c>
      <c r="R35" s="138">
        <f>(8*Viscosity*Q35*(D35/1000))/($F$16*((C35/1000/2)^2))</f>
        <v>5.5784798604248918E-2</v>
      </c>
      <c r="S35" s="139">
        <f t="shared" si="10"/>
        <v>55.78479860424892</v>
      </c>
      <c r="T35" s="149">
        <f t="shared" si="5"/>
        <v>2.9656131741718861</v>
      </c>
      <c r="U35" s="140">
        <f t="shared" si="12"/>
        <v>6.5289243264932395</v>
      </c>
      <c r="V35" s="140">
        <f t="shared" si="6"/>
        <v>5.5687167477184805E-3</v>
      </c>
      <c r="W35" s="138"/>
      <c r="X35" s="138"/>
      <c r="Y35" s="138"/>
      <c r="Z35" s="151"/>
    </row>
    <row r="36" spans="1:29" x14ac:dyDescent="0.35">
      <c r="A36" s="55"/>
      <c r="B36" s="4" t="s">
        <v>11</v>
      </c>
      <c r="C36" s="50">
        <f>('[3]Excurrent Canals'!C28+'[3]Excurrent Canals'!D28)/2</f>
        <v>411.13499999999999</v>
      </c>
      <c r="D36" s="50">
        <f>'[3]Excurrent Canals'!Q21</f>
        <v>930.02700000000004</v>
      </c>
      <c r="E36" s="50">
        <f t="shared" si="11"/>
        <v>2738.9474421193063</v>
      </c>
      <c r="F36" s="50">
        <f t="shared" si="0"/>
        <v>0.74651581397694622</v>
      </c>
      <c r="G36" s="50">
        <f t="shared" si="1"/>
        <v>74.651581397694628</v>
      </c>
      <c r="H36" s="50">
        <f>'[3]Excurrent Canals'!K28</f>
        <v>0.13107467641156248</v>
      </c>
      <c r="I36" s="50">
        <f t="shared" si="13"/>
        <v>13.107467641156248</v>
      </c>
      <c r="J36" s="50">
        <f t="shared" si="2"/>
        <v>64.728235264969129</v>
      </c>
      <c r="K36" s="50">
        <f t="shared" si="3"/>
        <v>2.6734290882629021E-4</v>
      </c>
      <c r="L36" s="159">
        <f t="shared" si="7"/>
        <v>0.26734290882629019</v>
      </c>
      <c r="M36" s="160">
        <f t="shared" si="8"/>
        <v>1.3418023252514724E-2</v>
      </c>
      <c r="N36" s="161">
        <f t="shared" si="9"/>
        <v>13.418023252514724</v>
      </c>
      <c r="O36" s="148" t="s">
        <v>76</v>
      </c>
      <c r="P36" s="138">
        <v>19</v>
      </c>
      <c r="Q36" s="138">
        <f t="shared" si="4"/>
        <v>0.26734290882629019</v>
      </c>
      <c r="R36" s="138">
        <f>(8*Viscosity*Q36*(D36/1000))/($F$16*((C36/1000/2)^2))</f>
        <v>6.4816721203508863E-3</v>
      </c>
      <c r="S36" s="139">
        <f t="shared" si="10"/>
        <v>6.4816721203508862</v>
      </c>
      <c r="T36" s="149">
        <f t="shared" si="5"/>
        <v>0.34457652822486179</v>
      </c>
      <c r="U36" s="140">
        <f t="shared" si="12"/>
        <v>4.7252206142353259E-2</v>
      </c>
      <c r="V36" s="140">
        <f t="shared" si="6"/>
        <v>4.0302833752233277E-5</v>
      </c>
      <c r="W36" s="138"/>
      <c r="X36" s="138"/>
      <c r="Y36" s="138"/>
      <c r="Z36" s="151"/>
    </row>
    <row r="37" spans="1:29" x14ac:dyDescent="0.35">
      <c r="A37" s="54" t="s">
        <v>10</v>
      </c>
      <c r="B37" s="4" t="s">
        <v>9</v>
      </c>
      <c r="C37" s="50">
        <f>[3]Osculum!G18</f>
        <v>5527.2805823964381</v>
      </c>
      <c r="D37" s="50">
        <f>[3]Osculum!B21</f>
        <v>7419.4999999999991</v>
      </c>
      <c r="E37" s="50">
        <f t="shared" si="11"/>
        <v>3668.9744421193063</v>
      </c>
      <c r="F37" s="50">
        <f t="shared" si="0"/>
        <v>1</v>
      </c>
      <c r="G37" s="50">
        <f t="shared" si="1"/>
        <v>100</v>
      </c>
      <c r="H37" s="50">
        <f>(PI()*(C37/2/1000)^2)/(A16*1000)</f>
        <v>1.1510682707104589E-3</v>
      </c>
      <c r="I37" s="50">
        <f t="shared" si="13"/>
        <v>0.11510682707104589</v>
      </c>
      <c r="J37" s="50">
        <f t="shared" si="2"/>
        <v>0.5684287756594858</v>
      </c>
      <c r="K37" s="50">
        <f>B16</f>
        <v>3.0442925199999998E-2</v>
      </c>
      <c r="L37" s="159">
        <f t="shared" si="7"/>
        <v>30.442925199999998</v>
      </c>
      <c r="M37" s="160">
        <f>(8*Viscosity*L37*($D37/1000))/($F$16*(($C37/1000/2)^2))</f>
        <v>3.2578398339024463E-2</v>
      </c>
      <c r="N37" s="161">
        <f>M37*1000</f>
        <v>32.57839833902446</v>
      </c>
      <c r="O37" s="148" t="s">
        <v>86</v>
      </c>
      <c r="P37" s="138">
        <v>22</v>
      </c>
      <c r="Q37" s="138">
        <f t="shared" si="4"/>
        <v>30.442925199999998</v>
      </c>
      <c r="R37" s="138">
        <f>((Q37^2)/(2*F16))/1000</f>
        <v>4.7252206142403109E-5</v>
      </c>
      <c r="S37" s="139">
        <f t="shared" si="10"/>
        <v>4.7252206142403108E-2</v>
      </c>
      <c r="T37" s="149">
        <f t="shared" si="5"/>
        <v>2.5120062911533582E-3</v>
      </c>
      <c r="U37" s="140">
        <f t="shared" si="12"/>
        <v>-4.9849013805669529E-14</v>
      </c>
      <c r="V37" s="140">
        <f t="shared" si="6"/>
        <v>-4.2517729438285763E-17</v>
      </c>
      <c r="W37" s="138"/>
      <c r="X37" s="138"/>
      <c r="Y37" s="138"/>
      <c r="Z37" s="151"/>
    </row>
    <row r="38" spans="1:29" x14ac:dyDescent="0.35">
      <c r="C38" s="50"/>
      <c r="D38" s="50"/>
      <c r="E38" s="50"/>
      <c r="F38" s="50"/>
      <c r="G38" s="50"/>
      <c r="H38" s="50"/>
      <c r="I38" s="50"/>
      <c r="J38" s="50"/>
      <c r="K38" s="50"/>
      <c r="N38" s="162">
        <f>SUM(N23:N37)</f>
        <v>1007.7514571368654</v>
      </c>
      <c r="O38" s="148"/>
      <c r="P38" s="138"/>
      <c r="Q38" s="138">
        <f>K38*1000000</f>
        <v>0</v>
      </c>
      <c r="R38" s="138"/>
      <c r="S38" s="177">
        <f>SUM(S23:S37)</f>
        <v>1881.0544507318018</v>
      </c>
      <c r="T38" s="138"/>
      <c r="U38" s="138"/>
      <c r="V38" s="138"/>
      <c r="W38" s="138"/>
      <c r="X38" s="138"/>
      <c r="Y38" s="138"/>
      <c r="Z38" s="151"/>
    </row>
    <row r="39" spans="1:29" x14ac:dyDescent="0.35">
      <c r="O39" s="152"/>
      <c r="P39" s="153"/>
      <c r="Q39" s="153"/>
      <c r="R39" s="153"/>
      <c r="S39" s="153"/>
      <c r="T39" s="153"/>
      <c r="U39" s="153"/>
      <c r="V39" s="153"/>
      <c r="W39" s="153"/>
      <c r="X39" s="153"/>
      <c r="Y39" s="153"/>
      <c r="Z39" s="155"/>
    </row>
    <row r="40" spans="1:29" x14ac:dyDescent="0.35">
      <c r="N40" s="2"/>
      <c r="O40" s="2"/>
      <c r="P40" s="2"/>
      <c r="Q40" s="2"/>
      <c r="R40" s="2"/>
      <c r="S40" s="2"/>
      <c r="T40" s="2"/>
      <c r="U40" s="2"/>
      <c r="V40" s="2"/>
      <c r="W40" s="2"/>
    </row>
    <row r="41" spans="1:29" x14ac:dyDescent="0.35">
      <c r="H41" s="48"/>
      <c r="T41" s="2"/>
      <c r="U41" s="2"/>
      <c r="V41" s="2"/>
      <c r="W41" s="2"/>
      <c r="X41" s="2"/>
      <c r="Y41" s="2"/>
      <c r="Z41" s="2"/>
      <c r="AA41" s="2"/>
      <c r="AB41" s="2"/>
      <c r="AC41" s="2"/>
    </row>
    <row r="42" spans="1:29" x14ac:dyDescent="0.35">
      <c r="A42" t="s">
        <v>8</v>
      </c>
      <c r="H42" s="48"/>
      <c r="T42" s="2"/>
      <c r="U42" s="2"/>
      <c r="V42" s="2"/>
      <c r="W42" s="2"/>
      <c r="X42" s="2"/>
      <c r="Y42" s="2"/>
      <c r="Z42" s="2"/>
      <c r="AA42" s="2"/>
      <c r="AB42" s="2"/>
      <c r="AC42" s="2"/>
    </row>
    <row r="43" spans="1:29" x14ac:dyDescent="0.35">
      <c r="A43" t="s">
        <v>60</v>
      </c>
      <c r="C43" s="53">
        <f>[3]Haliclona!$C$43</f>
        <v>2.3180633333333303</v>
      </c>
      <c r="D43" t="s">
        <v>6</v>
      </c>
      <c r="G43" s="1"/>
      <c r="H43" s="49"/>
      <c r="T43" s="2"/>
      <c r="U43" s="2"/>
      <c r="V43" s="2"/>
      <c r="W43" s="2"/>
      <c r="X43" s="2"/>
      <c r="Y43" s="2"/>
      <c r="Z43" s="2"/>
      <c r="AA43" s="2"/>
      <c r="AB43" s="2"/>
      <c r="AC43" s="2"/>
    </row>
    <row r="44" spans="1:29" x14ac:dyDescent="0.35">
      <c r="A44" t="s">
        <v>5</v>
      </c>
      <c r="C44" s="50">
        <f>(C43/44.661)*1000</f>
        <v>51.903525074076491</v>
      </c>
      <c r="D44" t="s">
        <v>4</v>
      </c>
      <c r="G44" s="1"/>
      <c r="H44" s="49"/>
    </row>
    <row r="45" spans="1:29" x14ac:dyDescent="0.35">
      <c r="A45" t="s">
        <v>134</v>
      </c>
      <c r="C45" s="52">
        <f>C44*(C16/1000*60*60)</f>
        <v>151.312682790841</v>
      </c>
      <c r="D45" t="s">
        <v>3</v>
      </c>
      <c r="G45" s="1"/>
      <c r="H45" s="49"/>
    </row>
    <row r="46" spans="1:29" x14ac:dyDescent="0.35">
      <c r="C46" s="50">
        <f>C45*5.3333</f>
        <v>806.99593112839239</v>
      </c>
      <c r="D46" t="s">
        <v>2</v>
      </c>
      <c r="G46" s="1"/>
      <c r="H46" s="49"/>
    </row>
    <row r="47" spans="1:29" x14ac:dyDescent="0.35">
      <c r="G47" s="1"/>
      <c r="H47" s="49"/>
    </row>
    <row r="48" spans="1:29" x14ac:dyDescent="0.35">
      <c r="C48" t="s">
        <v>87</v>
      </c>
      <c r="D48" s="49"/>
      <c r="F48" t="s">
        <v>124</v>
      </c>
      <c r="G48" s="49"/>
    </row>
    <row r="49" spans="3:8" x14ac:dyDescent="0.35">
      <c r="C49" s="51">
        <f>$E$16*($F$16/1000)*($S$38/1000)*($C$17/1000/60)</f>
        <v>15.296707974126653</v>
      </c>
      <c r="D49" t="s">
        <v>1</v>
      </c>
      <c r="F49" s="51">
        <f>$E$16*($F$16/1000)*($N$38/1000)*($C$17/1000/60)</f>
        <v>8.1950204813720884</v>
      </c>
      <c r="G49" t="s">
        <v>1</v>
      </c>
    </row>
    <row r="50" spans="3:8" x14ac:dyDescent="0.35">
      <c r="C50" s="175">
        <f>$C$49/$C$46*100</f>
        <v>1.8955124039767877</v>
      </c>
      <c r="D50" t="s">
        <v>0</v>
      </c>
      <c r="F50" s="176">
        <f>$F$49/$C$46*100</f>
        <v>1.0154971252349807</v>
      </c>
      <c r="G50" t="s">
        <v>0</v>
      </c>
    </row>
    <row r="51" spans="3:8" x14ac:dyDescent="0.35">
      <c r="G51" s="1"/>
      <c r="H51" s="49"/>
    </row>
    <row r="52" spans="3:8" x14ac:dyDescent="0.35">
      <c r="G52" s="1"/>
      <c r="H52" s="49"/>
    </row>
    <row r="53" spans="3:8" x14ac:dyDescent="0.35">
      <c r="G53" s="1"/>
      <c r="H53" s="49"/>
    </row>
    <row r="54" spans="3:8" x14ac:dyDescent="0.35">
      <c r="G54" s="1"/>
      <c r="H54" s="48"/>
    </row>
  </sheetData>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4"/>
  <sheetViews>
    <sheetView topLeftCell="A9" workbookViewId="0">
      <selection activeCell="B17" sqref="B17:C17"/>
    </sheetView>
  </sheetViews>
  <sheetFormatPr defaultColWidth="11" defaultRowHeight="15.5" x14ac:dyDescent="0.35"/>
  <cols>
    <col min="1" max="1" width="27.83203125" customWidth="1"/>
    <col min="2" max="2" width="21.1640625" customWidth="1"/>
    <col min="3" max="3" width="12.1640625" bestFit="1" customWidth="1"/>
    <col min="8" max="8" width="12.1640625" bestFit="1" customWidth="1"/>
    <col min="10" max="10" width="18.83203125" customWidth="1"/>
    <col min="11" max="11" width="17.5" customWidth="1"/>
    <col min="12" max="12" width="12.1640625" bestFit="1" customWidth="1"/>
    <col min="13" max="13" width="12.5" customWidth="1"/>
    <col min="14" max="14" width="14.33203125" customWidth="1"/>
    <col min="16" max="16" width="13" customWidth="1"/>
    <col min="19" max="19" width="16.1640625" customWidth="1"/>
    <col min="20" max="20" width="16.83203125" bestFit="1" customWidth="1"/>
    <col min="21" max="21" width="13.5" customWidth="1"/>
    <col min="27" max="27" width="11.1640625" bestFit="1" customWidth="1"/>
  </cols>
  <sheetData>
    <row r="1" spans="1:15" ht="21" x14ac:dyDescent="0.5">
      <c r="A1" s="136" t="s">
        <v>117</v>
      </c>
      <c r="B1" s="3"/>
      <c r="C1" s="3"/>
      <c r="D1" s="3"/>
    </row>
    <row r="2" spans="1:15" x14ac:dyDescent="0.35">
      <c r="A2" s="6"/>
      <c r="B2" s="3"/>
      <c r="C2" s="3"/>
      <c r="D2" s="3"/>
    </row>
    <row r="3" spans="1:15" x14ac:dyDescent="0.35">
      <c r="A3" s="6" t="s">
        <v>105</v>
      </c>
      <c r="B3" s="3"/>
      <c r="C3" s="2"/>
      <c r="D3" s="3"/>
    </row>
    <row r="4" spans="1:15" x14ac:dyDescent="0.35">
      <c r="A4" s="137" t="s">
        <v>106</v>
      </c>
      <c r="B4" s="3"/>
      <c r="C4" s="2"/>
      <c r="D4" s="3"/>
    </row>
    <row r="5" spans="1:15" x14ac:dyDescent="0.35">
      <c r="A5" s="137" t="s">
        <v>107</v>
      </c>
      <c r="B5" s="3"/>
      <c r="C5" s="2"/>
      <c r="D5" s="3"/>
    </row>
    <row r="6" spans="1:15" x14ac:dyDescent="0.35">
      <c r="A6" s="137" t="s">
        <v>108</v>
      </c>
      <c r="B6" s="3"/>
      <c r="C6" s="2"/>
      <c r="D6" s="3"/>
    </row>
    <row r="7" spans="1:15" x14ac:dyDescent="0.35">
      <c r="A7" s="137"/>
      <c r="B7" s="3"/>
      <c r="C7" s="2"/>
      <c r="D7" s="3"/>
    </row>
    <row r="8" spans="1:15" x14ac:dyDescent="0.35">
      <c r="A8" s="137" t="s">
        <v>111</v>
      </c>
      <c r="C8" s="2"/>
    </row>
    <row r="9" spans="1:15" x14ac:dyDescent="0.35">
      <c r="A9" s="6"/>
      <c r="C9" s="2"/>
    </row>
    <row r="10" spans="1:15" x14ac:dyDescent="0.35">
      <c r="A10" s="137" t="s">
        <v>109</v>
      </c>
      <c r="C10" s="2"/>
    </row>
    <row r="11" spans="1:15" x14ac:dyDescent="0.35">
      <c r="A11" s="6" t="s">
        <v>110</v>
      </c>
      <c r="C11" s="2"/>
    </row>
    <row r="12" spans="1:15" x14ac:dyDescent="0.35">
      <c r="A12" s="6" t="s">
        <v>112</v>
      </c>
      <c r="C12" s="2"/>
    </row>
    <row r="13" spans="1:15" x14ac:dyDescent="0.35">
      <c r="C13" s="2"/>
    </row>
    <row r="15" spans="1:15" ht="72.5" x14ac:dyDescent="0.35">
      <c r="A15" s="47" t="s">
        <v>58</v>
      </c>
      <c r="B15" s="37" t="s">
        <v>57</v>
      </c>
      <c r="C15" s="37" t="s">
        <v>56</v>
      </c>
      <c r="D15" s="44" t="s">
        <v>55</v>
      </c>
      <c r="E15" s="46" t="s">
        <v>54</v>
      </c>
      <c r="F15" s="46" t="s">
        <v>53</v>
      </c>
      <c r="G15" s="45" t="s">
        <v>52</v>
      </c>
      <c r="H15" s="44" t="s">
        <v>131</v>
      </c>
      <c r="I15" s="44" t="s">
        <v>51</v>
      </c>
      <c r="J15" s="43" t="s">
        <v>50</v>
      </c>
      <c r="K15" s="42" t="s">
        <v>49</v>
      </c>
      <c r="L15" s="41" t="s">
        <v>48</v>
      </c>
      <c r="M15" s="40" t="s">
        <v>47</v>
      </c>
      <c r="N15" s="39"/>
      <c r="O15" s="3"/>
    </row>
    <row r="16" spans="1:15" x14ac:dyDescent="0.35">
      <c r="A16" s="88">
        <f>'[4]Sponge Volume'!H6</f>
        <v>53.482172789015443</v>
      </c>
      <c r="B16" s="87">
        <f>[4]Osculum!M17</f>
        <v>2.1946702275E-2</v>
      </c>
      <c r="C16" s="86">
        <f>[4]Osculum!N17</f>
        <v>1.36887002028015</v>
      </c>
      <c r="D16" s="85">
        <f>4.5*4.5</f>
        <v>20.25</v>
      </c>
      <c r="E16" s="84">
        <v>1024</v>
      </c>
      <c r="F16" s="33">
        <v>9806.65</v>
      </c>
      <c r="G16" s="82">
        <f>E16*9.81</f>
        <v>10045.44</v>
      </c>
      <c r="H16" s="31">
        <v>1.3504</v>
      </c>
      <c r="I16" s="31"/>
      <c r="J16" s="80">
        <f>'[4]Sponge Volume'!H5</f>
        <v>37.056703919443358</v>
      </c>
      <c r="K16" s="79">
        <f>C16*60/J16</f>
        <v>2.2163925155176818</v>
      </c>
      <c r="L16" s="79">
        <f>K16/60</f>
        <v>3.6939875258628033E-2</v>
      </c>
      <c r="M16" s="78">
        <f>(C16*3600*1000000)/(L18*L19*L20)</f>
        <v>2.4119449292992409E-3</v>
      </c>
      <c r="N16" s="27"/>
      <c r="O16" s="3"/>
    </row>
    <row r="17" spans="1:29" x14ac:dyDescent="0.35">
      <c r="A17" s="20"/>
      <c r="B17" s="17"/>
      <c r="C17" s="188">
        <f>C16*60</f>
        <v>82.132201216809008</v>
      </c>
      <c r="D17" s="20"/>
      <c r="E17" s="20"/>
      <c r="G17" s="21"/>
      <c r="H17" s="20"/>
      <c r="I17" s="20"/>
      <c r="J17" s="20"/>
      <c r="K17" s="77" t="s">
        <v>46</v>
      </c>
      <c r="L17" s="76">
        <f>[4]Collars!K16</f>
        <v>14403.187311031927</v>
      </c>
      <c r="M17" s="20"/>
    </row>
    <row r="18" spans="1:29" x14ac:dyDescent="0.35">
      <c r="A18" s="20"/>
      <c r="D18" s="21"/>
      <c r="E18" s="20"/>
      <c r="G18" s="21"/>
      <c r="H18" s="20"/>
      <c r="I18" s="20"/>
      <c r="J18" s="20"/>
      <c r="K18" s="74" t="s">
        <v>45</v>
      </c>
      <c r="L18" s="75">
        <f>L17*(J16*1000)</f>
        <v>533734647.68119365</v>
      </c>
      <c r="M18" s="20"/>
      <c r="R18" s="3"/>
    </row>
    <row r="19" spans="1:29" x14ac:dyDescent="0.35">
      <c r="A19" s="20"/>
      <c r="B19" s="20"/>
      <c r="C19" s="20"/>
      <c r="D19" s="21"/>
      <c r="E19" s="20"/>
      <c r="G19" s="21"/>
      <c r="H19" s="20"/>
      <c r="I19" s="20"/>
      <c r="J19" s="20"/>
      <c r="K19" s="74" t="s">
        <v>44</v>
      </c>
      <c r="L19" s="73">
        <f>[4]Collars!I16</f>
        <v>99</v>
      </c>
      <c r="M19" s="17"/>
      <c r="R19" s="3"/>
    </row>
    <row r="20" spans="1:29" x14ac:dyDescent="0.35">
      <c r="K20" s="72" t="s">
        <v>43</v>
      </c>
      <c r="L20" s="71">
        <f>[4]Collars!B16</f>
        <v>38.666666666666664</v>
      </c>
      <c r="R20" s="3"/>
      <c r="S20" s="2"/>
      <c r="T20" s="2"/>
      <c r="U20" s="2"/>
      <c r="V20" s="2"/>
      <c r="W20" s="2"/>
      <c r="X20" s="2"/>
      <c r="Y20" s="2"/>
      <c r="Z20" s="2"/>
      <c r="AA20" s="2"/>
      <c r="AB20" s="2"/>
      <c r="AC20" s="2"/>
    </row>
    <row r="21" spans="1:29" x14ac:dyDescent="0.35">
      <c r="R21" s="3"/>
      <c r="S21" s="2"/>
      <c r="T21" s="2"/>
      <c r="U21" s="2"/>
      <c r="V21" s="2"/>
      <c r="W21" s="2"/>
      <c r="X21" s="2"/>
      <c r="Y21" s="2"/>
      <c r="Z21" s="2"/>
      <c r="AA21" s="2"/>
      <c r="AB21" s="2"/>
      <c r="AC21" s="2"/>
    </row>
    <row r="22" spans="1:29" s="12" customFormat="1" ht="63.5" x14ac:dyDescent="0.35">
      <c r="A22" s="14" t="s">
        <v>42</v>
      </c>
      <c r="B22" s="13" t="s">
        <v>41</v>
      </c>
      <c r="C22" s="13" t="s">
        <v>40</v>
      </c>
      <c r="D22" s="13" t="s">
        <v>39</v>
      </c>
      <c r="E22" s="13" t="s">
        <v>38</v>
      </c>
      <c r="F22" s="13" t="s">
        <v>37</v>
      </c>
      <c r="G22" s="13" t="s">
        <v>36</v>
      </c>
      <c r="H22" s="13" t="s">
        <v>35</v>
      </c>
      <c r="I22" s="13" t="s">
        <v>34</v>
      </c>
      <c r="J22" s="13" t="s">
        <v>33</v>
      </c>
      <c r="K22" s="13" t="s">
        <v>63</v>
      </c>
      <c r="L22" s="156" t="s">
        <v>65</v>
      </c>
      <c r="M22" s="157" t="s">
        <v>122</v>
      </c>
      <c r="N22" s="158" t="s">
        <v>123</v>
      </c>
      <c r="O22" s="144" t="s">
        <v>71</v>
      </c>
      <c r="P22" s="145" t="s">
        <v>72</v>
      </c>
      <c r="Q22" s="145" t="s">
        <v>65</v>
      </c>
      <c r="R22" s="145" t="s">
        <v>73</v>
      </c>
      <c r="S22" s="145" t="s">
        <v>74</v>
      </c>
      <c r="T22" s="146" t="s">
        <v>32</v>
      </c>
      <c r="U22" s="145" t="s">
        <v>99</v>
      </c>
      <c r="V22" s="145" t="s">
        <v>99</v>
      </c>
      <c r="W22" s="145"/>
      <c r="X22" s="145"/>
      <c r="Y22" s="145"/>
      <c r="Z22" s="147"/>
    </row>
    <row r="23" spans="1:29" x14ac:dyDescent="0.35">
      <c r="A23" s="54" t="s">
        <v>31</v>
      </c>
      <c r="B23" s="4" t="s">
        <v>30</v>
      </c>
      <c r="C23" s="50">
        <f>([4]Ostia!B26)</f>
        <v>40.571164682539695</v>
      </c>
      <c r="D23" s="50">
        <v>0.5</v>
      </c>
      <c r="E23" s="50">
        <v>0</v>
      </c>
      <c r="F23" s="50">
        <f t="shared" ref="F23:F37" si="0">E23/$E$37</f>
        <v>0</v>
      </c>
      <c r="G23" s="50">
        <f t="shared" ref="G23:G37" si="1">F23*100</f>
        <v>0</v>
      </c>
      <c r="H23" s="50">
        <f>[4]Ostia!J26</f>
        <v>6.792354154530332E-2</v>
      </c>
      <c r="I23" s="50">
        <f>H23*$D$16</f>
        <v>1.3754517162923923</v>
      </c>
      <c r="J23" s="50">
        <f>I23/($D$16*[4]Ostia!$D$80)*100</f>
        <v>20.373219138989182</v>
      </c>
      <c r="K23" s="50">
        <f t="shared" ref="K23:K36" si="2">$K$37/(J23/$J$37)</f>
        <v>1.7597278781084098E-3</v>
      </c>
      <c r="L23" s="159">
        <f>K23*1000</f>
        <v>1.7597278781084098</v>
      </c>
      <c r="M23" s="160">
        <f t="shared" ref="M23:M37" si="3">(8*Viscosity*L23*($D23/1000))/($F$16*(($C23/1000/2)^2))</f>
        <v>2.3554413788508884E-3</v>
      </c>
      <c r="N23" s="161">
        <f>M23*1000</f>
        <v>2.3554413788508883</v>
      </c>
      <c r="O23" s="148" t="s">
        <v>75</v>
      </c>
      <c r="P23" s="138">
        <v>15</v>
      </c>
      <c r="Q23" s="138">
        <f t="shared" ref="Q23:Q37" si="4">K23*1000</f>
        <v>1.7597278781084098</v>
      </c>
      <c r="R23" s="138">
        <f>(6*PI()*Viscosity*Q23)/($F$16*(C23/1000))</f>
        <v>0.11258250712905535</v>
      </c>
      <c r="S23" s="139">
        <f>R23*1000</f>
        <v>112.58250712905534</v>
      </c>
      <c r="T23" s="149">
        <f t="shared" ref="T23:T37" si="5">S23/$S$38*100</f>
        <v>13.628465241720772</v>
      </c>
      <c r="U23" s="140">
        <f>S38-S23</f>
        <v>713.50102562565962</v>
      </c>
      <c r="V23" s="140">
        <f t="shared" ref="V23:V37" si="6">U23/$U$23</f>
        <v>1</v>
      </c>
      <c r="W23" s="141"/>
      <c r="X23" s="138"/>
      <c r="Y23" s="138"/>
      <c r="Z23" s="151"/>
    </row>
    <row r="24" spans="1:29" x14ac:dyDescent="0.35">
      <c r="A24" s="54" t="s">
        <v>29</v>
      </c>
      <c r="B24" s="70" t="s">
        <v>29</v>
      </c>
      <c r="C24" s="50">
        <f>'[4]Subdermal space'!C7</f>
        <v>176.94774999999998</v>
      </c>
      <c r="D24" s="50">
        <f>'[4]Subdermal space'!B7</f>
        <v>105.227</v>
      </c>
      <c r="E24" s="50">
        <f>D23</f>
        <v>0.5</v>
      </c>
      <c r="F24" s="50">
        <f t="shared" si="0"/>
        <v>1.1105632418513879E-4</v>
      </c>
      <c r="G24" s="50">
        <f t="shared" si="1"/>
        <v>1.1105632418513879E-2</v>
      </c>
      <c r="H24" s="50">
        <f>'[4]Subdermal space'!D7</f>
        <v>0.82526931193471098</v>
      </c>
      <c r="I24" s="50">
        <f>H24*$D$16</f>
        <v>16.711703566677897</v>
      </c>
      <c r="J24" s="50">
        <f>I24/($D$16*[4]Ostia!$D$80)*100</f>
        <v>247.53409728370198</v>
      </c>
      <c r="K24" s="50">
        <f t="shared" si="2"/>
        <v>1.4483387169324564E-4</v>
      </c>
      <c r="L24" s="159">
        <f t="shared" ref="L24:L36" si="7">K24*1000</f>
        <v>0.14483387169324563</v>
      </c>
      <c r="M24" s="160">
        <f t="shared" si="3"/>
        <v>2.1448601082776548E-3</v>
      </c>
      <c r="N24" s="161">
        <f t="shared" ref="N24:N37" si="8">M24*1000</f>
        <v>2.1448601082776548</v>
      </c>
      <c r="O24" s="148" t="s">
        <v>76</v>
      </c>
      <c r="P24" s="138">
        <v>21</v>
      </c>
      <c r="Q24" s="138">
        <f t="shared" si="4"/>
        <v>0.14483387169324563</v>
      </c>
      <c r="R24" s="138">
        <f>(12*Viscosity*Q24*(C24/1000))/($F$16*(D24/1000)^2)</f>
        <v>3.8245805048144972E-3</v>
      </c>
      <c r="S24" s="139">
        <f t="shared" ref="S24:S37" si="9">R24*1000</f>
        <v>3.8245805048144974</v>
      </c>
      <c r="T24" s="149">
        <f t="shared" si="5"/>
        <v>0.46297745363120701</v>
      </c>
      <c r="U24" s="140">
        <f>U23-S24</f>
        <v>709.67644512084507</v>
      </c>
      <c r="V24" s="140">
        <f t="shared" si="6"/>
        <v>0.99463969865851165</v>
      </c>
      <c r="W24" s="138"/>
      <c r="X24" s="138"/>
      <c r="Y24" s="138"/>
      <c r="Z24" s="151"/>
    </row>
    <row r="25" spans="1:29" x14ac:dyDescent="0.35">
      <c r="A25" s="54" t="s">
        <v>28</v>
      </c>
      <c r="B25" s="4" t="s">
        <v>27</v>
      </c>
      <c r="C25" s="50">
        <f>'[4]Incurrent Canals'!C30</f>
        <v>678.32799999999997</v>
      </c>
      <c r="D25" s="50">
        <f>'[4]Incurrent Canals'!Q24</f>
        <v>1118.278</v>
      </c>
      <c r="E25" s="50">
        <f t="shared" ref="E25:E37" si="10">E24+D24</f>
        <v>105.727</v>
      </c>
      <c r="F25" s="50">
        <f t="shared" si="0"/>
        <v>2.3483303974244338E-2</v>
      </c>
      <c r="G25" s="50">
        <f t="shared" si="1"/>
        <v>2.3483303974244341</v>
      </c>
      <c r="H25" s="50">
        <f>'[4]Incurrent Canals'!K30</f>
        <v>0.21702724917123395</v>
      </c>
      <c r="I25" s="50">
        <f>H25*100</f>
        <v>21.702724917123394</v>
      </c>
      <c r="J25" s="50">
        <f>I25/($D$16*[4]Ostia!$D$80)*100</f>
        <v>321.4612082797118</v>
      </c>
      <c r="K25" s="50">
        <f t="shared" si="2"/>
        <v>1.1152612123107528E-4</v>
      </c>
      <c r="L25" s="159">
        <f t="shared" si="7"/>
        <v>0.11152612123107529</v>
      </c>
      <c r="M25" s="160">
        <f t="shared" si="3"/>
        <v>1.1943692751885727E-3</v>
      </c>
      <c r="N25" s="161">
        <f t="shared" si="8"/>
        <v>1.1943692751885726</v>
      </c>
      <c r="O25" s="148" t="s">
        <v>76</v>
      </c>
      <c r="P25" s="138">
        <v>19</v>
      </c>
      <c r="Q25" s="138">
        <f t="shared" si="4"/>
        <v>0.11152612123107529</v>
      </c>
      <c r="R25" s="138">
        <f>(8*Viscosity*Q25*(D25/1000))/($F$16*((C25/1000/2)^2))</f>
        <v>1.1943692751885727E-3</v>
      </c>
      <c r="S25" s="139">
        <f t="shared" si="9"/>
        <v>1.1943692751885726</v>
      </c>
      <c r="T25" s="149">
        <f t="shared" si="5"/>
        <v>0.14458214306799541</v>
      </c>
      <c r="U25" s="140">
        <f t="shared" ref="U25:U37" si="11">U24-S25</f>
        <v>708.48207584565648</v>
      </c>
      <c r="V25" s="140">
        <f t="shared" si="6"/>
        <v>0.99296574272531413</v>
      </c>
      <c r="W25" s="138"/>
      <c r="X25" s="138"/>
      <c r="Y25" s="138"/>
      <c r="Z25" s="151"/>
    </row>
    <row r="26" spans="1:29" x14ac:dyDescent="0.35">
      <c r="A26" s="54"/>
      <c r="B26" s="4" t="s">
        <v>26</v>
      </c>
      <c r="C26" s="50">
        <f>'[4]Incurrent Canals'!C31</f>
        <v>169.580625</v>
      </c>
      <c r="D26" s="50">
        <f>'[4]Incurrent Canals'!R24</f>
        <v>1118.278</v>
      </c>
      <c r="E26" s="50">
        <f t="shared" si="10"/>
        <v>1224.0050000000001</v>
      </c>
      <c r="F26" s="50">
        <f t="shared" si="0"/>
        <v>0.27186699216846161</v>
      </c>
      <c r="G26" s="50">
        <f t="shared" si="1"/>
        <v>27.186699216846161</v>
      </c>
      <c r="H26" s="50">
        <f>'[4]Incurrent Canals'!K31</f>
        <v>0.24813581168118315</v>
      </c>
      <c r="I26" s="50">
        <f>H26*100</f>
        <v>24.813581168118315</v>
      </c>
      <c r="J26" s="50">
        <f>I26/($D$16*[4]Ostia!$D$80)*100</f>
        <v>367.53927511455004</v>
      </c>
      <c r="K26" s="50">
        <f t="shared" si="2"/>
        <v>9.7544192180597255E-5</v>
      </c>
      <c r="L26" s="159">
        <f t="shared" si="7"/>
        <v>9.7544192180597261E-2</v>
      </c>
      <c r="M26" s="160">
        <f t="shared" si="3"/>
        <v>1.671438749824285E-2</v>
      </c>
      <c r="N26" s="161">
        <f t="shared" si="8"/>
        <v>16.71438749824285</v>
      </c>
      <c r="O26" s="148" t="s">
        <v>76</v>
      </c>
      <c r="P26" s="138">
        <v>19</v>
      </c>
      <c r="Q26" s="138">
        <f t="shared" si="4"/>
        <v>9.7544192180597261E-2</v>
      </c>
      <c r="R26" s="138">
        <f>(8*Viscosity*Q26*(D26/1000))/($F$16*((C26/1000/2)^2))</f>
        <v>1.671438749824285E-2</v>
      </c>
      <c r="S26" s="139">
        <f t="shared" si="9"/>
        <v>16.71438749824285</v>
      </c>
      <c r="T26" s="149">
        <f t="shared" si="5"/>
        <v>2.0233289777010688</v>
      </c>
      <c r="U26" s="140">
        <f t="shared" si="11"/>
        <v>691.76768834741358</v>
      </c>
      <c r="V26" s="140">
        <f t="shared" si="6"/>
        <v>0.96953986539936876</v>
      </c>
      <c r="W26" s="138" t="s">
        <v>77</v>
      </c>
      <c r="X26" s="138"/>
      <c r="Y26" s="138"/>
      <c r="Z26" s="151"/>
    </row>
    <row r="27" spans="1:29" x14ac:dyDescent="0.35">
      <c r="A27" s="54"/>
      <c r="B27" s="4" t="s">
        <v>25</v>
      </c>
      <c r="C27" s="50">
        <f>'[4]Incurrent Canals'!C32</f>
        <v>34.714500000000001</v>
      </c>
      <c r="D27" s="50">
        <f>'[4]Incurrent Canals'!S24</f>
        <v>68.858999999999995</v>
      </c>
      <c r="E27" s="50">
        <f t="shared" si="10"/>
        <v>2342.2830000000004</v>
      </c>
      <c r="F27" s="50">
        <f t="shared" si="0"/>
        <v>0.52025068036267896</v>
      </c>
      <c r="G27" s="50">
        <f t="shared" si="1"/>
        <v>52.025068036267896</v>
      </c>
      <c r="H27" s="50">
        <f>'[4]Incurrent Canals'!K32</f>
        <v>3.6625672769438566E-2</v>
      </c>
      <c r="I27" s="50">
        <f>'[4]Incurrent Canals'!M32</f>
        <v>3.6625672769438564</v>
      </c>
      <c r="J27" s="50">
        <f>I27/($D$16*[4]Ostia!$D$80)*100</f>
        <v>54.250021909606453</v>
      </c>
      <c r="K27" s="50">
        <f t="shared" si="2"/>
        <v>6.6085358906265465E-4</v>
      </c>
      <c r="L27" s="159">
        <f t="shared" si="7"/>
        <v>0.66085358906265468</v>
      </c>
      <c r="M27" s="160">
        <f t="shared" si="3"/>
        <v>0.16639331249100897</v>
      </c>
      <c r="N27" s="161">
        <f t="shared" si="8"/>
        <v>166.39331249100897</v>
      </c>
      <c r="O27" s="148" t="s">
        <v>76</v>
      </c>
      <c r="P27" s="138">
        <v>19</v>
      </c>
      <c r="Q27" s="138">
        <f t="shared" si="4"/>
        <v>0.66085358906265468</v>
      </c>
      <c r="R27" s="138">
        <f>(8*Viscosity*Q27*(D27/1000))/($F$16*((C27/1000/2)^2))</f>
        <v>0.16639331249100897</v>
      </c>
      <c r="S27" s="139">
        <f t="shared" si="9"/>
        <v>166.39331249100897</v>
      </c>
      <c r="T27" s="149">
        <f t="shared" si="5"/>
        <v>20.142431835693706</v>
      </c>
      <c r="U27" s="140">
        <f t="shared" si="11"/>
        <v>525.37437585640464</v>
      </c>
      <c r="V27" s="140">
        <f t="shared" si="6"/>
        <v>0.73633303525486993</v>
      </c>
      <c r="W27" s="142" t="s">
        <v>78</v>
      </c>
      <c r="X27" s="138">
        <f>[4]Collars!C16/1000</f>
        <v>8.5761904761904781E-5</v>
      </c>
      <c r="Y27" s="138" t="s">
        <v>113</v>
      </c>
      <c r="Z27" s="151"/>
    </row>
    <row r="28" spans="1:29" x14ac:dyDescent="0.35">
      <c r="A28" s="54" t="s">
        <v>24</v>
      </c>
      <c r="B28" s="4" t="s">
        <v>23</v>
      </c>
      <c r="C28" s="50">
        <f>([4]Prosopyles!B16+[4]Prosopyles!C16)/2</f>
        <v>4.5172142857142861</v>
      </c>
      <c r="D28" s="50">
        <f>0.5</f>
        <v>0.5</v>
      </c>
      <c r="E28" s="50">
        <f t="shared" si="10"/>
        <v>2411.1420000000003</v>
      </c>
      <c r="F28" s="50">
        <f t="shared" si="0"/>
        <v>0.53554513521680791</v>
      </c>
      <c r="G28" s="50">
        <f t="shared" si="1"/>
        <v>53.554513521680789</v>
      </c>
      <c r="H28" s="52">
        <f>[4]Prosopyles!E24</f>
        <v>1.7169405653593237</v>
      </c>
      <c r="I28" s="50">
        <f t="shared" ref="I28:I37" si="12">H28*100</f>
        <v>171.69405653593236</v>
      </c>
      <c r="J28" s="50">
        <f>I28/($D$16*[4]Ostia!$D$80)*100</f>
        <v>2543.1359001808501</v>
      </c>
      <c r="K28" s="50">
        <f t="shared" si="2"/>
        <v>1.4097288974270539E-5</v>
      </c>
      <c r="L28" s="159">
        <f t="shared" si="7"/>
        <v>1.4097288974270539E-2</v>
      </c>
      <c r="M28" s="160">
        <f t="shared" si="3"/>
        <v>1.5221447452683637E-3</v>
      </c>
      <c r="N28" s="161">
        <f t="shared" si="8"/>
        <v>1.5221447452683639</v>
      </c>
      <c r="O28" s="148" t="s">
        <v>75</v>
      </c>
      <c r="P28" s="138">
        <v>15</v>
      </c>
      <c r="Q28" s="138">
        <f t="shared" si="4"/>
        <v>1.4097288974270539E-2</v>
      </c>
      <c r="R28" s="138">
        <f>(6*PI()*Viscosity*Q28)/($F$16*(C28/1000))</f>
        <v>8.1004246412422522E-3</v>
      </c>
      <c r="S28" s="139">
        <f t="shared" si="9"/>
        <v>8.1004246412422525</v>
      </c>
      <c r="T28" s="149">
        <f t="shared" si="5"/>
        <v>0.9805817838094435</v>
      </c>
      <c r="U28" s="140">
        <f t="shared" si="11"/>
        <v>517.27395121516236</v>
      </c>
      <c r="V28" s="140">
        <f t="shared" si="6"/>
        <v>0.7249799686854993</v>
      </c>
      <c r="W28" s="142" t="s">
        <v>79</v>
      </c>
      <c r="X28" s="138">
        <f>[4]Collars!D16/1000</f>
        <v>6.6210526315789472E-5</v>
      </c>
      <c r="Y28" s="138" t="s">
        <v>114</v>
      </c>
      <c r="Z28" s="151"/>
    </row>
    <row r="29" spans="1:29" x14ac:dyDescent="0.35">
      <c r="A29" s="69" t="s">
        <v>22</v>
      </c>
      <c r="B29" s="68" t="s">
        <v>62</v>
      </c>
      <c r="C29" s="67">
        <f>[4]Collars!B22</f>
        <v>1.5851666666666666</v>
      </c>
      <c r="D29" s="65">
        <f>[4]Collars!C22</f>
        <v>2.2294166666666668</v>
      </c>
      <c r="E29" s="65">
        <f t="shared" si="10"/>
        <v>2411.6420000000003</v>
      </c>
      <c r="F29" s="65">
        <f t="shared" si="0"/>
        <v>0.53565619154099298</v>
      </c>
      <c r="G29" s="65">
        <f t="shared" si="1"/>
        <v>53.565619154099295</v>
      </c>
      <c r="H29" s="66">
        <f>[4]Collars!G22</f>
        <v>5.0391812342104823</v>
      </c>
      <c r="I29" s="65">
        <f t="shared" si="12"/>
        <v>503.91812342104822</v>
      </c>
      <c r="J29" s="65">
        <f>I29/($D$16*[4]Ostia!$D$80)*100</f>
        <v>7464.0456185833746</v>
      </c>
      <c r="K29" s="65">
        <f t="shared" si="2"/>
        <v>4.8032023808149522E-6</v>
      </c>
      <c r="L29" s="159">
        <f t="shared" si="7"/>
        <v>4.803202380814952E-3</v>
      </c>
      <c r="M29" s="160">
        <f t="shared" si="3"/>
        <v>1.877863405413557E-2</v>
      </c>
      <c r="N29" s="161">
        <f t="shared" si="8"/>
        <v>18.778634054135569</v>
      </c>
      <c r="O29" s="148" t="s">
        <v>76</v>
      </c>
      <c r="P29" s="138">
        <v>19</v>
      </c>
      <c r="Q29" s="138">
        <f t="shared" si="4"/>
        <v>4.803202380814952E-3</v>
      </c>
      <c r="R29" s="138">
        <f>(8*Viscosity*Q29*(D29/1000))/($F$16*((C29/1000/2)^2))</f>
        <v>1.877863405413557E-2</v>
      </c>
      <c r="S29" s="139">
        <f t="shared" si="9"/>
        <v>18.778634054135569</v>
      </c>
      <c r="T29" s="149">
        <f t="shared" si="5"/>
        <v>2.2732124911768965</v>
      </c>
      <c r="U29" s="140">
        <f t="shared" si="11"/>
        <v>498.49531716102678</v>
      </c>
      <c r="V29" s="140">
        <f t="shared" si="6"/>
        <v>0.69866096789966459</v>
      </c>
      <c r="W29" s="142" t="s">
        <v>80</v>
      </c>
      <c r="X29" s="138">
        <f>[4]Collars!F16/1000</f>
        <v>5.8999999999999998E-5</v>
      </c>
      <c r="Y29" s="138" t="s">
        <v>115</v>
      </c>
      <c r="Z29" s="151"/>
    </row>
    <row r="30" spans="1:29" x14ac:dyDescent="0.35">
      <c r="A30" s="64"/>
      <c r="B30" s="63" t="s">
        <v>20</v>
      </c>
      <c r="C30" s="62">
        <f>[4]Collars!F16</f>
        <v>5.8999999999999997E-2</v>
      </c>
      <c r="D30" s="61">
        <f>[4]Collars!C16</f>
        <v>8.5761904761904775E-2</v>
      </c>
      <c r="E30" s="61">
        <f t="shared" si="10"/>
        <v>2413.8714166666668</v>
      </c>
      <c r="F30" s="61">
        <f t="shared" si="0"/>
        <v>0.53615137318114714</v>
      </c>
      <c r="G30" s="61">
        <f t="shared" si="1"/>
        <v>53.615137318114712</v>
      </c>
      <c r="H30" s="61">
        <f>[4]Collars!M16</f>
        <v>12.368042803010773</v>
      </c>
      <c r="I30" s="61">
        <f t="shared" si="12"/>
        <v>1236.8042803010774</v>
      </c>
      <c r="J30" s="50">
        <f>I30/($D$16*[4]Ostia!$D$80)*100</f>
        <v>18319.570462666208</v>
      </c>
      <c r="K30" s="61">
        <f>$K$37/(J30/$J$37)</f>
        <v>1.9569957581021426E-6</v>
      </c>
      <c r="L30" s="159">
        <f t="shared" si="7"/>
        <v>1.9569957581021427E-3</v>
      </c>
      <c r="M30" s="160">
        <f t="shared" si="3"/>
        <v>0.21245747276325061</v>
      </c>
      <c r="N30" s="161">
        <f t="shared" si="8"/>
        <v>212.45747276325062</v>
      </c>
      <c r="O30" s="148" t="s">
        <v>81</v>
      </c>
      <c r="P30" s="138">
        <v>17</v>
      </c>
      <c r="Q30" s="138">
        <f t="shared" si="4"/>
        <v>1.9569957581021427E-3</v>
      </c>
      <c r="R30" s="138">
        <f>(X30*Viscosity*Q29)/(F16*X33)</f>
        <v>0.14745247049072466</v>
      </c>
      <c r="S30" s="139">
        <f t="shared" si="9"/>
        <v>147.45247049072466</v>
      </c>
      <c r="T30" s="149">
        <f t="shared" si="5"/>
        <v>17.849583564390819</v>
      </c>
      <c r="U30" s="140">
        <f t="shared" si="11"/>
        <v>351.04284667030208</v>
      </c>
      <c r="V30" s="140">
        <f t="shared" si="6"/>
        <v>0.49200047941413572</v>
      </c>
      <c r="W30" s="142" t="s">
        <v>82</v>
      </c>
      <c r="X30" s="138">
        <f>(8*PI())/(1-2*LN(X31)+((X31^2)/6))</f>
        <v>6.9553281473275126</v>
      </c>
      <c r="Y30" s="138"/>
      <c r="Z30" s="151"/>
    </row>
    <row r="31" spans="1:29" x14ac:dyDescent="0.35">
      <c r="A31" s="60"/>
      <c r="B31" s="59" t="s">
        <v>61</v>
      </c>
      <c r="C31" s="58">
        <f>[4]Collars!B23</f>
        <v>2.2294166666666668</v>
      </c>
      <c r="D31" s="56">
        <f>[4]Collars!C23</f>
        <v>3.3879999999999999</v>
      </c>
      <c r="E31" s="56">
        <f t="shared" si="10"/>
        <v>2413.9571785714288</v>
      </c>
      <c r="F31" s="56">
        <f t="shared" si="0"/>
        <v>0.53617042198494314</v>
      </c>
      <c r="G31" s="56">
        <f t="shared" si="1"/>
        <v>53.61704219849431</v>
      </c>
      <c r="H31" s="57">
        <f>[4]Collars!G23</f>
        <v>10.77031606866057</v>
      </c>
      <c r="I31" s="56">
        <f t="shared" si="12"/>
        <v>1077.031606866057</v>
      </c>
      <c r="J31" s="56">
        <f>I31/($D$16*[4]Ostia!$D$80)*100</f>
        <v>15953.014334408877</v>
      </c>
      <c r="K31" s="56">
        <f t="shared" si="2"/>
        <v>2.2473070564704351E-6</v>
      </c>
      <c r="L31" s="159">
        <f t="shared" si="7"/>
        <v>2.2473070564704351E-3</v>
      </c>
      <c r="M31" s="160">
        <f t="shared" si="3"/>
        <v>6.7501754658313038E-3</v>
      </c>
      <c r="N31" s="161">
        <f t="shared" si="8"/>
        <v>6.7501754658313038</v>
      </c>
      <c r="O31" s="148" t="s">
        <v>76</v>
      </c>
      <c r="P31" s="138">
        <v>19</v>
      </c>
      <c r="Q31" s="138">
        <f t="shared" si="4"/>
        <v>2.2473070564704351E-3</v>
      </c>
      <c r="R31" s="138">
        <f>(8*Viscosity*Q31*(D31/1000))/($F$16*((C31/1000/2)^2))</f>
        <v>6.7501754658313038E-3</v>
      </c>
      <c r="S31" s="139">
        <f t="shared" si="9"/>
        <v>6.7501754658313038</v>
      </c>
      <c r="T31" s="149">
        <f t="shared" si="5"/>
        <v>0.81712989040245176</v>
      </c>
      <c r="U31" s="140">
        <f t="shared" si="11"/>
        <v>344.29267120447076</v>
      </c>
      <c r="V31" s="140">
        <f t="shared" si="6"/>
        <v>0.48253984064362776</v>
      </c>
      <c r="W31" s="142" t="s">
        <v>83</v>
      </c>
      <c r="X31" s="138">
        <f>(PI()*X27)/X32</f>
        <v>6.1165990594595394</v>
      </c>
      <c r="Y31" s="138"/>
      <c r="Z31" s="151"/>
    </row>
    <row r="32" spans="1:29" x14ac:dyDescent="0.35">
      <c r="A32" s="54" t="s">
        <v>18</v>
      </c>
      <c r="B32" s="4" t="s">
        <v>17</v>
      </c>
      <c r="C32" s="50">
        <f>'[4]Choanocyte Chambers'!D13</f>
        <v>21.108786556036556</v>
      </c>
      <c r="D32" s="50">
        <f>C32</f>
        <v>21.108786556036556</v>
      </c>
      <c r="E32" s="50">
        <f t="shared" si="10"/>
        <v>2417.3451785714287</v>
      </c>
      <c r="F32" s="50">
        <f t="shared" si="0"/>
        <v>0.53692293963762161</v>
      </c>
      <c r="G32" s="50">
        <f t="shared" si="1"/>
        <v>53.692293963762161</v>
      </c>
      <c r="H32" s="50">
        <f>'[4]Choanocyte Chambers'!J13</f>
        <v>4.8796611168727608</v>
      </c>
      <c r="I32" s="50">
        <f t="shared" si="12"/>
        <v>487.96611168727611</v>
      </c>
      <c r="J32" s="50">
        <f>I32/($D$16*[4]Ostia!$D$80)*100</f>
        <v>7227.7640923689132</v>
      </c>
      <c r="K32" s="50">
        <f t="shared" si="2"/>
        <v>4.9602229994671476E-6</v>
      </c>
      <c r="L32" s="159">
        <f t="shared" si="7"/>
        <v>4.9602229994671473E-3</v>
      </c>
      <c r="M32" s="160">
        <f t="shared" si="3"/>
        <v>1.0354512703760221E-3</v>
      </c>
      <c r="N32" s="161">
        <f t="shared" si="8"/>
        <v>1.0354512703760221</v>
      </c>
      <c r="O32" s="148" t="s">
        <v>76</v>
      </c>
      <c r="P32" s="138">
        <v>19</v>
      </c>
      <c r="Q32" s="138">
        <f t="shared" si="4"/>
        <v>4.9602229994671473E-3</v>
      </c>
      <c r="R32" s="138">
        <f>(8*Viscosity*Q32*(D32/1000))/($F$16*((C32/1000/2)^2))</f>
        <v>1.0354512703760221E-3</v>
      </c>
      <c r="S32" s="139">
        <f t="shared" si="9"/>
        <v>1.0354512703760221</v>
      </c>
      <c r="T32" s="149">
        <f t="shared" si="5"/>
        <v>0.12534462064909285</v>
      </c>
      <c r="U32" s="140">
        <f t="shared" si="11"/>
        <v>343.25721993409473</v>
      </c>
      <c r="V32" s="140">
        <f t="shared" si="6"/>
        <v>0.48108861460023411</v>
      </c>
      <c r="W32" s="142" t="s">
        <v>84</v>
      </c>
      <c r="X32" s="138">
        <f>(X28*X29)/(SQRT((X28^2)+(X29^2)))</f>
        <v>4.4048819832515585E-5</v>
      </c>
      <c r="Y32" s="138"/>
      <c r="Z32" s="151"/>
    </row>
    <row r="33" spans="1:29" x14ac:dyDescent="0.35">
      <c r="A33" s="54" t="s">
        <v>16</v>
      </c>
      <c r="B33" s="4" t="s">
        <v>15</v>
      </c>
      <c r="C33" s="52">
        <f>[4]Apopyle!D14</f>
        <v>0.90052500000000002</v>
      </c>
      <c r="D33" s="50">
        <v>0.5</v>
      </c>
      <c r="E33" s="50">
        <f t="shared" si="10"/>
        <v>2438.4539651274654</v>
      </c>
      <c r="F33" s="50">
        <f t="shared" si="0"/>
        <v>0.54161146812346583</v>
      </c>
      <c r="G33" s="50">
        <f t="shared" si="1"/>
        <v>54.161146812346587</v>
      </c>
      <c r="H33" s="52">
        <f>[4]Apopyle!I14</f>
        <v>1.1031063815767019</v>
      </c>
      <c r="I33" s="50">
        <f t="shared" si="12"/>
        <v>110.3106381576702</v>
      </c>
      <c r="J33" s="50">
        <f>I33/($D$16*[4]Ostia!$D$80)*100</f>
        <v>1633.9234434240298</v>
      </c>
      <c r="K33" s="50">
        <f t="shared" si="2"/>
        <v>2.1941861370543464E-5</v>
      </c>
      <c r="L33" s="159">
        <f t="shared" si="7"/>
        <v>2.1941861370543464E-2</v>
      </c>
      <c r="M33" s="160">
        <f t="shared" si="3"/>
        <v>5.9613367467724783E-2</v>
      </c>
      <c r="N33" s="161">
        <f t="shared" si="8"/>
        <v>59.613367467724785</v>
      </c>
      <c r="O33" s="148" t="s">
        <v>75</v>
      </c>
      <c r="P33" s="138">
        <v>15</v>
      </c>
      <c r="Q33" s="138">
        <f t="shared" si="4"/>
        <v>2.1941861370543464E-2</v>
      </c>
      <c r="R33" s="138">
        <f>(6*PI()*Viscosity*Q33)/($F$16*(C33/1000))</f>
        <v>6.3244180516761062E-2</v>
      </c>
      <c r="S33" s="139">
        <f t="shared" si="9"/>
        <v>63.244180516761062</v>
      </c>
      <c r="T33" s="149">
        <f t="shared" si="5"/>
        <v>7.6559062139712033</v>
      </c>
      <c r="U33" s="140">
        <f t="shared" si="11"/>
        <v>280.01303941733369</v>
      </c>
      <c r="V33" s="140">
        <f t="shared" si="6"/>
        <v>0.39244938600024287</v>
      </c>
      <c r="W33" s="142" t="s">
        <v>85</v>
      </c>
      <c r="X33" s="138">
        <f>(X28*X29)/(X28+X29)</f>
        <v>3.1198823034888616E-5</v>
      </c>
      <c r="Y33" s="138"/>
      <c r="Z33" s="151"/>
    </row>
    <row r="34" spans="1:29" x14ac:dyDescent="0.35">
      <c r="A34" s="54" t="s">
        <v>14</v>
      </c>
      <c r="B34" s="4" t="s">
        <v>13</v>
      </c>
      <c r="C34" s="50">
        <f>('[4]Excurrent Canals'!C28+'[4]Excurrent Canals'!D28)/2</f>
        <v>34.867312499999997</v>
      </c>
      <c r="D34" s="50">
        <f>'[4]Excurrent Canals'!S21</f>
        <v>74.353999999999999</v>
      </c>
      <c r="E34" s="50">
        <f t="shared" si="10"/>
        <v>2438.9539651274654</v>
      </c>
      <c r="F34" s="50">
        <f t="shared" si="0"/>
        <v>0.5417225244476509</v>
      </c>
      <c r="G34" s="50">
        <f t="shared" si="1"/>
        <v>54.172252444765093</v>
      </c>
      <c r="H34" s="50">
        <f>'[4]Excurrent Canals'!K28</f>
        <v>2.4702616351275838E-2</v>
      </c>
      <c r="I34" s="50">
        <f t="shared" si="12"/>
        <v>2.4702616351275837</v>
      </c>
      <c r="J34" s="50">
        <f>I34/($D$16*[4]Ostia!$D$80)*100</f>
        <v>36.589566196297866</v>
      </c>
      <c r="K34" s="50">
        <f t="shared" si="2"/>
        <v>9.7982363314595721E-4</v>
      </c>
      <c r="L34" s="159">
        <f t="shared" si="7"/>
        <v>0.97982363314595722</v>
      </c>
      <c r="M34" s="160">
        <f t="shared" si="3"/>
        <v>0.26406268273222189</v>
      </c>
      <c r="N34" s="161">
        <f t="shared" si="8"/>
        <v>264.0626827322219</v>
      </c>
      <c r="O34" s="148" t="s">
        <v>76</v>
      </c>
      <c r="P34" s="138">
        <v>19</v>
      </c>
      <c r="Q34" s="138">
        <f t="shared" si="4"/>
        <v>0.97982363314595722</v>
      </c>
      <c r="R34" s="138">
        <f>(8*Viscosity*Q34*(D34/1000))/($F$16*((C34/1000/2)^2))</f>
        <v>0.26406268273222189</v>
      </c>
      <c r="S34" s="139">
        <f t="shared" si="9"/>
        <v>264.0626827322219</v>
      </c>
      <c r="T34" s="149">
        <f t="shared" si="5"/>
        <v>31.965615129944585</v>
      </c>
      <c r="U34" s="140">
        <f t="shared" si="11"/>
        <v>15.950356685111785</v>
      </c>
      <c r="V34" s="140">
        <f t="shared" si="6"/>
        <v>2.2355057823673242E-2</v>
      </c>
      <c r="W34" s="138"/>
      <c r="X34" s="138"/>
      <c r="Y34" s="138"/>
      <c r="Z34" s="151"/>
    </row>
    <row r="35" spans="1:29" x14ac:dyDescent="0.35">
      <c r="A35" s="55"/>
      <c r="B35" s="4" t="s">
        <v>12</v>
      </c>
      <c r="C35" s="50">
        <f>C26</f>
        <v>169.580625</v>
      </c>
      <c r="D35" s="50">
        <f>'[4]Excurrent Canals'!R21</f>
        <v>994.45600000000002</v>
      </c>
      <c r="E35" s="50">
        <f t="shared" si="10"/>
        <v>2513.3079651274652</v>
      </c>
      <c r="F35" s="50">
        <f t="shared" si="0"/>
        <v>0.55823748830457454</v>
      </c>
      <c r="G35" s="50">
        <f t="shared" si="1"/>
        <v>55.823748830457454</v>
      </c>
      <c r="H35" s="50">
        <f>H26</f>
        <v>0.24813581168118315</v>
      </c>
      <c r="I35" s="50">
        <f t="shared" si="12"/>
        <v>24.813581168118315</v>
      </c>
      <c r="J35" s="50">
        <f>I35/($D$16*[4]Ostia!$D$80)*100</f>
        <v>367.53927511455004</v>
      </c>
      <c r="K35" s="50">
        <f t="shared" si="2"/>
        <v>9.7544192180597255E-5</v>
      </c>
      <c r="L35" s="159">
        <f t="shared" si="7"/>
        <v>9.7544192180597261E-2</v>
      </c>
      <c r="M35" s="160">
        <f t="shared" si="3"/>
        <v>1.4863676951484862E-2</v>
      </c>
      <c r="N35" s="161">
        <f t="shared" si="8"/>
        <v>14.863676951484862</v>
      </c>
      <c r="O35" s="148" t="s">
        <v>76</v>
      </c>
      <c r="P35" s="138">
        <v>19</v>
      </c>
      <c r="Q35" s="138">
        <f t="shared" si="4"/>
        <v>9.7544192180597261E-2</v>
      </c>
      <c r="R35" s="138">
        <f>(8*Viscosity*Q35*(D35/1000))/($F$16*((C35/1000/2)^2))</f>
        <v>1.4863676951484862E-2</v>
      </c>
      <c r="S35" s="139">
        <f t="shared" si="9"/>
        <v>14.863676951484862</v>
      </c>
      <c r="T35" s="149">
        <f t="shared" si="5"/>
        <v>1.7992946672014418</v>
      </c>
      <c r="U35" s="140">
        <f t="shared" si="11"/>
        <v>1.0866797336269229</v>
      </c>
      <c r="V35" s="140">
        <f t="shared" si="6"/>
        <v>1.5230247674472897E-3</v>
      </c>
      <c r="W35" s="138"/>
      <c r="X35" s="138"/>
      <c r="Y35" s="138"/>
      <c r="Z35" s="151"/>
    </row>
    <row r="36" spans="1:29" x14ac:dyDescent="0.35">
      <c r="A36" s="55"/>
      <c r="B36" s="4" t="s">
        <v>11</v>
      </c>
      <c r="C36" s="50">
        <f>C25</f>
        <v>678.32799999999997</v>
      </c>
      <c r="D36" s="50">
        <f>D35</f>
        <v>994.45600000000002</v>
      </c>
      <c r="E36" s="50">
        <f t="shared" si="10"/>
        <v>3507.7639651274653</v>
      </c>
      <c r="F36" s="50">
        <f t="shared" si="0"/>
        <v>0.77911874415228732</v>
      </c>
      <c r="G36" s="50">
        <f t="shared" si="1"/>
        <v>77.911874415228738</v>
      </c>
      <c r="H36" s="50">
        <f>H25</f>
        <v>0.21702724917123395</v>
      </c>
      <c r="I36" s="50">
        <f t="shared" si="12"/>
        <v>21.702724917123394</v>
      </c>
      <c r="J36" s="50">
        <f>I36/($D$16*[4]Ostia!$D$80)*100</f>
        <v>321.4612082797118</v>
      </c>
      <c r="K36" s="50">
        <f t="shared" si="2"/>
        <v>1.1152612123107528E-4</v>
      </c>
      <c r="L36" s="159">
        <f t="shared" si="7"/>
        <v>0.11152612123107529</v>
      </c>
      <c r="M36" s="160">
        <f t="shared" si="3"/>
        <v>1.0621220232598042E-3</v>
      </c>
      <c r="N36" s="161">
        <f t="shared" si="8"/>
        <v>1.0621220232598043</v>
      </c>
      <c r="O36" s="148" t="s">
        <v>76</v>
      </c>
      <c r="P36" s="138">
        <v>19</v>
      </c>
      <c r="Q36" s="138">
        <f t="shared" si="4"/>
        <v>0.11152612123107529</v>
      </c>
      <c r="R36" s="138">
        <f>(8*Viscosity*Q36*(D36/1000))/($F$16*((C36/1000/2)^2))</f>
        <v>1.0621220232598042E-3</v>
      </c>
      <c r="S36" s="139">
        <f t="shared" si="9"/>
        <v>1.0621220232598043</v>
      </c>
      <c r="T36" s="149">
        <f t="shared" si="5"/>
        <v>0.12857319885290283</v>
      </c>
      <c r="U36" s="140">
        <f t="shared" si="11"/>
        <v>2.4557710367118624E-2</v>
      </c>
      <c r="V36" s="140">
        <f t="shared" si="6"/>
        <v>3.4418605559234187E-5</v>
      </c>
      <c r="W36" s="138"/>
      <c r="X36" s="138"/>
      <c r="Y36" s="138"/>
      <c r="Z36" s="151"/>
    </row>
    <row r="37" spans="1:29" x14ac:dyDescent="0.35">
      <c r="A37" s="54" t="s">
        <v>10</v>
      </c>
      <c r="B37" s="4" t="s">
        <v>9</v>
      </c>
      <c r="C37" s="50">
        <f>[4]Osculum!G17</f>
        <v>8666.0337602158215</v>
      </c>
      <c r="D37" s="50">
        <f>[4]Osculum!B19</f>
        <v>2184</v>
      </c>
      <c r="E37" s="50">
        <f t="shared" si="10"/>
        <v>4502.219965127465</v>
      </c>
      <c r="F37" s="50">
        <f t="shared" si="0"/>
        <v>1</v>
      </c>
      <c r="G37" s="50">
        <f t="shared" si="1"/>
        <v>100</v>
      </c>
      <c r="H37" s="50">
        <f>(PI()*(C37/2/1000)^2)/(A16*1000)</f>
        <v>1.1028630633536862E-3</v>
      </c>
      <c r="I37" s="50">
        <f t="shared" si="12"/>
        <v>0.11028630633536862</v>
      </c>
      <c r="J37" s="50">
        <f>I37/($D$16*[4]Ostia!$D$80)*100</f>
        <v>1.6335630399711647</v>
      </c>
      <c r="K37" s="50">
        <f>B16</f>
        <v>2.1946702275E-2</v>
      </c>
      <c r="L37" s="159">
        <f>K37*1000</f>
        <v>21.946702275</v>
      </c>
      <c r="M37" s="160">
        <f t="shared" si="3"/>
        <v>2.8123727743396294E-3</v>
      </c>
      <c r="N37" s="161">
        <f t="shared" si="8"/>
        <v>2.8123727743396292</v>
      </c>
      <c r="O37" s="148" t="s">
        <v>86</v>
      </c>
      <c r="P37" s="138">
        <v>22</v>
      </c>
      <c r="Q37" s="138">
        <f t="shared" si="4"/>
        <v>21.946702275</v>
      </c>
      <c r="R37" s="138">
        <f>((Q37^2)/(2*F16))/1000</f>
        <v>2.4557710367326772E-5</v>
      </c>
      <c r="S37" s="139">
        <f t="shared" si="9"/>
        <v>2.4557710367326773E-2</v>
      </c>
      <c r="T37" s="149">
        <f t="shared" si="5"/>
        <v>2.9727877864160956E-3</v>
      </c>
      <c r="U37" s="140">
        <f t="shared" si="11"/>
        <v>-2.0814946988245708E-13</v>
      </c>
      <c r="V37" s="140">
        <f t="shared" si="6"/>
        <v>-2.9172974166355762E-16</v>
      </c>
      <c r="W37" s="138"/>
      <c r="X37" s="138"/>
      <c r="Y37" s="138"/>
      <c r="Z37" s="151"/>
    </row>
    <row r="38" spans="1:29" x14ac:dyDescent="0.35">
      <c r="C38" s="50"/>
      <c r="D38" s="50"/>
      <c r="E38" s="50"/>
      <c r="F38" s="50"/>
      <c r="G38" s="50"/>
      <c r="H38" s="50"/>
      <c r="I38" s="50"/>
      <c r="J38" s="50"/>
      <c r="K38" s="50"/>
      <c r="N38" s="162">
        <f>SUM(N23:N37)</f>
        <v>771.76047099946186</v>
      </c>
      <c r="O38" s="152"/>
      <c r="P38" s="153"/>
      <c r="Q38" s="153">
        <f>K38*1000000</f>
        <v>0</v>
      </c>
      <c r="R38" s="153"/>
      <c r="S38" s="154">
        <f>SUM(S23:S37)</f>
        <v>826.08353275471495</v>
      </c>
      <c r="T38" s="153"/>
      <c r="U38" s="153"/>
      <c r="V38" s="153"/>
      <c r="W38" s="153"/>
      <c r="X38" s="153"/>
      <c r="Y38" s="153"/>
      <c r="Z38" s="155"/>
    </row>
    <row r="39" spans="1:29" x14ac:dyDescent="0.35">
      <c r="S39" s="2"/>
      <c r="T39" s="2"/>
      <c r="U39" s="2"/>
      <c r="V39" s="2"/>
      <c r="W39" s="2"/>
      <c r="X39" s="2"/>
      <c r="Y39" s="2"/>
      <c r="Z39" s="2"/>
      <c r="AA39" s="2"/>
      <c r="AB39" s="2"/>
      <c r="AC39" s="2"/>
    </row>
    <row r="40" spans="1:29" x14ac:dyDescent="0.35">
      <c r="S40" s="2"/>
      <c r="T40" s="2"/>
      <c r="U40" s="2"/>
      <c r="V40" s="2"/>
      <c r="W40" s="2"/>
      <c r="X40" s="2"/>
      <c r="Y40" s="2"/>
      <c r="Z40" s="2"/>
      <c r="AA40" s="2"/>
      <c r="AB40" s="2"/>
      <c r="AC40" s="2"/>
    </row>
    <row r="41" spans="1:29" x14ac:dyDescent="0.35">
      <c r="S41" s="2"/>
      <c r="T41" s="2"/>
      <c r="U41" s="2"/>
      <c r="V41" s="2"/>
      <c r="W41" s="2"/>
      <c r="X41" s="2"/>
      <c r="Y41" s="2"/>
      <c r="Z41" s="2"/>
      <c r="AA41" s="2"/>
      <c r="AB41" s="2"/>
      <c r="AC41" s="2"/>
    </row>
    <row r="42" spans="1:29" x14ac:dyDescent="0.35">
      <c r="A42" t="s">
        <v>8</v>
      </c>
      <c r="H42" s="1"/>
      <c r="S42" s="2"/>
      <c r="T42" s="2"/>
      <c r="U42" s="2"/>
      <c r="V42" s="2"/>
      <c r="W42" s="2"/>
      <c r="X42" s="2"/>
      <c r="Y42" s="2"/>
      <c r="Z42" s="2"/>
      <c r="AA42" s="2"/>
      <c r="AB42" s="2"/>
      <c r="AC42" s="2"/>
    </row>
    <row r="43" spans="1:29" x14ac:dyDescent="0.35">
      <c r="A43" t="s">
        <v>60</v>
      </c>
      <c r="C43" s="53">
        <f>[4]Tethya!$C$43</f>
        <v>2.4230583333333326</v>
      </c>
      <c r="D43" t="s">
        <v>6</v>
      </c>
      <c r="G43" s="1"/>
      <c r="H43" s="1"/>
      <c r="S43" s="2"/>
      <c r="T43" s="2"/>
      <c r="U43" s="2"/>
      <c r="V43" s="2"/>
      <c r="W43" s="2"/>
      <c r="X43" s="2"/>
      <c r="Y43" s="2"/>
      <c r="Z43" s="2"/>
      <c r="AA43" s="2"/>
      <c r="AB43" s="2"/>
      <c r="AC43" s="2"/>
    </row>
    <row r="44" spans="1:29" x14ac:dyDescent="0.35">
      <c r="A44" t="s">
        <v>5</v>
      </c>
      <c r="C44" s="50">
        <f>(C43/44.661)*1000</f>
        <v>54.254457655075626</v>
      </c>
      <c r="D44" t="s">
        <v>4</v>
      </c>
      <c r="G44" s="1"/>
      <c r="H44" s="1"/>
    </row>
    <row r="45" spans="1:29" x14ac:dyDescent="0.35">
      <c r="A45" t="s">
        <v>134</v>
      </c>
      <c r="C45" s="52">
        <f>C44*(C16/1000*60*60)</f>
        <v>267.36228198213087</v>
      </c>
      <c r="D45" t="s">
        <v>3</v>
      </c>
      <c r="G45" s="1"/>
      <c r="H45" s="1"/>
    </row>
    <row r="46" spans="1:29" x14ac:dyDescent="0.35">
      <c r="C46" s="50">
        <f>C45*5.3333</f>
        <v>1425.9232584952986</v>
      </c>
      <c r="D46" t="s">
        <v>2</v>
      </c>
      <c r="G46" s="1"/>
      <c r="H46" s="1"/>
    </row>
    <row r="47" spans="1:29" x14ac:dyDescent="0.35">
      <c r="G47" s="1"/>
      <c r="H47" s="1"/>
    </row>
    <row r="48" spans="1:29" x14ac:dyDescent="0.35">
      <c r="C48" t="s">
        <v>87</v>
      </c>
      <c r="D48" s="49"/>
      <c r="E48" s="1"/>
      <c r="F48" t="s">
        <v>124</v>
      </c>
      <c r="G48" s="49"/>
    </row>
    <row r="49" spans="3:8" x14ac:dyDescent="0.35">
      <c r="C49" s="51">
        <f>$E$16*($F$16/1000)*($S$38/1000)*($C$17/1000/60)</f>
        <v>11.355514319293746</v>
      </c>
      <c r="D49" t="s">
        <v>1</v>
      </c>
      <c r="E49" s="1"/>
      <c r="F49" s="51">
        <f>$E$16*($F$16/1000)*($N$38/1000)*($C$17/1000/60)</f>
        <v>10.608778328113036</v>
      </c>
      <c r="G49" t="s">
        <v>1</v>
      </c>
    </row>
    <row r="50" spans="3:8" x14ac:dyDescent="0.35">
      <c r="C50" s="175">
        <f>$C$49/$C$46*100</f>
        <v>0.79636223419741536</v>
      </c>
      <c r="D50" t="s">
        <v>0</v>
      </c>
      <c r="E50" s="49"/>
      <c r="F50" s="175">
        <f>$F$49/$C$46*100</f>
        <v>0.74399363815047947</v>
      </c>
      <c r="G50" t="s">
        <v>0</v>
      </c>
    </row>
    <row r="51" spans="3:8" x14ac:dyDescent="0.35">
      <c r="G51" s="1"/>
      <c r="H51" s="1"/>
    </row>
    <row r="52" spans="3:8" x14ac:dyDescent="0.35">
      <c r="G52" s="1"/>
    </row>
    <row r="53" spans="3:8" x14ac:dyDescent="0.35">
      <c r="G53" s="1"/>
    </row>
    <row r="54" spans="3:8" x14ac:dyDescent="0.35">
      <c r="G54" s="1"/>
    </row>
  </sheetData>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4"/>
  <sheetViews>
    <sheetView topLeftCell="A15" workbookViewId="0">
      <selection activeCell="C46" sqref="C46"/>
    </sheetView>
  </sheetViews>
  <sheetFormatPr defaultColWidth="11" defaultRowHeight="15.5" x14ac:dyDescent="0.35"/>
  <cols>
    <col min="1" max="1" width="27.83203125" customWidth="1"/>
    <col min="2" max="2" width="21.1640625" customWidth="1"/>
    <col min="3" max="3" width="12.1640625" bestFit="1" customWidth="1"/>
    <col min="8" max="8" width="12.1640625" bestFit="1" customWidth="1"/>
    <col min="10" max="10" width="18.83203125" customWidth="1"/>
    <col min="11" max="11" width="17.5" customWidth="1"/>
    <col min="12" max="12" width="12.1640625" bestFit="1" customWidth="1"/>
    <col min="13" max="13" width="12.5" customWidth="1"/>
    <col min="14" max="14" width="14.33203125" customWidth="1"/>
    <col min="16" max="16" width="13" customWidth="1"/>
    <col min="19" max="19" width="13.5" customWidth="1"/>
    <col min="20" max="20" width="16.83203125" bestFit="1" customWidth="1"/>
    <col min="21" max="21" width="13.5" customWidth="1"/>
    <col min="24" max="24" width="11.1640625" bestFit="1" customWidth="1"/>
    <col min="27" max="27" width="11.1640625" bestFit="1" customWidth="1"/>
  </cols>
  <sheetData>
    <row r="1" spans="1:15" ht="21" x14ac:dyDescent="0.5">
      <c r="A1" s="136" t="s">
        <v>118</v>
      </c>
    </row>
    <row r="2" spans="1:15" x14ac:dyDescent="0.35">
      <c r="A2" s="6"/>
    </row>
    <row r="3" spans="1:15" x14ac:dyDescent="0.35">
      <c r="A3" s="6" t="s">
        <v>105</v>
      </c>
    </row>
    <row r="4" spans="1:15" x14ac:dyDescent="0.35">
      <c r="A4" s="137" t="s">
        <v>106</v>
      </c>
    </row>
    <row r="5" spans="1:15" x14ac:dyDescent="0.35">
      <c r="A5" s="137" t="s">
        <v>107</v>
      </c>
    </row>
    <row r="6" spans="1:15" x14ac:dyDescent="0.35">
      <c r="A6" s="137" t="s">
        <v>119</v>
      </c>
    </row>
    <row r="7" spans="1:15" x14ac:dyDescent="0.35">
      <c r="A7" s="137"/>
    </row>
    <row r="8" spans="1:15" x14ac:dyDescent="0.35">
      <c r="A8" s="137" t="s">
        <v>120</v>
      </c>
    </row>
    <row r="9" spans="1:15" x14ac:dyDescent="0.35">
      <c r="A9" s="6"/>
    </row>
    <row r="10" spans="1:15" x14ac:dyDescent="0.35">
      <c r="A10" s="137" t="s">
        <v>109</v>
      </c>
    </row>
    <row r="11" spans="1:15" x14ac:dyDescent="0.35">
      <c r="A11" s="6" t="s">
        <v>110</v>
      </c>
    </row>
    <row r="12" spans="1:15" x14ac:dyDescent="0.35">
      <c r="A12" s="6" t="s">
        <v>112</v>
      </c>
    </row>
    <row r="13" spans="1:15" x14ac:dyDescent="0.35">
      <c r="A13" s="6"/>
    </row>
    <row r="15" spans="1:15" ht="72.5" x14ac:dyDescent="0.35">
      <c r="A15" s="47" t="s">
        <v>58</v>
      </c>
      <c r="B15" s="37" t="s">
        <v>57</v>
      </c>
      <c r="C15" s="37" t="s">
        <v>56</v>
      </c>
      <c r="D15" s="44" t="s">
        <v>55</v>
      </c>
      <c r="E15" s="46" t="s">
        <v>54</v>
      </c>
      <c r="F15" s="46" t="s">
        <v>53</v>
      </c>
      <c r="G15" s="45" t="s">
        <v>52</v>
      </c>
      <c r="H15" s="44" t="s">
        <v>131</v>
      </c>
      <c r="I15" s="44" t="s">
        <v>51</v>
      </c>
      <c r="J15" s="43" t="s">
        <v>50</v>
      </c>
      <c r="K15" s="42" t="s">
        <v>49</v>
      </c>
      <c r="L15" s="41" t="s">
        <v>48</v>
      </c>
      <c r="M15" s="40" t="s">
        <v>47</v>
      </c>
      <c r="N15" s="39"/>
      <c r="O15" s="3"/>
    </row>
    <row r="16" spans="1:15" x14ac:dyDescent="0.35">
      <c r="A16" s="38">
        <f>J16/(3/10)</f>
        <v>139.76783019177927</v>
      </c>
      <c r="B16" s="37">
        <f>[5]Osculum!M18</f>
        <v>5.9332341400000002E-2</v>
      </c>
      <c r="C16" s="89">
        <f>[5]Osculum!N18</f>
        <v>12.35907750116362</v>
      </c>
      <c r="D16" s="35">
        <f>100/3</f>
        <v>33.333333333333336</v>
      </c>
      <c r="E16" s="34">
        <v>1022</v>
      </c>
      <c r="F16" s="33">
        <v>9806.65</v>
      </c>
      <c r="G16" s="32">
        <f>E16*9.81</f>
        <v>10025.82</v>
      </c>
      <c r="H16" s="31">
        <v>1.2070000000000001</v>
      </c>
      <c r="I16" s="31"/>
      <c r="J16" s="30">
        <f>'[5]Sponge Volume'!M26</f>
        <v>41.930349057533782</v>
      </c>
      <c r="K16" s="29">
        <f>C16*60/J16</f>
        <v>17.685153277696863</v>
      </c>
      <c r="L16" s="29">
        <f>K16/60</f>
        <v>0.29475255462828104</v>
      </c>
      <c r="M16" s="28">
        <f>(C16*3600*1000000)/(L18*L19*L20)</f>
        <v>2.4457382702333132E-2</v>
      </c>
      <c r="N16" s="27"/>
      <c r="O16" s="3"/>
    </row>
    <row r="17" spans="1:29" x14ac:dyDescent="0.35">
      <c r="A17" s="20"/>
      <c r="B17" s="20"/>
      <c r="C17" s="23">
        <f>C16*60</f>
        <v>741.54465006981718</v>
      </c>
      <c r="D17" s="20"/>
      <c r="E17" s="20"/>
      <c r="G17" s="21"/>
      <c r="H17" s="20"/>
      <c r="I17" s="20"/>
      <c r="J17" s="20"/>
      <c r="K17" s="25" t="s">
        <v>46</v>
      </c>
      <c r="L17" s="24">
        <f>[5]Collars!K13</f>
        <v>14358.317270685819</v>
      </c>
      <c r="M17" s="20"/>
      <c r="V17" s="23"/>
    </row>
    <row r="18" spans="1:29" x14ac:dyDescent="0.35">
      <c r="A18" s="20"/>
      <c r="B18" s="20"/>
      <c r="D18" s="21"/>
      <c r="E18" s="20"/>
      <c r="G18" s="21"/>
      <c r="H18" s="20"/>
      <c r="I18" s="20"/>
      <c r="J18" s="20"/>
      <c r="K18" s="19" t="s">
        <v>45</v>
      </c>
      <c r="L18" s="22">
        <f>L17*(J16*1000)</f>
        <v>602049255.03867209</v>
      </c>
      <c r="M18" s="20"/>
      <c r="R18" s="3"/>
    </row>
    <row r="19" spans="1:29" x14ac:dyDescent="0.35">
      <c r="A19" s="20"/>
      <c r="B19" s="20"/>
      <c r="C19" s="20"/>
      <c r="D19" s="21"/>
      <c r="E19" s="20"/>
      <c r="G19" s="21"/>
      <c r="H19" s="20"/>
      <c r="I19" s="20"/>
      <c r="J19" s="20"/>
      <c r="K19" s="19" t="s">
        <v>44</v>
      </c>
      <c r="L19" s="18">
        <f>[5]Collars!I13</f>
        <v>92.5</v>
      </c>
      <c r="M19" s="17"/>
      <c r="R19" s="3"/>
      <c r="T19" s="2"/>
      <c r="U19" s="2"/>
      <c r="V19" s="2"/>
      <c r="W19" s="2"/>
      <c r="X19" s="2"/>
      <c r="Y19" s="2"/>
      <c r="Z19" s="2"/>
      <c r="AA19" s="2"/>
      <c r="AB19" s="2"/>
      <c r="AC19" s="2"/>
    </row>
    <row r="20" spans="1:29" x14ac:dyDescent="0.35">
      <c r="K20" s="16" t="s">
        <v>43</v>
      </c>
      <c r="L20" s="15">
        <f>[5]Collars!B13</f>
        <v>32.666666666666664</v>
      </c>
      <c r="R20" s="3"/>
      <c r="T20" s="2"/>
      <c r="U20" s="2"/>
      <c r="V20" s="2"/>
      <c r="W20" s="2"/>
      <c r="X20" s="2"/>
      <c r="Y20" s="2"/>
      <c r="Z20" s="2"/>
      <c r="AA20" s="2"/>
      <c r="AB20" s="2"/>
      <c r="AC20" s="2"/>
    </row>
    <row r="21" spans="1:29" x14ac:dyDescent="0.35">
      <c r="R21" s="3"/>
      <c r="T21" s="2"/>
      <c r="U21" s="2"/>
      <c r="V21" s="2"/>
      <c r="W21" s="2"/>
      <c r="X21" s="2"/>
      <c r="Y21" s="2"/>
      <c r="Z21" s="2"/>
      <c r="AA21" s="2"/>
      <c r="AB21" s="2"/>
      <c r="AC21" s="2"/>
    </row>
    <row r="22" spans="1:29" s="12" customFormat="1" ht="63.5" x14ac:dyDescent="0.35">
      <c r="A22" s="14" t="s">
        <v>42</v>
      </c>
      <c r="B22" s="13" t="s">
        <v>41</v>
      </c>
      <c r="C22" s="13" t="s">
        <v>40</v>
      </c>
      <c r="D22" s="13" t="s">
        <v>39</v>
      </c>
      <c r="E22" s="13" t="s">
        <v>38</v>
      </c>
      <c r="F22" s="13" t="s">
        <v>37</v>
      </c>
      <c r="G22" s="13" t="s">
        <v>36</v>
      </c>
      <c r="H22" s="13" t="s">
        <v>35</v>
      </c>
      <c r="I22" s="13" t="s">
        <v>34</v>
      </c>
      <c r="J22" s="13" t="s">
        <v>33</v>
      </c>
      <c r="K22" s="13" t="s">
        <v>63</v>
      </c>
      <c r="L22" s="156" t="s">
        <v>65</v>
      </c>
      <c r="M22" s="157" t="s">
        <v>122</v>
      </c>
      <c r="N22" s="158" t="s">
        <v>123</v>
      </c>
      <c r="O22" s="144" t="s">
        <v>71</v>
      </c>
      <c r="P22" s="145" t="s">
        <v>72</v>
      </c>
      <c r="Q22" s="145" t="s">
        <v>65</v>
      </c>
      <c r="R22" s="145" t="s">
        <v>73</v>
      </c>
      <c r="S22" s="145" t="s">
        <v>74</v>
      </c>
      <c r="T22" s="146" t="s">
        <v>32</v>
      </c>
      <c r="U22" s="145" t="s">
        <v>99</v>
      </c>
      <c r="V22" s="145" t="s">
        <v>99</v>
      </c>
      <c r="W22" s="145"/>
      <c r="X22" s="145"/>
      <c r="Y22" s="145"/>
      <c r="Z22" s="147"/>
    </row>
    <row r="23" spans="1:29" x14ac:dyDescent="0.35">
      <c r="A23" s="5" t="s">
        <v>31</v>
      </c>
      <c r="B23" t="s">
        <v>30</v>
      </c>
      <c r="C23" s="4">
        <f>([5]Ostia!B23)</f>
        <v>31.19580952380953</v>
      </c>
      <c r="D23" s="4">
        <v>0.5</v>
      </c>
      <c r="E23">
        <v>0</v>
      </c>
      <c r="F23">
        <f t="shared" ref="F23:F37" si="0">E23/$E$37</f>
        <v>0</v>
      </c>
      <c r="G23">
        <f t="shared" ref="G23:G37" si="1">F23*100</f>
        <v>0</v>
      </c>
      <c r="H23" s="4">
        <f>[5]Ostia!J23</f>
        <v>0.38471454201444044</v>
      </c>
      <c r="I23" s="4">
        <f>H23*$D$16</f>
        <v>12.823818067148016</v>
      </c>
      <c r="J23" s="4">
        <f t="shared" ref="J23:J37" si="2">I23/$D$16*100</f>
        <v>38.471454201444047</v>
      </c>
      <c r="K23" s="4">
        <f>$K$37/(J23/$J$37)</f>
        <v>6.8308055269572163E-4</v>
      </c>
      <c r="L23" s="159">
        <f>K23*1000</f>
        <v>0.68308055269572165</v>
      </c>
      <c r="M23" s="160">
        <f t="shared" ref="M23:M37" si="3">(8*Viscosity*L23*($D23/1000))/($F$16*(($C23/1000/2)^2))</f>
        <v>1.3822480260930173E-3</v>
      </c>
      <c r="N23" s="161">
        <f>M23*1000</f>
        <v>1.3822480260930172</v>
      </c>
      <c r="O23" s="148" t="s">
        <v>75</v>
      </c>
      <c r="P23" s="138">
        <v>15</v>
      </c>
      <c r="Q23" s="138">
        <f t="shared" ref="Q23:Q37" si="4">K23*1000</f>
        <v>0.68308055269572165</v>
      </c>
      <c r="R23" s="138">
        <f>(6*PI()*Viscosity*Q23)/($F$16*(C23/1000))</f>
        <v>5.0799960991191905E-2</v>
      </c>
      <c r="S23" s="139">
        <f>R23*1000</f>
        <v>50.799960991191902</v>
      </c>
      <c r="T23" s="149">
        <f t="shared" ref="T23:T37" si="5">S23/$S$38*100</f>
        <v>1.2492203408708518</v>
      </c>
      <c r="U23" s="140">
        <f>S38-S23</f>
        <v>4015.7333261452009</v>
      </c>
      <c r="V23" s="140">
        <f t="shared" ref="V23:V37" si="6">U23/$U$23</f>
        <v>1</v>
      </c>
      <c r="W23" s="140"/>
      <c r="X23" s="138"/>
      <c r="Y23" s="138"/>
      <c r="Z23" s="151"/>
    </row>
    <row r="24" spans="1:29" x14ac:dyDescent="0.35">
      <c r="A24" s="5" t="s">
        <v>29</v>
      </c>
      <c r="B24" s="11" t="s">
        <v>29</v>
      </c>
      <c r="C24" s="4">
        <f>'[5]Subdermal space'!C7</f>
        <v>168.233125</v>
      </c>
      <c r="D24" s="4">
        <f>'[5]Subdermal space'!B7</f>
        <v>130.89681250000001</v>
      </c>
      <c r="E24">
        <f>D23</f>
        <v>0.5</v>
      </c>
      <c r="F24">
        <f t="shared" si="0"/>
        <v>1.1780645828687132E-4</v>
      </c>
      <c r="G24">
        <f t="shared" si="1"/>
        <v>1.1780645828687132E-2</v>
      </c>
      <c r="H24" s="4">
        <f>'[5]Subdermal space'!D7</f>
        <v>0.65513089040080996</v>
      </c>
      <c r="I24" s="4">
        <f>H24*$D$16</f>
        <v>21.837696346693669</v>
      </c>
      <c r="J24" s="4">
        <f t="shared" si="2"/>
        <v>65.513089040080999</v>
      </c>
      <c r="K24" s="4">
        <f t="shared" ref="K24:K36" si="7">$K$37/(J24/$J$37)</f>
        <v>4.0112750877695534E-4</v>
      </c>
      <c r="L24" s="159">
        <f t="shared" ref="L24:L37" si="8">K24*1000</f>
        <v>0.40112750877695535</v>
      </c>
      <c r="M24" s="160">
        <f t="shared" si="3"/>
        <v>7.3067637555253567E-3</v>
      </c>
      <c r="N24" s="161">
        <f t="shared" ref="N24:N37" si="9">M24*1000</f>
        <v>7.3067637555253571</v>
      </c>
      <c r="O24" s="148" t="s">
        <v>76</v>
      </c>
      <c r="P24" s="138">
        <v>21</v>
      </c>
      <c r="Q24" s="138">
        <f t="shared" si="4"/>
        <v>0.40112750877695535</v>
      </c>
      <c r="R24" s="138">
        <f>(12*Viscosity*Q24*(C24/1000))/($F$16*(D24/1000)^2)</f>
        <v>5.8170615217056926E-3</v>
      </c>
      <c r="S24" s="139">
        <f t="shared" ref="S24:S37" si="10">R24*1000</f>
        <v>5.8170615217056927</v>
      </c>
      <c r="T24" s="149">
        <f t="shared" si="5"/>
        <v>0.14304718813213019</v>
      </c>
      <c r="U24" s="140">
        <f>U23-S24</f>
        <v>4009.916264623495</v>
      </c>
      <c r="V24" s="140">
        <f t="shared" si="6"/>
        <v>0.99855143231652543</v>
      </c>
      <c r="W24" s="140"/>
      <c r="X24" s="138"/>
      <c r="Y24" s="138"/>
      <c r="Z24" s="151"/>
    </row>
    <row r="25" spans="1:29" x14ac:dyDescent="0.35">
      <c r="A25" s="5" t="s">
        <v>28</v>
      </c>
      <c r="B25" t="s">
        <v>27</v>
      </c>
      <c r="C25" s="4">
        <f>'[5]Incurrent Canals'!C26</f>
        <v>406.50412499999999</v>
      </c>
      <c r="D25" s="4">
        <f>'[5]Incurrent Canals'!Q20</f>
        <v>923.13199999999995</v>
      </c>
      <c r="E25">
        <f t="shared" ref="E25:E37" si="11">E24+D24</f>
        <v>131.39681250000001</v>
      </c>
      <c r="F25">
        <f t="shared" si="0"/>
        <v>3.0958786221618205E-2</v>
      </c>
      <c r="G25">
        <f t="shared" si="1"/>
        <v>3.0958786221618206</v>
      </c>
      <c r="H25" s="4">
        <f>'[5]Incurrent Canals'!K26</f>
        <v>0.1405165127072632</v>
      </c>
      <c r="I25" s="4">
        <f>H25*100</f>
        <v>14.051651270726321</v>
      </c>
      <c r="J25" s="4">
        <f t="shared" si="2"/>
        <v>42.15495381217896</v>
      </c>
      <c r="K25" s="4">
        <f t="shared" si="7"/>
        <v>6.2339297810684038E-4</v>
      </c>
      <c r="L25" s="159">
        <f t="shared" si="8"/>
        <v>0.62339297810684036</v>
      </c>
      <c r="M25" s="160">
        <f t="shared" si="3"/>
        <v>1.3716154578266216E-2</v>
      </c>
      <c r="N25" s="161">
        <f t="shared" si="9"/>
        <v>13.716154578266215</v>
      </c>
      <c r="O25" s="148" t="s">
        <v>76</v>
      </c>
      <c r="P25" s="138">
        <v>19</v>
      </c>
      <c r="Q25" s="138">
        <f t="shared" si="4"/>
        <v>0.62339297810684036</v>
      </c>
      <c r="R25" s="138">
        <f>(8*Viscosity*Q25*(D25/1000))/($F$16*((C25/1000/2)^2))</f>
        <v>1.3716154578266216E-2</v>
      </c>
      <c r="S25" s="139">
        <f t="shared" si="10"/>
        <v>13.716154578266215</v>
      </c>
      <c r="T25" s="149">
        <f t="shared" si="5"/>
        <v>0.33729355226611163</v>
      </c>
      <c r="U25" s="140">
        <f t="shared" ref="U25:U37" si="12">U24-S25</f>
        <v>3996.2001100452289</v>
      </c>
      <c r="V25" s="140">
        <f t="shared" si="6"/>
        <v>0.99513582837465897</v>
      </c>
      <c r="W25" s="140"/>
      <c r="X25" s="138"/>
      <c r="Y25" s="138"/>
      <c r="Z25" s="151"/>
    </row>
    <row r="26" spans="1:29" x14ac:dyDescent="0.35">
      <c r="A26" s="5"/>
      <c r="B26" t="s">
        <v>26</v>
      </c>
      <c r="C26" s="4">
        <f>'[5]Incurrent Canals'!C27</f>
        <v>194.959</v>
      </c>
      <c r="D26" s="4">
        <f>'[5]Incurrent Canals'!R20</f>
        <v>725.45550000000003</v>
      </c>
      <c r="E26">
        <f t="shared" si="11"/>
        <v>1054.5288125</v>
      </c>
      <c r="F26">
        <f t="shared" si="0"/>
        <v>0.24846060912417037</v>
      </c>
      <c r="G26">
        <f t="shared" si="1"/>
        <v>24.846060912417038</v>
      </c>
      <c r="H26" s="4">
        <f>'[5]Incurrent Canals'!K27</f>
        <v>2.698058389881177E-2</v>
      </c>
      <c r="I26" s="4">
        <f>H26*100</f>
        <v>2.6980583898811772</v>
      </c>
      <c r="J26" s="4">
        <f t="shared" si="2"/>
        <v>8.0941751696435311</v>
      </c>
      <c r="K26" s="4">
        <f t="shared" si="7"/>
        <v>3.2466683322456289E-3</v>
      </c>
      <c r="L26" s="159">
        <f t="shared" si="8"/>
        <v>3.2466683322456289</v>
      </c>
      <c r="M26" s="160">
        <f t="shared" si="3"/>
        <v>0.24406117528675125</v>
      </c>
      <c r="N26" s="161">
        <f t="shared" si="9"/>
        <v>244.06117528675125</v>
      </c>
      <c r="O26" s="148" t="s">
        <v>76</v>
      </c>
      <c r="P26" s="138">
        <v>19</v>
      </c>
      <c r="Q26" s="138">
        <f t="shared" si="4"/>
        <v>3.2466683322456289</v>
      </c>
      <c r="R26" s="138">
        <f>(8*Viscosity*Q26*(D26/1000))/($F$16*((C26/1000/2)^2))</f>
        <v>0.24406117528675125</v>
      </c>
      <c r="S26" s="139">
        <f t="shared" si="10"/>
        <v>244.06117528675125</v>
      </c>
      <c r="T26" s="149">
        <f t="shared" si="5"/>
        <v>6.0017011555957627</v>
      </c>
      <c r="U26" s="140">
        <f t="shared" si="12"/>
        <v>3752.1389347584777</v>
      </c>
      <c r="V26" s="140">
        <f t="shared" si="6"/>
        <v>0.9343595876572427</v>
      </c>
      <c r="W26" s="138" t="s">
        <v>77</v>
      </c>
      <c r="X26" s="138"/>
      <c r="Y26" s="138"/>
      <c r="Z26" s="151"/>
    </row>
    <row r="27" spans="1:29" x14ac:dyDescent="0.35">
      <c r="A27" s="10"/>
      <c r="B27" t="s">
        <v>25</v>
      </c>
      <c r="C27" s="4">
        <f>'[5]Incurrent Canals'!C28</f>
        <v>43.806322727272722</v>
      </c>
      <c r="D27" s="4">
        <f>'[5]Incurrent Canals'!S20</f>
        <v>0.5</v>
      </c>
      <c r="E27">
        <f t="shared" si="11"/>
        <v>1779.9843125</v>
      </c>
      <c r="F27">
        <f t="shared" si="0"/>
        <v>0.41938729532363311</v>
      </c>
      <c r="G27">
        <f t="shared" si="1"/>
        <v>41.938729532363311</v>
      </c>
      <c r="H27" s="4">
        <f>'[5]Incurrent Canals'!K28</f>
        <v>3.6651154155832068E-2</v>
      </c>
      <c r="I27" s="4">
        <f>'[5]Incurrent Canals'!M28</f>
        <v>3.6651154155832066</v>
      </c>
      <c r="J27" s="4">
        <f t="shared" si="2"/>
        <v>10.995346246749619</v>
      </c>
      <c r="K27" s="4">
        <f t="shared" si="7"/>
        <v>2.3900204331172401E-3</v>
      </c>
      <c r="L27" s="159">
        <f t="shared" si="8"/>
        <v>2.3900204331172401</v>
      </c>
      <c r="M27" s="160">
        <f t="shared" si="3"/>
        <v>2.4526444474102134E-3</v>
      </c>
      <c r="N27" s="161">
        <f t="shared" si="9"/>
        <v>2.4526444474102136</v>
      </c>
      <c r="O27" s="148" t="s">
        <v>76</v>
      </c>
      <c r="P27" s="138">
        <v>19</v>
      </c>
      <c r="Q27" s="138">
        <f t="shared" si="4"/>
        <v>2.3900204331172401</v>
      </c>
      <c r="R27" s="138">
        <f>(8*Viscosity*Q27*(D27/1000))/($F$16*((C27/1000/2)^2))</f>
        <v>2.4526444474102134E-3</v>
      </c>
      <c r="S27" s="139">
        <f t="shared" si="10"/>
        <v>2.4526444474102136</v>
      </c>
      <c r="T27" s="149">
        <f t="shared" si="5"/>
        <v>6.0312907192193142E-2</v>
      </c>
      <c r="U27" s="140">
        <f t="shared" si="12"/>
        <v>3749.6862903110673</v>
      </c>
      <c r="V27" s="140">
        <f t="shared" si="6"/>
        <v>0.93374882886221966</v>
      </c>
      <c r="W27" s="142" t="s">
        <v>78</v>
      </c>
      <c r="X27" s="138">
        <f>[5]Collars!C13/1000</f>
        <v>1.086E-4</v>
      </c>
      <c r="Y27" s="138" t="s">
        <v>113</v>
      </c>
      <c r="Z27" s="151"/>
    </row>
    <row r="28" spans="1:29" x14ac:dyDescent="0.35">
      <c r="A28" s="5" t="s">
        <v>24</v>
      </c>
      <c r="B28" t="s">
        <v>23</v>
      </c>
      <c r="C28" s="4">
        <f>([5]Prosopyles!B21+[5]Prosopyles!C21)/2</f>
        <v>1.6144999999999998</v>
      </c>
      <c r="D28" s="4">
        <f>0.5</f>
        <v>0.5</v>
      </c>
      <c r="E28">
        <f t="shared" si="11"/>
        <v>1780.4843125</v>
      </c>
      <c r="F28">
        <f t="shared" si="0"/>
        <v>0.41950510178191996</v>
      </c>
      <c r="G28">
        <f t="shared" si="1"/>
        <v>41.950510178191998</v>
      </c>
      <c r="H28" s="7">
        <f>[5]Prosopyles!E29</f>
        <v>0.55157698793055054</v>
      </c>
      <c r="I28" s="4">
        <f t="shared" ref="I28:I37" si="13">H28*100</f>
        <v>55.157698793055054</v>
      </c>
      <c r="J28" s="4">
        <f t="shared" si="2"/>
        <v>165.47309637916513</v>
      </c>
      <c r="K28" s="4">
        <f t="shared" si="7"/>
        <v>1.5881193241658209E-4</v>
      </c>
      <c r="L28" s="159">
        <f>K28*1000</f>
        <v>0.15881193241658209</v>
      </c>
      <c r="M28" s="160">
        <f t="shared" si="3"/>
        <v>0.11998131257286318</v>
      </c>
      <c r="N28" s="161">
        <f t="shared" si="9"/>
        <v>119.98131257286317</v>
      </c>
      <c r="O28" s="148" t="s">
        <v>75</v>
      </c>
      <c r="P28" s="138">
        <v>15</v>
      </c>
      <c r="Q28" s="138">
        <f t="shared" si="4"/>
        <v>0.15881193241658209</v>
      </c>
      <c r="R28" s="138">
        <f>(6*PI()*Viscosity*Q28)/($F$16*(C28/1000))</f>
        <v>0.2282090160683547</v>
      </c>
      <c r="S28" s="139">
        <f t="shared" si="10"/>
        <v>228.20901606835469</v>
      </c>
      <c r="T28" s="149">
        <f t="shared" si="5"/>
        <v>5.6118811762895202</v>
      </c>
      <c r="U28" s="140">
        <f t="shared" si="12"/>
        <v>3521.4772742427126</v>
      </c>
      <c r="V28" s="140">
        <f t="shared" si="6"/>
        <v>0.87692010107231488</v>
      </c>
      <c r="W28" s="142" t="s">
        <v>79</v>
      </c>
      <c r="X28" s="138">
        <f>[5]Collars!D13/1000</f>
        <v>6.9399999999999993E-5</v>
      </c>
      <c r="Y28" s="138" t="s">
        <v>114</v>
      </c>
      <c r="Z28" s="151"/>
    </row>
    <row r="29" spans="1:29" x14ac:dyDescent="0.35">
      <c r="A29" s="5" t="s">
        <v>22</v>
      </c>
      <c r="B29" t="s">
        <v>62</v>
      </c>
      <c r="C29" s="4">
        <f>[5]Collars!B19</f>
        <v>0.49100000000000005</v>
      </c>
      <c r="D29" s="4">
        <f>[5]Collars!C19</f>
        <v>2.6087499999999997</v>
      </c>
      <c r="E29">
        <f t="shared" si="11"/>
        <v>1780.9843125</v>
      </c>
      <c r="F29">
        <f t="shared" si="0"/>
        <v>0.41962290824020687</v>
      </c>
      <c r="G29">
        <f t="shared" si="1"/>
        <v>41.962290824020684</v>
      </c>
      <c r="H29" s="7">
        <f>[5]Collars!G19</f>
        <v>1.7012151142206824</v>
      </c>
      <c r="I29" s="4">
        <f t="shared" si="13"/>
        <v>170.12151142206824</v>
      </c>
      <c r="J29" s="4">
        <f t="shared" si="2"/>
        <v>510.36453426620466</v>
      </c>
      <c r="K29" s="4">
        <f t="shared" si="7"/>
        <v>5.1490847099542851E-5</v>
      </c>
      <c r="L29" s="159">
        <f t="shared" si="8"/>
        <v>5.1490847099542852E-2</v>
      </c>
      <c r="M29" s="160">
        <f t="shared" si="3"/>
        <v>2.1945025373784404</v>
      </c>
      <c r="N29" s="161">
        <f t="shared" si="9"/>
        <v>2194.5025373784401</v>
      </c>
      <c r="O29" s="148" t="s">
        <v>76</v>
      </c>
      <c r="P29" s="138">
        <v>19</v>
      </c>
      <c r="Q29" s="138">
        <f t="shared" si="4"/>
        <v>5.1490847099542852E-2</v>
      </c>
      <c r="R29" s="138">
        <f>(8*Viscosity*Q29*(D29/1000))/($F$16*((C29/1000/2)^2))</f>
        <v>2.1945025373784404</v>
      </c>
      <c r="S29" s="139">
        <f t="shared" si="10"/>
        <v>2194.5025373784401</v>
      </c>
      <c r="T29" s="149">
        <f t="shared" si="5"/>
        <v>53.964947104214765</v>
      </c>
      <c r="U29" s="140">
        <f t="shared" si="12"/>
        <v>1326.9747368642725</v>
      </c>
      <c r="V29" s="140">
        <f t="shared" si="6"/>
        <v>0.33044393865119215</v>
      </c>
      <c r="W29" s="142" t="s">
        <v>80</v>
      </c>
      <c r="X29" s="138">
        <f>[5]Collars!F13/1000</f>
        <v>5.1818181818181812E-5</v>
      </c>
      <c r="Y29" s="138" t="s">
        <v>115</v>
      </c>
      <c r="Z29" s="151"/>
    </row>
    <row r="30" spans="1:29" x14ac:dyDescent="0.35">
      <c r="B30" t="s">
        <v>20</v>
      </c>
      <c r="C30" s="4">
        <f>[5]Collars!F13</f>
        <v>5.1818181818181812E-2</v>
      </c>
      <c r="D30" s="4">
        <f>[5]Collars!C13</f>
        <v>0.1086</v>
      </c>
      <c r="E30">
        <f t="shared" si="11"/>
        <v>1783.5930625000001</v>
      </c>
      <c r="F30">
        <f t="shared" si="0"/>
        <v>0.42023756343631863</v>
      </c>
      <c r="G30">
        <f t="shared" si="1"/>
        <v>42.02375634363186</v>
      </c>
      <c r="H30" s="4">
        <f>[5]Collars!M13</f>
        <v>4.9157451781115586</v>
      </c>
      <c r="I30" s="4">
        <f t="shared" si="13"/>
        <v>491.57451781115589</v>
      </c>
      <c r="J30" s="4">
        <f t="shared" si="2"/>
        <v>1474.7235534334675</v>
      </c>
      <c r="K30" s="4">
        <f t="shared" si="7"/>
        <v>1.781968026329223E-5</v>
      </c>
      <c r="L30" s="159">
        <f t="shared" si="8"/>
        <v>1.7819680263292229E-2</v>
      </c>
      <c r="M30" s="160">
        <f t="shared" si="3"/>
        <v>2.8385853977040036</v>
      </c>
      <c r="N30" s="161">
        <f t="shared" si="9"/>
        <v>2838.5853977040038</v>
      </c>
      <c r="O30" s="148" t="s">
        <v>81</v>
      </c>
      <c r="P30" s="138">
        <v>17</v>
      </c>
      <c r="Q30" s="138">
        <f t="shared" si="4"/>
        <v>1.7819680263292229E-2</v>
      </c>
      <c r="R30" s="138">
        <f>(X30*Viscosity*Q29)/(F16*X33)</f>
        <v>0.66771185926838028</v>
      </c>
      <c r="S30" s="139">
        <f>R30*1000</f>
        <v>667.71185926838029</v>
      </c>
      <c r="T30" s="149">
        <f t="shared" si="5"/>
        <v>16.41968261714576</v>
      </c>
      <c r="U30" s="140">
        <f t="shared" si="12"/>
        <v>659.26287759589218</v>
      </c>
      <c r="V30" s="140">
        <f t="shared" si="6"/>
        <v>0.16416998442193234</v>
      </c>
      <c r="W30" s="142" t="s">
        <v>82</v>
      </c>
      <c r="X30" s="138">
        <f>(8*PI())/(1-2*LN(X31)+((X31^2)/6))</f>
        <v>3.1256930995930423</v>
      </c>
      <c r="Y30" s="138"/>
      <c r="Z30" s="151"/>
    </row>
    <row r="31" spans="1:29" x14ac:dyDescent="0.35">
      <c r="A31" s="5"/>
      <c r="B31" t="s">
        <v>61</v>
      </c>
      <c r="C31" s="4">
        <f>[5]Collars!B20</f>
        <v>2.6087499999999997</v>
      </c>
      <c r="D31" s="4">
        <f>[5]Collars!C20</f>
        <v>1.6326000000000001</v>
      </c>
      <c r="E31">
        <f t="shared" si="11"/>
        <v>1783.7016625000001</v>
      </c>
      <c r="F31">
        <f t="shared" si="0"/>
        <v>0.42026315099905853</v>
      </c>
      <c r="G31">
        <f t="shared" si="1"/>
        <v>42.026315099905851</v>
      </c>
      <c r="H31" s="7">
        <f>[5]Collars!G20</f>
        <v>5.6566268746979338</v>
      </c>
      <c r="I31" s="4">
        <f t="shared" si="13"/>
        <v>565.66268746979335</v>
      </c>
      <c r="J31" s="4">
        <f t="shared" si="2"/>
        <v>1696.9880624093801</v>
      </c>
      <c r="K31" s="4">
        <f t="shared" si="7"/>
        <v>1.5485731915886038E-5</v>
      </c>
      <c r="L31" s="159">
        <f t="shared" si="8"/>
        <v>1.5485731915886038E-2</v>
      </c>
      <c r="M31" s="160">
        <f t="shared" si="3"/>
        <v>1.4631308837119689E-2</v>
      </c>
      <c r="N31" s="161">
        <f t="shared" si="9"/>
        <v>14.631308837119688</v>
      </c>
      <c r="O31" s="148" t="s">
        <v>76</v>
      </c>
      <c r="P31" s="138">
        <v>19</v>
      </c>
      <c r="Q31" s="138">
        <f t="shared" si="4"/>
        <v>1.5485731915886038E-2</v>
      </c>
      <c r="R31" s="138">
        <f>(8*Viscosity*Q31*(D31/1000))/($F$16*((C31/1000/2)^2))</f>
        <v>1.4631308837119689E-2</v>
      </c>
      <c r="S31" s="139">
        <f t="shared" si="10"/>
        <v>14.631308837119688</v>
      </c>
      <c r="T31" s="149">
        <f t="shared" si="5"/>
        <v>0.35979808362574339</v>
      </c>
      <c r="U31" s="140">
        <f t="shared" si="12"/>
        <v>644.63156875877246</v>
      </c>
      <c r="V31" s="140">
        <f t="shared" si="6"/>
        <v>0.16052648829088703</v>
      </c>
      <c r="W31" s="142" t="s">
        <v>83</v>
      </c>
      <c r="X31" s="138">
        <f>(PI()*X27)/X32</f>
        <v>8.2169690216627256</v>
      </c>
      <c r="Y31" s="138"/>
      <c r="Z31" s="151"/>
    </row>
    <row r="32" spans="1:29" x14ac:dyDescent="0.35">
      <c r="A32" s="5" t="s">
        <v>18</v>
      </c>
      <c r="B32" t="s">
        <v>17</v>
      </c>
      <c r="C32" s="4">
        <f>'[5]Choanocyte Chambers'!D12</f>
        <v>19.748556565656564</v>
      </c>
      <c r="D32" s="4">
        <f>C32</f>
        <v>19.748556565656564</v>
      </c>
      <c r="E32">
        <f t="shared" si="11"/>
        <v>1785.3342625</v>
      </c>
      <c r="F32">
        <f t="shared" si="0"/>
        <v>0.42064781264665685</v>
      </c>
      <c r="G32">
        <f t="shared" si="1"/>
        <v>42.064781264665683</v>
      </c>
      <c r="H32" s="4">
        <f>'[5]Choanocyte Chambers'!J12</f>
        <v>4.0598912443223591</v>
      </c>
      <c r="I32" s="4">
        <f t="shared" si="13"/>
        <v>405.98912443223594</v>
      </c>
      <c r="J32" s="4">
        <f t="shared" si="2"/>
        <v>1217.9673732967076</v>
      </c>
      <c r="K32" s="4">
        <f t="shared" si="7"/>
        <v>2.1576195532890292E-5</v>
      </c>
      <c r="L32" s="159">
        <f t="shared" si="8"/>
        <v>2.1576195532890294E-2</v>
      </c>
      <c r="M32" s="160">
        <f t="shared" si="3"/>
        <v>4.3030469416849718E-3</v>
      </c>
      <c r="N32" s="161">
        <f t="shared" si="9"/>
        <v>4.3030469416849719</v>
      </c>
      <c r="O32" s="148" t="s">
        <v>76</v>
      </c>
      <c r="P32" s="138">
        <v>19</v>
      </c>
      <c r="Q32" s="138">
        <f t="shared" si="4"/>
        <v>2.1576195532890294E-2</v>
      </c>
      <c r="R32" s="138">
        <f>(8*Viscosity*Q32*(D32/1000))/($F$16*((C32/1000/2)^2))</f>
        <v>4.3030469416849718E-3</v>
      </c>
      <c r="S32" s="139">
        <f t="shared" si="10"/>
        <v>4.3030469416849719</v>
      </c>
      <c r="T32" s="149">
        <f t="shared" si="5"/>
        <v>0.10581610029596314</v>
      </c>
      <c r="U32" s="140">
        <f t="shared" si="12"/>
        <v>640.32852181708745</v>
      </c>
      <c r="V32" s="140">
        <f t="shared" si="6"/>
        <v>0.15945494130501794</v>
      </c>
      <c r="W32" s="142" t="s">
        <v>84</v>
      </c>
      <c r="X32" s="138">
        <f>(X28*X29)/(SQRT((X28^2)+(X29^2)))</f>
        <v>4.1521023297081079E-5</v>
      </c>
      <c r="Y32" s="138"/>
      <c r="Z32" s="151"/>
    </row>
    <row r="33" spans="1:26" x14ac:dyDescent="0.35">
      <c r="A33" s="5" t="s">
        <v>16</v>
      </c>
      <c r="B33" t="s">
        <v>15</v>
      </c>
      <c r="C33" s="7">
        <f>[5]Apopyle!D12</f>
        <v>5.9745000000000008</v>
      </c>
      <c r="D33" s="4">
        <v>0.5</v>
      </c>
      <c r="E33">
        <f t="shared" si="11"/>
        <v>1805.0828190656566</v>
      </c>
      <c r="F33">
        <f t="shared" si="0"/>
        <v>0.42530082765721272</v>
      </c>
      <c r="G33">
        <f t="shared" si="1"/>
        <v>42.530082765721275</v>
      </c>
      <c r="H33" s="7">
        <f>[5]Apopyle!G12</f>
        <v>0.40252842858589472</v>
      </c>
      <c r="I33" s="4">
        <f t="shared" si="13"/>
        <v>40.252842858589474</v>
      </c>
      <c r="J33" s="4">
        <f t="shared" si="2"/>
        <v>120.75852857576841</v>
      </c>
      <c r="K33" s="4">
        <f t="shared" si="7"/>
        <v>2.1761694605646056E-4</v>
      </c>
      <c r="L33" s="159">
        <f t="shared" si="8"/>
        <v>0.21761694605646056</v>
      </c>
      <c r="M33" s="160">
        <f t="shared" si="3"/>
        <v>1.2005939693746992E-2</v>
      </c>
      <c r="N33" s="161">
        <f t="shared" si="9"/>
        <v>12.005939693746992</v>
      </c>
      <c r="O33" s="148" t="s">
        <v>75</v>
      </c>
      <c r="P33" s="138">
        <v>15</v>
      </c>
      <c r="Q33" s="138">
        <f t="shared" si="4"/>
        <v>0.21761694605646056</v>
      </c>
      <c r="R33" s="138">
        <f>(6*PI()*Viscosity*Q33)/($F$16*(C33/1000))</f>
        <v>8.4504310673775854E-2</v>
      </c>
      <c r="S33" s="139">
        <f t="shared" si="10"/>
        <v>84.504310673775848</v>
      </c>
      <c r="T33" s="149">
        <f t="shared" si="5"/>
        <v>2.0780430087978656</v>
      </c>
      <c r="U33" s="140">
        <f t="shared" si="12"/>
        <v>555.82421114331157</v>
      </c>
      <c r="V33" s="140">
        <f t="shared" si="6"/>
        <v>0.13841163394105668</v>
      </c>
      <c r="W33" s="142" t="s">
        <v>85</v>
      </c>
      <c r="X33" s="138">
        <f>(X28*X29)/(X28+X29)</f>
        <v>2.9667016649167541E-5</v>
      </c>
      <c r="Y33" s="138"/>
      <c r="Z33" s="151"/>
    </row>
    <row r="34" spans="1:26" x14ac:dyDescent="0.35">
      <c r="A34" s="5" t="s">
        <v>14</v>
      </c>
      <c r="B34" t="s">
        <v>13</v>
      </c>
      <c r="C34" s="4">
        <f>('[5]Excurrent Canals'!C30+'[5]Excurrent Canals'!D30)/2</f>
        <v>52.886501262626268</v>
      </c>
      <c r="D34" s="4">
        <f>'[5]Excurrent Canals'!S21</f>
        <v>0.5</v>
      </c>
      <c r="E34">
        <f t="shared" si="11"/>
        <v>1805.5828190656566</v>
      </c>
      <c r="F34">
        <f t="shared" si="0"/>
        <v>0.42541863411549957</v>
      </c>
      <c r="G34">
        <f t="shared" si="1"/>
        <v>42.541863411549954</v>
      </c>
      <c r="H34" s="4">
        <f>'[5]Excurrent Canals'!K30</f>
        <v>5.16807342470532E-3</v>
      </c>
      <c r="I34" s="4">
        <f t="shared" si="13"/>
        <v>0.51680734247053195</v>
      </c>
      <c r="J34" s="4">
        <f t="shared" si="2"/>
        <v>1.5504220274115958</v>
      </c>
      <c r="K34" s="4">
        <f t="shared" si="7"/>
        <v>1.6949644506020774E-2</v>
      </c>
      <c r="L34" s="159">
        <f t="shared" si="8"/>
        <v>16.949644506020775</v>
      </c>
      <c r="M34" s="160">
        <f t="shared" si="3"/>
        <v>1.1933765432422153E-2</v>
      </c>
      <c r="N34" s="161">
        <f t="shared" si="9"/>
        <v>11.933765432422152</v>
      </c>
      <c r="O34" s="148" t="s">
        <v>76</v>
      </c>
      <c r="P34" s="138">
        <v>19</v>
      </c>
      <c r="Q34" s="138">
        <f t="shared" si="4"/>
        <v>16.949644506020775</v>
      </c>
      <c r="R34" s="138">
        <f>(8*Viscosity*Q34*(D34/1000))/($F$16*((C34/1000/2)^2))</f>
        <v>1.1933765432422153E-2</v>
      </c>
      <c r="S34" s="139">
        <f t="shared" si="10"/>
        <v>11.933765432422152</v>
      </c>
      <c r="T34" s="149">
        <f t="shared" si="5"/>
        <v>0.29346287340551386</v>
      </c>
      <c r="U34" s="140">
        <f t="shared" si="12"/>
        <v>543.89044571088937</v>
      </c>
      <c r="V34" s="140">
        <f t="shared" si="6"/>
        <v>0.13543988147066102</v>
      </c>
      <c r="W34" s="138"/>
      <c r="X34" s="138"/>
      <c r="Y34" s="138"/>
      <c r="Z34" s="151"/>
    </row>
    <row r="35" spans="1:26" x14ac:dyDescent="0.35">
      <c r="A35" s="6"/>
      <c r="B35" t="s">
        <v>12</v>
      </c>
      <c r="C35" s="4">
        <f>('[5]Excurrent Canals'!C29+'[5]Excurrent Canals'!D29)/2</f>
        <v>178.83952380952383</v>
      </c>
      <c r="D35" s="4">
        <f>'[5]Excurrent Canals'!R21</f>
        <v>1096.0216666666665</v>
      </c>
      <c r="E35">
        <f t="shared" si="11"/>
        <v>1806.0828190656566</v>
      </c>
      <c r="F35">
        <f t="shared" si="0"/>
        <v>0.42553644057378642</v>
      </c>
      <c r="G35">
        <f t="shared" si="1"/>
        <v>42.553644057378641</v>
      </c>
      <c r="H35" s="4">
        <f>'[5]Excurrent Canals'!K29</f>
        <v>2.8734333938444625E-2</v>
      </c>
      <c r="I35" s="4">
        <f t="shared" si="13"/>
        <v>2.8734333938444623</v>
      </c>
      <c r="J35" s="4">
        <f t="shared" si="2"/>
        <v>8.620300181533386</v>
      </c>
      <c r="K35" s="4">
        <f t="shared" si="7"/>
        <v>3.048513583694715E-3</v>
      </c>
      <c r="L35" s="159">
        <f t="shared" si="8"/>
        <v>3.048513583694715</v>
      </c>
      <c r="M35" s="160">
        <f t="shared" si="3"/>
        <v>0.41144978269361504</v>
      </c>
      <c r="N35" s="161">
        <f t="shared" si="9"/>
        <v>411.44978269361502</v>
      </c>
      <c r="O35" s="148" t="s">
        <v>76</v>
      </c>
      <c r="P35" s="138">
        <v>19</v>
      </c>
      <c r="Q35" s="138">
        <f t="shared" si="4"/>
        <v>3.048513583694715</v>
      </c>
      <c r="R35" s="138">
        <f>(8*Viscosity*Q35*(D35/1000))/($F$16*((C35/1000/2)^2))</f>
        <v>0.41144978269361504</v>
      </c>
      <c r="S35" s="139">
        <f t="shared" si="10"/>
        <v>411.44978269361502</v>
      </c>
      <c r="T35" s="149">
        <f t="shared" si="5"/>
        <v>10.11794945820678</v>
      </c>
      <c r="U35" s="140">
        <f t="shared" si="12"/>
        <v>132.44066301727435</v>
      </c>
      <c r="V35" s="140">
        <f t="shared" si="6"/>
        <v>3.2980442738812871E-2</v>
      </c>
      <c r="W35" s="140"/>
      <c r="X35" s="138"/>
      <c r="Y35" s="138"/>
      <c r="Z35" s="151"/>
    </row>
    <row r="36" spans="1:26" x14ac:dyDescent="0.35">
      <c r="A36" s="6"/>
      <c r="B36" t="s">
        <v>11</v>
      </c>
      <c r="C36" s="4">
        <f>('[5]Excurrent Canals'!C28+'[5]Excurrent Canals'!D28)/2</f>
        <v>339.41449999999998</v>
      </c>
      <c r="D36" s="4">
        <f>'[5]Excurrent Canals'!Q21</f>
        <v>1342.145</v>
      </c>
      <c r="E36">
        <f t="shared" si="11"/>
        <v>2902.1044857323232</v>
      </c>
      <c r="F36">
        <f t="shared" si="0"/>
        <v>0.68377330208513409</v>
      </c>
      <c r="G36">
        <f t="shared" si="1"/>
        <v>68.377330208513413</v>
      </c>
      <c r="H36" s="4">
        <f>'[5]Excurrent Canals'!K28</f>
        <v>3.0390099043091943E-2</v>
      </c>
      <c r="I36" s="4">
        <f t="shared" si="13"/>
        <v>3.0390099043091943</v>
      </c>
      <c r="J36" s="4">
        <f t="shared" si="2"/>
        <v>9.1170297129275824</v>
      </c>
      <c r="K36" s="4">
        <f t="shared" si="7"/>
        <v>2.88241927759299E-3</v>
      </c>
      <c r="L36" s="159">
        <f t="shared" si="8"/>
        <v>2.88241927759299</v>
      </c>
      <c r="M36" s="160">
        <f t="shared" si="3"/>
        <v>0.13226117630489009</v>
      </c>
      <c r="N36" s="161">
        <f t="shared" si="9"/>
        <v>132.26117630489009</v>
      </c>
      <c r="O36" s="148" t="s">
        <v>76</v>
      </c>
      <c r="P36" s="138">
        <v>19</v>
      </c>
      <c r="Q36" s="138">
        <f t="shared" si="4"/>
        <v>2.88241927759299</v>
      </c>
      <c r="R36" s="138">
        <f>(8*Viscosity*Q36*(D36/1000))/($F$16*((C36/1000/2)^2))</f>
        <v>0.13226117630489009</v>
      </c>
      <c r="S36" s="139">
        <f t="shared" si="10"/>
        <v>132.26117630489009</v>
      </c>
      <c r="T36" s="149">
        <f t="shared" si="5"/>
        <v>3.2524306815161212</v>
      </c>
      <c r="U36" s="140">
        <f t="shared" si="12"/>
        <v>0.17948671238426073</v>
      </c>
      <c r="V36" s="140">
        <f t="shared" si="6"/>
        <v>4.4695874403730478E-5</v>
      </c>
      <c r="W36" s="140"/>
      <c r="X36" s="138"/>
      <c r="Y36" s="138"/>
      <c r="Z36" s="151"/>
    </row>
    <row r="37" spans="1:26" x14ac:dyDescent="0.35">
      <c r="A37" s="5" t="s">
        <v>10</v>
      </c>
      <c r="B37" t="s">
        <v>9</v>
      </c>
      <c r="C37" s="4">
        <f>[5]Osculum!G18</f>
        <v>16209.05</v>
      </c>
      <c r="D37" s="4">
        <f>'[5]Sponge Volume'!F26</f>
        <v>198410</v>
      </c>
      <c r="E37">
        <f t="shared" si="11"/>
        <v>4244.2494857323236</v>
      </c>
      <c r="F37">
        <f t="shared" si="0"/>
        <v>1</v>
      </c>
      <c r="G37">
        <f t="shared" si="1"/>
        <v>100</v>
      </c>
      <c r="H37" s="4">
        <f>(PI()*(C37/2/1000)^2)/(A16*1000)</f>
        <v>1.4763787381862614E-3</v>
      </c>
      <c r="I37" s="4">
        <f t="shared" si="13"/>
        <v>0.14763787381862614</v>
      </c>
      <c r="J37" s="4">
        <f t="shared" si="2"/>
        <v>0.44291362145587843</v>
      </c>
      <c r="K37" s="4">
        <f>B16</f>
        <v>5.9332341400000002E-2</v>
      </c>
      <c r="L37" s="159">
        <f t="shared" si="8"/>
        <v>59.332341400000004</v>
      </c>
      <c r="M37" s="160">
        <f t="shared" si="3"/>
        <v>0.17647227851255654</v>
      </c>
      <c r="N37" s="161">
        <f t="shared" si="9"/>
        <v>176.47227851255653</v>
      </c>
      <c r="O37" s="148" t="s">
        <v>86</v>
      </c>
      <c r="P37" s="138">
        <v>22</v>
      </c>
      <c r="Q37" s="138">
        <f t="shared" si="4"/>
        <v>59.332341400000004</v>
      </c>
      <c r="R37" s="138">
        <f>((Q37^2)/(2*F16))/1000</f>
        <v>1.7948671238425735E-4</v>
      </c>
      <c r="S37" s="139">
        <f t="shared" si="10"/>
        <v>0.17948671238425734</v>
      </c>
      <c r="T37" s="149">
        <f t="shared" si="5"/>
        <v>4.413752444914815E-3</v>
      </c>
      <c r="U37" s="140">
        <f t="shared" si="12"/>
        <v>3.3861802251067274E-15</v>
      </c>
      <c r="V37" s="140">
        <f t="shared" si="6"/>
        <v>8.4322835957765238E-19</v>
      </c>
      <c r="W37" s="138"/>
      <c r="X37" s="138"/>
      <c r="Y37" s="138"/>
      <c r="Z37" s="151"/>
    </row>
    <row r="38" spans="1:26" x14ac:dyDescent="0.35">
      <c r="N38" s="162">
        <f>SUM(N23:N37)</f>
        <v>6185.0455321653881</v>
      </c>
      <c r="O38" s="152"/>
      <c r="P38" s="153"/>
      <c r="Q38" s="153">
        <f>K38*1000000</f>
        <v>0</v>
      </c>
      <c r="R38" s="153"/>
      <c r="S38" s="154">
        <f>SUM(S23:S37)</f>
        <v>4066.5332871363926</v>
      </c>
      <c r="T38" s="153"/>
      <c r="U38" s="153"/>
      <c r="V38" s="153"/>
      <c r="W38" s="153"/>
      <c r="X38" s="153"/>
      <c r="Y38" s="153"/>
      <c r="Z38" s="155"/>
    </row>
    <row r="39" spans="1:26" x14ac:dyDescent="0.35">
      <c r="N39" s="2"/>
      <c r="O39" s="2"/>
      <c r="P39" s="2"/>
      <c r="Q39" s="2"/>
      <c r="R39" s="2"/>
      <c r="S39" s="2"/>
      <c r="T39" s="2"/>
      <c r="U39" s="2"/>
      <c r="V39" s="2"/>
      <c r="W39" s="2"/>
    </row>
    <row r="40" spans="1:26" x14ac:dyDescent="0.35">
      <c r="U40" s="3"/>
      <c r="V40" s="3"/>
      <c r="W40" s="3"/>
      <c r="X40" s="3"/>
      <c r="Y40" s="3"/>
      <c r="Z40" s="3"/>
    </row>
    <row r="41" spans="1:26" x14ac:dyDescent="0.35">
      <c r="F41" s="3"/>
      <c r="G41" s="3"/>
      <c r="H41" s="3"/>
    </row>
    <row r="42" spans="1:26" x14ac:dyDescent="0.35">
      <c r="A42" t="s">
        <v>8</v>
      </c>
      <c r="C42" s="90" t="s">
        <v>69</v>
      </c>
      <c r="D42" s="91"/>
      <c r="F42" s="92"/>
      <c r="G42" s="3"/>
      <c r="H42" s="3"/>
      <c r="T42" s="2"/>
    </row>
    <row r="43" spans="1:26" x14ac:dyDescent="0.35">
      <c r="A43" t="s">
        <v>7</v>
      </c>
      <c r="C43" s="91">
        <f>[5]Callyspongia!$C$43</f>
        <v>2.6761350868010902</v>
      </c>
      <c r="D43" s="91" t="s">
        <v>6</v>
      </c>
      <c r="F43" s="3"/>
      <c r="G43" s="3"/>
      <c r="H43" s="3"/>
      <c r="T43" s="2"/>
    </row>
    <row r="44" spans="1:26" x14ac:dyDescent="0.35">
      <c r="A44" t="s">
        <v>5</v>
      </c>
      <c r="C44" s="91">
        <f>(C43/44.661)*1000</f>
        <v>59.921074019862751</v>
      </c>
      <c r="D44" s="91" t="s">
        <v>4</v>
      </c>
      <c r="F44" s="3"/>
      <c r="G44" s="3"/>
      <c r="H44" s="3"/>
      <c r="T44" s="2"/>
    </row>
    <row r="45" spans="1:26" x14ac:dyDescent="0.35">
      <c r="A45" t="s">
        <v>70</v>
      </c>
      <c r="C45" s="93">
        <f>C44*(C16/1000*60*60)</f>
        <v>2666.0491119520043</v>
      </c>
      <c r="D45" s="91" t="s">
        <v>3</v>
      </c>
      <c r="F45" s="27"/>
      <c r="G45" s="3"/>
      <c r="H45" s="3"/>
    </row>
    <row r="46" spans="1:26" x14ac:dyDescent="0.35">
      <c r="C46" s="91">
        <f>C45*5.333</f>
        <v>14218.039914040039</v>
      </c>
      <c r="D46" s="91" t="s">
        <v>2</v>
      </c>
      <c r="F46" s="3"/>
      <c r="G46" s="3"/>
      <c r="H46" s="3"/>
    </row>
    <row r="47" spans="1:26" x14ac:dyDescent="0.35">
      <c r="C47" s="91"/>
      <c r="D47" s="91"/>
      <c r="F47" s="3"/>
      <c r="G47" s="27"/>
      <c r="H47" s="3"/>
    </row>
    <row r="48" spans="1:26" x14ac:dyDescent="0.35">
      <c r="C48" t="s">
        <v>87</v>
      </c>
      <c r="D48" s="49"/>
      <c r="E48" s="3"/>
      <c r="F48" t="s">
        <v>124</v>
      </c>
      <c r="G48" s="49"/>
    </row>
    <row r="49" spans="3:8" x14ac:dyDescent="0.35">
      <c r="C49" s="51">
        <f>$E$16*($F$16/1000)*($S$38/1000)*($C$17/1000/60)</f>
        <v>503.71160725225485</v>
      </c>
      <c r="D49" t="s">
        <v>1</v>
      </c>
      <c r="E49" s="3"/>
      <c r="F49" s="51">
        <f>$E$16*($F$16/1000)*($N$38/1000)*($C$17/1000/60)</f>
        <v>766.12657660778461</v>
      </c>
      <c r="G49" t="s">
        <v>1</v>
      </c>
    </row>
    <row r="50" spans="3:8" x14ac:dyDescent="0.35">
      <c r="C50" s="176">
        <f>$C$49/$C$46*100</f>
        <v>3.5427640539597118</v>
      </c>
      <c r="D50" t="s">
        <v>0</v>
      </c>
      <c r="E50" s="3"/>
      <c r="F50" s="176">
        <f>$F$49/$C$46*100</f>
        <v>5.3884120542610763</v>
      </c>
      <c r="G50" t="s">
        <v>0</v>
      </c>
    </row>
    <row r="51" spans="3:8" x14ac:dyDescent="0.35">
      <c r="G51" s="1"/>
      <c r="H51" s="3"/>
    </row>
    <row r="52" spans="3:8" x14ac:dyDescent="0.35">
      <c r="G52" s="1"/>
    </row>
    <row r="53" spans="3:8" x14ac:dyDescent="0.35">
      <c r="G53" s="1"/>
    </row>
    <row r="54" spans="3:8" x14ac:dyDescent="0.35">
      <c r="G54" s="1"/>
    </row>
  </sheetData>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4"/>
  <sheetViews>
    <sheetView topLeftCell="A34" workbookViewId="0">
      <selection activeCell="C17" sqref="C17"/>
    </sheetView>
  </sheetViews>
  <sheetFormatPr defaultColWidth="11" defaultRowHeight="15.5" x14ac:dyDescent="0.35"/>
  <cols>
    <col min="1" max="1" width="27.83203125" customWidth="1"/>
    <col min="2" max="2" width="21.1640625" customWidth="1"/>
    <col min="3" max="3" width="12.1640625" bestFit="1" customWidth="1"/>
    <col min="8" max="8" width="12.1640625" bestFit="1" customWidth="1"/>
    <col min="10" max="10" width="18.83203125" customWidth="1"/>
    <col min="11" max="11" width="17.5" customWidth="1"/>
    <col min="12" max="12" width="14.83203125" customWidth="1"/>
    <col min="13" max="13" width="12.5" customWidth="1"/>
    <col min="14" max="14" width="14.33203125" customWidth="1"/>
    <col min="16" max="16" width="13" customWidth="1"/>
    <col min="19" max="19" width="13.1640625" customWidth="1"/>
    <col min="20" max="20" width="16.83203125" bestFit="1" customWidth="1"/>
    <col min="21" max="21" width="13.5" customWidth="1"/>
    <col min="24" max="24" width="14" customWidth="1"/>
    <col min="27" max="27" width="11.1640625" bestFit="1" customWidth="1"/>
  </cols>
  <sheetData>
    <row r="1" spans="1:15" ht="21" x14ac:dyDescent="0.5">
      <c r="A1" s="136" t="s">
        <v>121</v>
      </c>
      <c r="B1" s="3"/>
      <c r="C1" s="3"/>
      <c r="D1" s="3"/>
    </row>
    <row r="2" spans="1:15" x14ac:dyDescent="0.35">
      <c r="A2" s="6"/>
      <c r="B2" s="3"/>
      <c r="C2" s="3"/>
      <c r="D2" s="3"/>
    </row>
    <row r="3" spans="1:15" x14ac:dyDescent="0.35">
      <c r="A3" s="6" t="s">
        <v>105</v>
      </c>
      <c r="B3" s="3"/>
      <c r="C3" s="2"/>
      <c r="D3" s="3"/>
    </row>
    <row r="4" spans="1:15" x14ac:dyDescent="0.35">
      <c r="A4" s="137" t="s">
        <v>106</v>
      </c>
      <c r="B4" s="3"/>
      <c r="C4" s="2"/>
      <c r="D4" s="3"/>
    </row>
    <row r="5" spans="1:15" x14ac:dyDescent="0.35">
      <c r="A5" s="137" t="s">
        <v>107</v>
      </c>
      <c r="B5" s="3"/>
      <c r="C5" s="2"/>
      <c r="D5" s="3"/>
    </row>
    <row r="6" spans="1:15" x14ac:dyDescent="0.35">
      <c r="A6" s="137" t="s">
        <v>108</v>
      </c>
      <c r="B6" s="3"/>
      <c r="C6" s="2"/>
      <c r="D6" s="3"/>
    </row>
    <row r="7" spans="1:15" x14ac:dyDescent="0.35">
      <c r="A7" s="137"/>
      <c r="C7" s="2"/>
    </row>
    <row r="8" spans="1:15" x14ac:dyDescent="0.35">
      <c r="A8" s="137" t="s">
        <v>120</v>
      </c>
      <c r="C8" s="2"/>
    </row>
    <row r="9" spans="1:15" x14ac:dyDescent="0.35">
      <c r="A9" s="6"/>
      <c r="C9" s="2"/>
    </row>
    <row r="10" spans="1:15" x14ac:dyDescent="0.35">
      <c r="A10" s="137" t="s">
        <v>109</v>
      </c>
      <c r="C10" s="2"/>
    </row>
    <row r="11" spans="1:15" x14ac:dyDescent="0.35">
      <c r="A11" s="6" t="s">
        <v>110</v>
      </c>
      <c r="C11" s="2"/>
    </row>
    <row r="12" spans="1:15" x14ac:dyDescent="0.35">
      <c r="A12" s="6" t="s">
        <v>112</v>
      </c>
      <c r="C12" s="2"/>
    </row>
    <row r="13" spans="1:15" x14ac:dyDescent="0.35">
      <c r="C13" s="2"/>
    </row>
    <row r="15" spans="1:15" ht="72.5" x14ac:dyDescent="0.35">
      <c r="A15" s="47" t="s">
        <v>58</v>
      </c>
      <c r="B15" s="37" t="s">
        <v>57</v>
      </c>
      <c r="C15" s="37" t="s">
        <v>56</v>
      </c>
      <c r="D15" s="44" t="s">
        <v>55</v>
      </c>
      <c r="E15" s="46" t="s">
        <v>54</v>
      </c>
      <c r="F15" s="46" t="s">
        <v>53</v>
      </c>
      <c r="G15" s="45" t="s">
        <v>52</v>
      </c>
      <c r="H15" s="178" t="s">
        <v>131</v>
      </c>
      <c r="I15" s="44" t="s">
        <v>51</v>
      </c>
      <c r="J15" s="43" t="s">
        <v>50</v>
      </c>
      <c r="K15" s="42" t="s">
        <v>49</v>
      </c>
      <c r="L15" s="41" t="s">
        <v>48</v>
      </c>
      <c r="M15" s="40" t="s">
        <v>47</v>
      </c>
      <c r="N15" s="39"/>
      <c r="O15" s="3"/>
    </row>
    <row r="16" spans="1:15" x14ac:dyDescent="0.35">
      <c r="A16" s="88">
        <f>'[6]Sponge Volume'!C32</f>
        <v>240.4577861309092</v>
      </c>
      <c r="B16" s="87">
        <f>[6]Osculum!M16</f>
        <v>0.1104072765</v>
      </c>
      <c r="C16" s="86">
        <f>[6]Osculum!N16</f>
        <v>44.468848738657307</v>
      </c>
      <c r="D16" s="85">
        <f>20.25</f>
        <v>20.25</v>
      </c>
      <c r="E16" s="84">
        <v>1022</v>
      </c>
      <c r="F16" s="83">
        <v>9806.65</v>
      </c>
      <c r="G16" s="82">
        <f>E16*9.81</f>
        <v>10025.82</v>
      </c>
      <c r="H16" s="81">
        <v>1.2070000000000001</v>
      </c>
      <c r="I16" s="31"/>
      <c r="J16" s="80">
        <f>'[6]Sponge Volume'!B32</f>
        <v>382.25053019317795</v>
      </c>
      <c r="K16" s="79">
        <f>C16*60/J16</f>
        <v>6.980058138757963</v>
      </c>
      <c r="L16" s="79">
        <f>K16/60</f>
        <v>0.11633430231263271</v>
      </c>
      <c r="M16" s="78">
        <f>(C16*3600*1000000)/(L18*L19*L20)</f>
        <v>7.1295898237352063E-3</v>
      </c>
      <c r="N16" s="27"/>
      <c r="O16" s="3"/>
    </row>
    <row r="17" spans="1:29" x14ac:dyDescent="0.35">
      <c r="A17" s="20"/>
      <c r="B17" s="17"/>
      <c r="C17" s="188">
        <f>C16*60</f>
        <v>2668.1309243194382</v>
      </c>
      <c r="D17" s="20"/>
      <c r="E17" s="20"/>
      <c r="G17" s="21"/>
      <c r="H17" s="20"/>
      <c r="I17" s="20"/>
      <c r="J17" s="20"/>
      <c r="K17" s="77" t="s">
        <v>46</v>
      </c>
      <c r="L17" s="76">
        <f>[6]Collars!K15</f>
        <v>35174.608656524295</v>
      </c>
      <c r="M17" s="20"/>
    </row>
    <row r="18" spans="1:29" x14ac:dyDescent="0.35">
      <c r="A18" s="20"/>
      <c r="C18" s="23"/>
      <c r="D18" s="21"/>
      <c r="E18" s="20"/>
      <c r="G18" s="21"/>
      <c r="H18" s="20"/>
      <c r="I18" s="20"/>
      <c r="J18" s="20"/>
      <c r="K18" s="74" t="s">
        <v>45</v>
      </c>
      <c r="L18" s="75">
        <f>L17*(J16*1000)</f>
        <v>13445512808.293957</v>
      </c>
      <c r="M18" s="20"/>
      <c r="R18" s="3"/>
    </row>
    <row r="19" spans="1:29" x14ac:dyDescent="0.35">
      <c r="A19" s="20"/>
      <c r="B19" s="20"/>
      <c r="C19" s="20"/>
      <c r="D19" s="21"/>
      <c r="E19" s="20"/>
      <c r="G19" s="21"/>
      <c r="H19" s="20"/>
      <c r="I19" s="20"/>
      <c r="J19" s="20"/>
      <c r="K19" s="74" t="s">
        <v>44</v>
      </c>
      <c r="L19" s="73">
        <f>[6]Collars!I15</f>
        <v>50</v>
      </c>
      <c r="M19" s="17"/>
      <c r="R19" s="3"/>
    </row>
    <row r="20" spans="1:29" x14ac:dyDescent="0.35">
      <c r="K20" s="72" t="s">
        <v>43</v>
      </c>
      <c r="L20" s="71">
        <f>[6]Collars!B15</f>
        <v>33.4</v>
      </c>
      <c r="R20" s="3"/>
      <c r="S20" s="2"/>
      <c r="T20" s="2"/>
      <c r="U20" s="2"/>
      <c r="V20" s="2"/>
      <c r="W20" s="2"/>
      <c r="X20" s="2"/>
      <c r="Y20" s="2"/>
      <c r="Z20" s="2"/>
      <c r="AA20" s="2"/>
      <c r="AB20" s="2"/>
      <c r="AC20" s="2"/>
    </row>
    <row r="21" spans="1:29" x14ac:dyDescent="0.35">
      <c r="R21" s="3"/>
      <c r="S21" s="2"/>
      <c r="T21" s="2"/>
      <c r="U21" s="2"/>
      <c r="V21" s="2"/>
      <c r="W21" s="2"/>
      <c r="X21" s="2"/>
      <c r="Y21" s="2"/>
      <c r="Z21" s="2"/>
      <c r="AA21" s="2"/>
      <c r="AB21" s="2"/>
      <c r="AC21" s="2"/>
    </row>
    <row r="22" spans="1:29" s="12" customFormat="1" ht="63.5" x14ac:dyDescent="0.35">
      <c r="A22" s="14" t="s">
        <v>42</v>
      </c>
      <c r="B22" s="13" t="s">
        <v>41</v>
      </c>
      <c r="C22" s="13" t="s">
        <v>40</v>
      </c>
      <c r="D22" s="13" t="s">
        <v>39</v>
      </c>
      <c r="E22" s="13" t="s">
        <v>38</v>
      </c>
      <c r="F22" s="13" t="s">
        <v>37</v>
      </c>
      <c r="G22" s="13" t="s">
        <v>36</v>
      </c>
      <c r="H22" s="13" t="s">
        <v>35</v>
      </c>
      <c r="I22" s="13" t="s">
        <v>34</v>
      </c>
      <c r="J22" s="13" t="s">
        <v>33</v>
      </c>
      <c r="K22" s="13" t="s">
        <v>63</v>
      </c>
      <c r="L22" s="156" t="s">
        <v>65</v>
      </c>
      <c r="M22" s="157" t="s">
        <v>122</v>
      </c>
      <c r="N22" s="158" t="s">
        <v>123</v>
      </c>
      <c r="O22" s="144" t="s">
        <v>71</v>
      </c>
      <c r="P22" s="145" t="s">
        <v>72</v>
      </c>
      <c r="Q22" s="145" t="s">
        <v>65</v>
      </c>
      <c r="R22" s="145" t="s">
        <v>73</v>
      </c>
      <c r="S22" s="145" t="s">
        <v>74</v>
      </c>
      <c r="T22" s="146" t="s">
        <v>32</v>
      </c>
      <c r="U22" s="145" t="s">
        <v>99</v>
      </c>
      <c r="V22" s="145" t="s">
        <v>99</v>
      </c>
      <c r="W22" s="145"/>
      <c r="X22" s="145"/>
      <c r="Y22" s="145"/>
      <c r="Z22" s="147"/>
    </row>
    <row r="23" spans="1:29" x14ac:dyDescent="0.35">
      <c r="A23" s="54" t="s">
        <v>31</v>
      </c>
      <c r="B23" s="4" t="s">
        <v>30</v>
      </c>
      <c r="C23" s="50">
        <f>([6]Ostia!B24)</f>
        <v>37.251791666666669</v>
      </c>
      <c r="D23" s="50">
        <v>0.5</v>
      </c>
      <c r="E23" s="50">
        <v>0</v>
      </c>
      <c r="F23" s="50">
        <f>E23/$E$36</f>
        <v>0</v>
      </c>
      <c r="G23" s="50">
        <f>F23*100</f>
        <v>0</v>
      </c>
      <c r="H23" s="50">
        <f>[6]Ostia!J24</f>
        <v>0.13934571176914021</v>
      </c>
      <c r="I23" s="50">
        <f>H23*$D$16</f>
        <v>2.8217506633250893</v>
      </c>
      <c r="J23" s="50">
        <f>I23/$D$16*100</f>
        <v>13.934571176914021</v>
      </c>
      <c r="K23" s="50">
        <f>$K$36/(J23/$J$36)</f>
        <v>6.5658271785869853E-3</v>
      </c>
      <c r="L23" s="159">
        <f>K23*1000</f>
        <v>6.5658271785869848</v>
      </c>
      <c r="M23" s="160">
        <f t="shared" ref="M23:M36" si="0">(8*Viscosity*L23*($D23/1000))/($F$16*(($C23/1000/2)^2))</f>
        <v>9.3175491765889497E-3</v>
      </c>
      <c r="N23" s="161">
        <f>M23*1000</f>
        <v>9.3175491765889493</v>
      </c>
      <c r="O23" s="148" t="s">
        <v>75</v>
      </c>
      <c r="P23" s="138">
        <v>15</v>
      </c>
      <c r="Q23" s="138">
        <f t="shared" ref="Q23:Q36" si="1">K23*1000</f>
        <v>6.5658271785869848</v>
      </c>
      <c r="R23" s="138">
        <f>(6*PI()*Viscosity*Q23)/($F$16*(C23/1000))</f>
        <v>0.40891213543293986</v>
      </c>
      <c r="S23" s="139">
        <f>R23*1000</f>
        <v>408.91213543293986</v>
      </c>
      <c r="T23" s="149">
        <f t="shared" ref="T23:T37" si="2">S23/$S$37*100</f>
        <v>2.8580488556726471</v>
      </c>
      <c r="U23" s="140">
        <f>S37-S23</f>
        <v>13898.475739387053</v>
      </c>
      <c r="V23" s="140">
        <f t="shared" ref="V23:V36" si="3">U23/$U$23</f>
        <v>1</v>
      </c>
      <c r="W23" s="138"/>
      <c r="X23" s="138"/>
      <c r="Y23" s="138"/>
      <c r="Z23" s="151"/>
    </row>
    <row r="24" spans="1:29" x14ac:dyDescent="0.35">
      <c r="A24" s="54" t="s">
        <v>28</v>
      </c>
      <c r="B24" s="4" t="s">
        <v>27</v>
      </c>
      <c r="C24" s="50">
        <f>[6]Canals!C29</f>
        <v>294.14950000000005</v>
      </c>
      <c r="D24" s="50">
        <f>[6]Canals!Q23</f>
        <v>1130.4580000000001</v>
      </c>
      <c r="E24" s="50">
        <f>D23+E23</f>
        <v>0.5</v>
      </c>
      <c r="F24" s="50">
        <f>E24/$E$36</f>
        <v>1.0587567876718441E-4</v>
      </c>
      <c r="G24" s="50">
        <f t="shared" ref="G24:G36" si="4">F24*100</f>
        <v>1.0587567876718442E-2</v>
      </c>
      <c r="H24" s="50">
        <f>[6]Canals!K29</f>
        <v>3.3092437600061794E-2</v>
      </c>
      <c r="I24" s="50">
        <f>H24*100</f>
        <v>3.3092437600061793</v>
      </c>
      <c r="J24" s="50">
        <f t="shared" ref="J24:J35" si="5">I24/$D$16*100</f>
        <v>16.341944493857675</v>
      </c>
      <c r="K24" s="50">
        <f>$K$36/(J24/$J$36)</f>
        <v>5.5985985137647068E-3</v>
      </c>
      <c r="L24" s="159">
        <f t="shared" ref="L24:L36" si="6">K24*1000</f>
        <v>5.5985985137647072</v>
      </c>
      <c r="M24" s="160">
        <f t="shared" si="0"/>
        <v>0.2880939246632892</v>
      </c>
      <c r="N24" s="161">
        <f t="shared" ref="N24:N36" si="7">M24*1000</f>
        <v>288.09392466328922</v>
      </c>
      <c r="O24" s="148" t="s">
        <v>76</v>
      </c>
      <c r="P24" s="138">
        <v>19</v>
      </c>
      <c r="Q24" s="138">
        <f t="shared" si="1"/>
        <v>5.5985985137647072</v>
      </c>
      <c r="R24" s="138">
        <f>(8*Viscosity*Q24*(D24/1000))/($F$16*((C24/1000/2)^2))</f>
        <v>0.2880939246632892</v>
      </c>
      <c r="S24" s="139">
        <f t="shared" ref="S24:S36" si="8">R24*1000</f>
        <v>288.09392466328922</v>
      </c>
      <c r="T24" s="149">
        <f t="shared" si="2"/>
        <v>2.0136025330683491</v>
      </c>
      <c r="U24" s="140">
        <f>U23-S24</f>
        <v>13610.381814723763</v>
      </c>
      <c r="V24" s="140">
        <f t="shared" si="3"/>
        <v>0.97927154530716942</v>
      </c>
      <c r="W24" s="138"/>
      <c r="X24" s="138"/>
      <c r="Y24" s="138"/>
      <c r="Z24" s="151"/>
    </row>
    <row r="25" spans="1:29" x14ac:dyDescent="0.35">
      <c r="A25" s="54"/>
      <c r="B25" s="4" t="s">
        <v>26</v>
      </c>
      <c r="C25" s="50">
        <f>[6]Canals!C30</f>
        <v>144.33046153846155</v>
      </c>
      <c r="D25" s="50">
        <f>[6]Canals!R23</f>
        <v>969.00300000000004</v>
      </c>
      <c r="E25" s="50">
        <f>E24+D24</f>
        <v>1130.9580000000001</v>
      </c>
      <c r="F25" s="50">
        <f>E25/$E$36</f>
        <v>0.2394818918143547</v>
      </c>
      <c r="G25" s="50">
        <f t="shared" si="4"/>
        <v>23.94818918143547</v>
      </c>
      <c r="H25" s="50">
        <f>[6]Canals!K30</f>
        <v>2.5676058220450593E-2</v>
      </c>
      <c r="I25" s="50">
        <f t="shared" ref="I25:I36" si="9">H25*100</f>
        <v>2.5676058220450595</v>
      </c>
      <c r="J25" s="50">
        <f t="shared" si="5"/>
        <v>12.679534923679306</v>
      </c>
      <c r="K25" s="50">
        <f>$K$36/(J25/$J$36)</f>
        <v>7.2157209792035552E-3</v>
      </c>
      <c r="L25" s="159">
        <f t="shared" si="6"/>
        <v>7.2157209792035548</v>
      </c>
      <c r="M25" s="160">
        <f t="shared" si="0"/>
        <v>1.321981644249453</v>
      </c>
      <c r="N25" s="161">
        <f t="shared" si="7"/>
        <v>1321.981644249453</v>
      </c>
      <c r="O25" s="148" t="s">
        <v>76</v>
      </c>
      <c r="P25" s="138">
        <v>19</v>
      </c>
      <c r="Q25" s="138">
        <f t="shared" si="1"/>
        <v>7.2157209792035548</v>
      </c>
      <c r="R25" s="138">
        <f>(8*Viscosity*Q25*(D25/1000))/($F$16*((C25/1000/2)^2))</f>
        <v>1.321981644249453</v>
      </c>
      <c r="S25" s="139">
        <f t="shared" si="8"/>
        <v>1321.981644249453</v>
      </c>
      <c r="T25" s="149">
        <f t="shared" si="2"/>
        <v>9.2398532549470378</v>
      </c>
      <c r="U25" s="140">
        <f t="shared" ref="U25:U36" si="10">U24-S25</f>
        <v>12288.40017047431</v>
      </c>
      <c r="V25" s="140">
        <f t="shared" si="3"/>
        <v>0.88415452175450204</v>
      </c>
      <c r="W25" s="138"/>
      <c r="X25" s="138"/>
      <c r="Y25" s="138"/>
      <c r="Z25" s="151"/>
    </row>
    <row r="26" spans="1:29" x14ac:dyDescent="0.35">
      <c r="A26" s="54"/>
      <c r="B26" s="4" t="s">
        <v>25</v>
      </c>
      <c r="C26" s="50">
        <f>[6]Canals!C31</f>
        <v>60.145624999999995</v>
      </c>
      <c r="D26" s="50">
        <f>[6]Canals!S23</f>
        <v>250.59699999999998</v>
      </c>
      <c r="E26" s="50">
        <f>E25+D25</f>
        <v>2099.9610000000002</v>
      </c>
      <c r="F26" s="50">
        <f>E26/$E$36</f>
        <v>0.44466959251923072</v>
      </c>
      <c r="G26" s="50">
        <f t="shared" si="4"/>
        <v>44.466959251923072</v>
      </c>
      <c r="H26" s="50">
        <f>[6]Canals!K31</f>
        <v>1.709909383918649E-2</v>
      </c>
      <c r="I26" s="50">
        <f>[6]Canals!M31</f>
        <v>1.709909383918649</v>
      </c>
      <c r="J26" s="50">
        <f t="shared" si="5"/>
        <v>8.443996957622959</v>
      </c>
      <c r="K26" s="50">
        <f>$K$36/(J26/$J$36)</f>
        <v>1.0835151482704053E-2</v>
      </c>
      <c r="L26" s="159">
        <f t="shared" si="6"/>
        <v>10.835151482704052</v>
      </c>
      <c r="M26" s="160">
        <f t="shared" si="0"/>
        <v>2.9562376478250703</v>
      </c>
      <c r="N26" s="161">
        <f t="shared" si="7"/>
        <v>2956.2376478250703</v>
      </c>
      <c r="O26" s="148" t="s">
        <v>76</v>
      </c>
      <c r="P26" s="138">
        <v>19</v>
      </c>
      <c r="Q26" s="138">
        <f t="shared" si="1"/>
        <v>10.835151482704052</v>
      </c>
      <c r="R26" s="138">
        <f>(8*Viscosity*Q26*(D26/1000))/($F$16*((C26/1000/2)^2))</f>
        <v>2.9562376478250703</v>
      </c>
      <c r="S26" s="139">
        <f t="shared" si="8"/>
        <v>2956.2376478250703</v>
      </c>
      <c r="T26" s="149">
        <f t="shared" si="2"/>
        <v>20.662315676978622</v>
      </c>
      <c r="U26" s="140">
        <f t="shared" si="10"/>
        <v>9332.1625226492397</v>
      </c>
      <c r="V26" s="140">
        <f t="shared" si="3"/>
        <v>0.67145222955656314</v>
      </c>
      <c r="W26" s="138" t="s">
        <v>77</v>
      </c>
      <c r="X26" s="138"/>
      <c r="Y26" s="138"/>
      <c r="Z26" s="151"/>
    </row>
    <row r="27" spans="1:29" x14ac:dyDescent="0.35">
      <c r="A27" s="54" t="s">
        <v>24</v>
      </c>
      <c r="B27" s="4" t="s">
        <v>23</v>
      </c>
      <c r="C27" s="50">
        <f>([6]Prosopyles!B14+[6]Prosopyles!C14)/2</f>
        <v>2.5878333333333332</v>
      </c>
      <c r="D27" s="50">
        <f>0.5</f>
        <v>0.5</v>
      </c>
      <c r="E27" s="50">
        <f t="shared" ref="E27:E36" si="11">E26+D26</f>
        <v>2350.558</v>
      </c>
      <c r="F27" s="50">
        <f>E27/$E$36</f>
        <v>0.49773384746327087</v>
      </c>
      <c r="G27" s="50">
        <f t="shared" si="4"/>
        <v>49.773384746327089</v>
      </c>
      <c r="H27" s="52">
        <f>[6]Prosopyles!E22</f>
        <v>0.17730164349874769</v>
      </c>
      <c r="I27" s="50">
        <f t="shared" si="9"/>
        <v>17.730164349874769</v>
      </c>
      <c r="J27" s="50">
        <f t="shared" si="5"/>
        <v>87.556367159875407</v>
      </c>
      <c r="K27" s="50">
        <f>$K$36/(J27/$J$36)</f>
        <v>1.0449495464821556E-3</v>
      </c>
      <c r="L27" s="159">
        <f t="shared" si="6"/>
        <v>1.0449495464821557</v>
      </c>
      <c r="M27" s="160">
        <f t="shared" si="0"/>
        <v>0.30727646204484677</v>
      </c>
      <c r="N27" s="161">
        <f t="shared" si="7"/>
        <v>307.27646204484677</v>
      </c>
      <c r="O27" s="148" t="s">
        <v>75</v>
      </c>
      <c r="P27" s="138">
        <v>15</v>
      </c>
      <c r="Q27" s="138">
        <f t="shared" si="1"/>
        <v>1.0449495464821557</v>
      </c>
      <c r="R27" s="138">
        <f>(6*PI()*Viscosity*Q27)/($F$16*(C27/1000))</f>
        <v>0.93679968665337332</v>
      </c>
      <c r="S27" s="139">
        <f t="shared" si="8"/>
        <v>936.79968665337333</v>
      </c>
      <c r="T27" s="149">
        <f t="shared" si="2"/>
        <v>6.5476640100187371</v>
      </c>
      <c r="U27" s="140">
        <f t="shared" si="10"/>
        <v>8395.3628359958657</v>
      </c>
      <c r="V27" s="140">
        <f t="shared" si="3"/>
        <v>0.60404917729245289</v>
      </c>
      <c r="W27" s="142" t="s">
        <v>78</v>
      </c>
      <c r="X27" s="138">
        <f>[6]Collars!C15/1000</f>
        <v>9.914285714285716E-5</v>
      </c>
      <c r="Y27" s="138" t="s">
        <v>113</v>
      </c>
      <c r="Z27" s="151"/>
    </row>
    <row r="28" spans="1:29" x14ac:dyDescent="0.35">
      <c r="A28" s="69" t="s">
        <v>22</v>
      </c>
      <c r="B28" s="68" t="s">
        <v>62</v>
      </c>
      <c r="C28" s="67">
        <f>[6]Collars!B21</f>
        <v>0.68558333333333332</v>
      </c>
      <c r="D28" s="65">
        <f>[6]Collars!C21</f>
        <v>2.1879090909090908</v>
      </c>
      <c r="E28" s="65">
        <f t="shared" si="11"/>
        <v>2351.058</v>
      </c>
      <c r="F28" s="65">
        <f t="shared" ref="F28:F36" si="12">E28/$E$36</f>
        <v>0.49783972314203806</v>
      </c>
      <c r="G28" s="65">
        <f t="shared" si="4"/>
        <v>49.783972314203808</v>
      </c>
      <c r="H28" s="66">
        <f>[6]Collars!G21</f>
        <v>2.6380851101804397</v>
      </c>
      <c r="I28" s="65">
        <f t="shared" si="9"/>
        <v>263.80851101804399</v>
      </c>
      <c r="J28" s="65">
        <f>I28/$D$16*100</f>
        <v>1302.7580791014518</v>
      </c>
      <c r="K28" s="65">
        <f t="shared" ref="K28:K35" si="13">$K$36/(J28/$J$36)</f>
        <v>7.0229452131620224E-5</v>
      </c>
      <c r="L28" s="159">
        <f>K28*1000</f>
        <v>7.0229452131620226E-2</v>
      </c>
      <c r="M28" s="160">
        <f t="shared" si="0"/>
        <v>1.2875515427896211</v>
      </c>
      <c r="N28" s="161">
        <f t="shared" si="7"/>
        <v>1287.5515427896212</v>
      </c>
      <c r="O28" s="148" t="s">
        <v>76</v>
      </c>
      <c r="P28" s="138">
        <v>19</v>
      </c>
      <c r="Q28" s="138">
        <f t="shared" si="1"/>
        <v>7.0229452131620226E-2</v>
      </c>
      <c r="R28" s="138">
        <f>(8*Viscosity*Q28*(D28/1000))/($F$16*((C28/1000/2)^2))</f>
        <v>1.2875515427896211</v>
      </c>
      <c r="S28" s="139">
        <f t="shared" si="8"/>
        <v>1287.5515427896212</v>
      </c>
      <c r="T28" s="149">
        <f t="shared" si="2"/>
        <v>8.9992076405199182</v>
      </c>
      <c r="U28" s="140">
        <f t="shared" si="10"/>
        <v>7107.811293206245</v>
      </c>
      <c r="V28" s="140">
        <f t="shared" si="3"/>
        <v>0.51140941110997773</v>
      </c>
      <c r="W28" s="142" t="s">
        <v>79</v>
      </c>
      <c r="X28" s="138">
        <f>[6]Collars!D15/1000</f>
        <v>7.0444444444444455E-5</v>
      </c>
      <c r="Y28" s="138" t="s">
        <v>114</v>
      </c>
      <c r="Z28" s="151"/>
    </row>
    <row r="29" spans="1:29" x14ac:dyDescent="0.35">
      <c r="A29" s="64"/>
      <c r="B29" s="63" t="s">
        <v>20</v>
      </c>
      <c r="C29" s="62">
        <f>[6]Collars!F15</f>
        <v>0.11799999999999999</v>
      </c>
      <c r="D29" s="61">
        <f>[6]Collars!C15</f>
        <v>9.9142857142857158E-2</v>
      </c>
      <c r="E29" s="61">
        <f>E28+D28</f>
        <v>2353.2459090909092</v>
      </c>
      <c r="F29" s="61">
        <f t="shared" si="12"/>
        <v>0.49830301586219988</v>
      </c>
      <c r="G29" s="61">
        <f t="shared" si="4"/>
        <v>49.830301586219989</v>
      </c>
      <c r="H29" s="61">
        <f>[6]Collars!M15</f>
        <v>10.954715971923845</v>
      </c>
      <c r="I29" s="61">
        <f t="shared" si="9"/>
        <v>1095.4715971923845</v>
      </c>
      <c r="J29" s="61">
        <f t="shared" ref="J29:J30" si="14">I29/$D$16*100</f>
        <v>5409.7362824315287</v>
      </c>
      <c r="K29" s="61">
        <f>$K$36/(J29/$J$36)</f>
        <v>1.6912466963031654E-5</v>
      </c>
      <c r="L29" s="159">
        <f t="shared" si="6"/>
        <v>1.6912466963031655E-2</v>
      </c>
      <c r="M29" s="160">
        <f t="shared" si="0"/>
        <v>0.4742867039655721</v>
      </c>
      <c r="N29" s="161">
        <f t="shared" si="7"/>
        <v>474.28670396557209</v>
      </c>
      <c r="O29" s="148" t="s">
        <v>81</v>
      </c>
      <c r="P29" s="138">
        <v>17</v>
      </c>
      <c r="Q29" s="138">
        <f t="shared" si="1"/>
        <v>1.6912466963031655E-2</v>
      </c>
      <c r="R29" s="138">
        <f>(X30*Viscosity*Q28)/(F16*X33)</f>
        <v>2.2996104126435801</v>
      </c>
      <c r="S29" s="139">
        <f t="shared" si="8"/>
        <v>2299.6104126435803</v>
      </c>
      <c r="T29" s="149">
        <f t="shared" si="2"/>
        <v>16.072887886759084</v>
      </c>
      <c r="U29" s="140">
        <f t="shared" si="10"/>
        <v>4808.2008805626647</v>
      </c>
      <c r="V29" s="140">
        <f t="shared" si="3"/>
        <v>0.3459516691414331</v>
      </c>
      <c r="W29" s="142" t="s">
        <v>80</v>
      </c>
      <c r="X29" s="138">
        <f>[6]Collars!F15/1000</f>
        <v>1.18E-4</v>
      </c>
      <c r="Y29" s="138" t="s">
        <v>115</v>
      </c>
      <c r="Z29" s="151"/>
    </row>
    <row r="30" spans="1:29" x14ac:dyDescent="0.35">
      <c r="A30" s="60"/>
      <c r="B30" s="59" t="s">
        <v>61</v>
      </c>
      <c r="C30" s="58">
        <f>[6]Collars!B22</f>
        <v>2.1879090909090908</v>
      </c>
      <c r="D30" s="56">
        <f>[6]Collars!C22</f>
        <v>2.6473333333333331</v>
      </c>
      <c r="E30" s="56">
        <f t="shared" si="11"/>
        <v>2353.3450519480521</v>
      </c>
      <c r="F30" s="56">
        <f t="shared" si="12"/>
        <v>0.49832400949678973</v>
      </c>
      <c r="G30" s="56">
        <f t="shared" si="4"/>
        <v>49.83240094967897</v>
      </c>
      <c r="H30" s="57">
        <f>[6]Collars!G22</f>
        <v>10.186785921990062</v>
      </c>
      <c r="I30" s="56">
        <f t="shared" si="9"/>
        <v>1018.6785921990062</v>
      </c>
      <c r="J30" s="56">
        <f t="shared" si="14"/>
        <v>5030.5115664148452</v>
      </c>
      <c r="K30" s="56">
        <f t="shared" si="13"/>
        <v>1.8187411945569105E-5</v>
      </c>
      <c r="L30" s="159">
        <f t="shared" si="6"/>
        <v>1.8187411945569106E-2</v>
      </c>
      <c r="M30" s="160">
        <f t="shared" si="0"/>
        <v>3.9614808323077177E-2</v>
      </c>
      <c r="N30" s="161">
        <f t="shared" si="7"/>
        <v>39.614808323077177</v>
      </c>
      <c r="O30" s="148" t="s">
        <v>76</v>
      </c>
      <c r="P30" s="138">
        <v>19</v>
      </c>
      <c r="Q30" s="138">
        <f t="shared" si="1"/>
        <v>1.8187411945569106E-2</v>
      </c>
      <c r="R30" s="138">
        <f>(8*Viscosity*Q30*(D30/1000))/($F$16*((C30/1000/2)^2))</f>
        <v>3.9614808323077177E-2</v>
      </c>
      <c r="S30" s="139">
        <f t="shared" si="8"/>
        <v>39.614808323077177</v>
      </c>
      <c r="T30" s="149">
        <f t="shared" si="2"/>
        <v>0.27688358398947499</v>
      </c>
      <c r="U30" s="140">
        <f t="shared" si="10"/>
        <v>4768.5860722395873</v>
      </c>
      <c r="V30" s="140">
        <f t="shared" si="3"/>
        <v>0.34310137037012162</v>
      </c>
      <c r="W30" s="142" t="s">
        <v>82</v>
      </c>
      <c r="X30" s="138">
        <f>(8*PI())/(1-2*LN(X31)+((X31^2)/6))</f>
        <v>11.735289527278601</v>
      </c>
      <c r="Y30" s="138"/>
      <c r="Z30" s="151"/>
    </row>
    <row r="31" spans="1:29" x14ac:dyDescent="0.35">
      <c r="A31" s="54" t="s">
        <v>18</v>
      </c>
      <c r="B31" s="4" t="s">
        <v>17</v>
      </c>
      <c r="C31" s="50">
        <f>'[6]Choanocyte Chambers'!D13</f>
        <v>15.969515625000001</v>
      </c>
      <c r="D31" s="50">
        <f>C31</f>
        <v>15.969515625000001</v>
      </c>
      <c r="E31" s="50">
        <f t="shared" si="11"/>
        <v>2355.9923852813854</v>
      </c>
      <c r="F31" s="50">
        <f t="shared" si="12"/>
        <v>0.49888458592396906</v>
      </c>
      <c r="G31" s="50">
        <f t="shared" si="4"/>
        <v>49.888458592396908</v>
      </c>
      <c r="H31" s="50">
        <f>'[6]Choanocyte Chambers'!J13</f>
        <v>6.7382600367918002</v>
      </c>
      <c r="I31" s="50">
        <f t="shared" si="9"/>
        <v>673.82600367918008</v>
      </c>
      <c r="J31" s="50">
        <f t="shared" si="5"/>
        <v>3327.5358206379265</v>
      </c>
      <c r="K31" s="50">
        <f t="shared" si="13"/>
        <v>2.7495417355957076E-5</v>
      </c>
      <c r="L31" s="159">
        <f t="shared" si="6"/>
        <v>2.7495417355957077E-2</v>
      </c>
      <c r="M31" s="160">
        <f t="shared" si="0"/>
        <v>6.7811780168665417E-3</v>
      </c>
      <c r="N31" s="161">
        <f t="shared" si="7"/>
        <v>6.7811780168665416</v>
      </c>
      <c r="O31" s="148" t="s">
        <v>76</v>
      </c>
      <c r="P31" s="138">
        <v>19</v>
      </c>
      <c r="Q31" s="138">
        <f t="shared" si="1"/>
        <v>2.7495417355957077E-2</v>
      </c>
      <c r="R31" s="138">
        <f>(8*Viscosity*Q31*(D31/1000))/($F$16*((C31/1000/2)^2))</f>
        <v>6.7811780168665417E-3</v>
      </c>
      <c r="S31" s="139">
        <f t="shared" si="8"/>
        <v>6.7811780168665416</v>
      </c>
      <c r="T31" s="149">
        <f t="shared" si="2"/>
        <v>4.739633870415258E-2</v>
      </c>
      <c r="U31" s="140">
        <f t="shared" si="10"/>
        <v>4761.8048942227206</v>
      </c>
      <c r="V31" s="140">
        <f t="shared" si="3"/>
        <v>0.34261346233300866</v>
      </c>
      <c r="W31" s="142" t="s">
        <v>83</v>
      </c>
      <c r="X31" s="138">
        <f>(PI()*X27)/X32</f>
        <v>5.1494087452277517</v>
      </c>
      <c r="Y31" s="138"/>
      <c r="Z31" s="151"/>
    </row>
    <row r="32" spans="1:29" x14ac:dyDescent="0.35">
      <c r="A32" s="54" t="s">
        <v>16</v>
      </c>
      <c r="B32" s="4" t="s">
        <v>15</v>
      </c>
      <c r="C32" s="52">
        <f>[6]Apopyle!D14</f>
        <v>4.2334999999999994</v>
      </c>
      <c r="D32" s="50">
        <v>0.5</v>
      </c>
      <c r="E32" s="50">
        <f t="shared" si="11"/>
        <v>2371.9619009063854</v>
      </c>
      <c r="F32" s="50">
        <f t="shared" si="12"/>
        <v>0.50226615253672913</v>
      </c>
      <c r="G32" s="50">
        <f t="shared" si="4"/>
        <v>50.226615253672911</v>
      </c>
      <c r="H32" s="52">
        <f>[6]Apopyle!G14</f>
        <v>0.52101576848277364</v>
      </c>
      <c r="I32" s="50">
        <f t="shared" si="9"/>
        <v>52.101576848277361</v>
      </c>
      <c r="J32" s="50">
        <f t="shared" si="5"/>
        <v>257.29173752235732</v>
      </c>
      <c r="K32" s="50">
        <f t="shared" si="13"/>
        <v>3.5559628550989412E-4</v>
      </c>
      <c r="L32" s="159">
        <f t="shared" si="6"/>
        <v>0.35559628550989414</v>
      </c>
      <c r="M32" s="160">
        <f t="shared" si="0"/>
        <v>3.907191205427709E-2</v>
      </c>
      <c r="N32" s="161">
        <f t="shared" si="7"/>
        <v>39.071912054277092</v>
      </c>
      <c r="O32" s="148" t="s">
        <v>75</v>
      </c>
      <c r="P32" s="138">
        <v>15</v>
      </c>
      <c r="Q32" s="138">
        <f t="shared" si="1"/>
        <v>0.35559628550989414</v>
      </c>
      <c r="R32" s="138">
        <f>(6*PI()*Viscosity*Q32)/($F$16*(C32/1000))</f>
        <v>0.19487017234787657</v>
      </c>
      <c r="S32" s="139">
        <f t="shared" si="8"/>
        <v>194.87017234787658</v>
      </c>
      <c r="T32" s="149">
        <f t="shared" si="2"/>
        <v>1.3620248088110793</v>
      </c>
      <c r="U32" s="140">
        <f t="shared" si="10"/>
        <v>4566.9347218748444</v>
      </c>
      <c r="V32" s="140">
        <f t="shared" si="3"/>
        <v>0.3285924879469016</v>
      </c>
      <c r="W32" s="142" t="s">
        <v>84</v>
      </c>
      <c r="X32" s="138">
        <f>(X28*X29)/(SQRT((X28^2)+(X29^2)))</f>
        <v>6.0485870721479633E-5</v>
      </c>
      <c r="Y32" s="138"/>
      <c r="Z32" s="151"/>
    </row>
    <row r="33" spans="1:29" x14ac:dyDescent="0.35">
      <c r="A33" s="54" t="s">
        <v>14</v>
      </c>
      <c r="B33" s="4" t="s">
        <v>13</v>
      </c>
      <c r="C33" s="50">
        <f>C26</f>
        <v>60.145624999999995</v>
      </c>
      <c r="D33" s="50">
        <f>D26</f>
        <v>250.59699999999998</v>
      </c>
      <c r="E33" s="50">
        <f t="shared" si="11"/>
        <v>2372.4619009063854</v>
      </c>
      <c r="F33" s="50">
        <f t="shared" si="12"/>
        <v>0.50237202821549631</v>
      </c>
      <c r="G33" s="50">
        <f t="shared" si="4"/>
        <v>50.23720282154963</v>
      </c>
      <c r="H33" s="50">
        <f>H26</f>
        <v>1.709909383918649E-2</v>
      </c>
      <c r="I33" s="50">
        <f t="shared" si="9"/>
        <v>1.709909383918649</v>
      </c>
      <c r="J33" s="50">
        <f t="shared" si="5"/>
        <v>8.443996957622959</v>
      </c>
      <c r="K33" s="50">
        <f t="shared" si="13"/>
        <v>1.0835151482704053E-2</v>
      </c>
      <c r="L33" s="159">
        <f t="shared" si="6"/>
        <v>10.835151482704052</v>
      </c>
      <c r="M33" s="160">
        <f t="shared" si="0"/>
        <v>2.9562376478250703</v>
      </c>
      <c r="N33" s="161">
        <f t="shared" si="7"/>
        <v>2956.2376478250703</v>
      </c>
      <c r="O33" s="148" t="s">
        <v>76</v>
      </c>
      <c r="P33" s="138">
        <v>19</v>
      </c>
      <c r="Q33" s="138">
        <f t="shared" si="1"/>
        <v>10.835151482704052</v>
      </c>
      <c r="R33" s="138">
        <f>(8*Viscosity*Q33*(D33/1000))/($F$16*((C33/1000/2)^2))</f>
        <v>2.9562376478250703</v>
      </c>
      <c r="S33" s="139">
        <f t="shared" si="8"/>
        <v>2956.2376478250703</v>
      </c>
      <c r="T33" s="149">
        <f t="shared" si="2"/>
        <v>20.662315676978622</v>
      </c>
      <c r="U33" s="140">
        <f t="shared" si="10"/>
        <v>1610.6970740497741</v>
      </c>
      <c r="V33" s="140">
        <f t="shared" si="3"/>
        <v>0.11589019574896266</v>
      </c>
      <c r="W33" s="142" t="s">
        <v>85</v>
      </c>
      <c r="X33" s="138">
        <f>(X28*X29)/(X28+X29)</f>
        <v>4.4110849056603775E-5</v>
      </c>
      <c r="Y33" s="138"/>
      <c r="Z33" s="151"/>
    </row>
    <row r="34" spans="1:29" x14ac:dyDescent="0.35">
      <c r="A34" s="55"/>
      <c r="B34" s="4" t="s">
        <v>12</v>
      </c>
      <c r="C34" s="50">
        <f>C25</f>
        <v>144.33046153846155</v>
      </c>
      <c r="D34" s="50">
        <f>D25</f>
        <v>969.00300000000004</v>
      </c>
      <c r="E34" s="50">
        <f t="shared" si="11"/>
        <v>2623.0589009063851</v>
      </c>
      <c r="F34" s="50">
        <f t="shared" si="12"/>
        <v>0.55543628315953641</v>
      </c>
      <c r="G34" s="50">
        <f t="shared" si="4"/>
        <v>55.54362831595364</v>
      </c>
      <c r="H34" s="50">
        <f>H25</f>
        <v>2.5676058220450593E-2</v>
      </c>
      <c r="I34" s="50">
        <f t="shared" si="9"/>
        <v>2.5676058220450595</v>
      </c>
      <c r="J34" s="50">
        <f t="shared" si="5"/>
        <v>12.679534923679306</v>
      </c>
      <c r="K34" s="50">
        <f t="shared" si="13"/>
        <v>7.2157209792035552E-3</v>
      </c>
      <c r="L34" s="159">
        <f t="shared" si="6"/>
        <v>7.2157209792035548</v>
      </c>
      <c r="M34" s="160">
        <f t="shared" si="0"/>
        <v>1.321981644249453</v>
      </c>
      <c r="N34" s="161">
        <f t="shared" si="7"/>
        <v>1321.981644249453</v>
      </c>
      <c r="O34" s="148" t="s">
        <v>76</v>
      </c>
      <c r="P34" s="138">
        <v>19</v>
      </c>
      <c r="Q34" s="138">
        <f t="shared" si="1"/>
        <v>7.2157209792035548</v>
      </c>
      <c r="R34" s="138">
        <f>(8*Viscosity*Q34*(D34/1000))/($F$16*((C34/1000/2)^2))</f>
        <v>1.321981644249453</v>
      </c>
      <c r="S34" s="139">
        <f t="shared" si="8"/>
        <v>1321.981644249453</v>
      </c>
      <c r="T34" s="149">
        <f t="shared" si="2"/>
        <v>9.2398532549470378</v>
      </c>
      <c r="U34" s="140">
        <f t="shared" si="10"/>
        <v>288.71542980032109</v>
      </c>
      <c r="V34" s="140">
        <f t="shared" si="3"/>
        <v>2.0773172196295386E-2</v>
      </c>
      <c r="W34" s="138"/>
      <c r="X34" s="138"/>
      <c r="Y34" s="138"/>
      <c r="Z34" s="151"/>
    </row>
    <row r="35" spans="1:29" x14ac:dyDescent="0.35">
      <c r="A35" s="55"/>
      <c r="B35" s="4" t="s">
        <v>11</v>
      </c>
      <c r="C35" s="50">
        <f>C24</f>
        <v>294.14950000000005</v>
      </c>
      <c r="D35" s="50">
        <f>D24</f>
        <v>1130.4580000000001</v>
      </c>
      <c r="E35" s="50">
        <f t="shared" si="11"/>
        <v>3592.0619009063853</v>
      </c>
      <c r="F35" s="50">
        <f t="shared" si="12"/>
        <v>0.76062398386441243</v>
      </c>
      <c r="G35" s="50">
        <f t="shared" si="4"/>
        <v>76.062398386441245</v>
      </c>
      <c r="H35" s="50">
        <f>H24</f>
        <v>3.3092437600061794E-2</v>
      </c>
      <c r="I35" s="50">
        <f t="shared" si="9"/>
        <v>3.3092437600061793</v>
      </c>
      <c r="J35" s="50">
        <f t="shared" si="5"/>
        <v>16.341944493857675</v>
      </c>
      <c r="K35" s="50">
        <f t="shared" si="13"/>
        <v>5.5985985137647068E-3</v>
      </c>
      <c r="L35" s="159">
        <f t="shared" si="6"/>
        <v>5.5985985137647072</v>
      </c>
      <c r="M35" s="160">
        <f t="shared" si="0"/>
        <v>0.2880939246632892</v>
      </c>
      <c r="N35" s="161">
        <f t="shared" si="7"/>
        <v>288.09392466328922</v>
      </c>
      <c r="O35" s="148" t="s">
        <v>76</v>
      </c>
      <c r="P35" s="138">
        <v>19</v>
      </c>
      <c r="Q35" s="138">
        <f t="shared" si="1"/>
        <v>5.5985985137647072</v>
      </c>
      <c r="R35" s="138">
        <f>(8*Viscosity*Q35*(D35/1000))/($F$16*((C35/1000/2)^2))</f>
        <v>0.2880939246632892</v>
      </c>
      <c r="S35" s="139">
        <f t="shared" si="8"/>
        <v>288.09392466328922</v>
      </c>
      <c r="T35" s="149">
        <f t="shared" si="2"/>
        <v>2.0136025330683491</v>
      </c>
      <c r="U35" s="140">
        <f t="shared" si="10"/>
        <v>0.62150513703187471</v>
      </c>
      <c r="V35" s="140">
        <f t="shared" si="3"/>
        <v>4.4717503464828447E-5</v>
      </c>
      <c r="W35" s="138"/>
      <c r="X35" s="138"/>
      <c r="Y35" s="138"/>
      <c r="Z35" s="151"/>
    </row>
    <row r="36" spans="1:29" x14ac:dyDescent="0.35">
      <c r="A36" s="54" t="s">
        <v>10</v>
      </c>
      <c r="B36" s="4" t="s">
        <v>9</v>
      </c>
      <c r="C36" s="50">
        <f>[6]Osculum!G16</f>
        <v>22666.25</v>
      </c>
      <c r="D36" s="50">
        <f>[6]Osculum!B18</f>
        <v>9983</v>
      </c>
      <c r="E36" s="50">
        <f t="shared" si="11"/>
        <v>4722.5199009063854</v>
      </c>
      <c r="F36" s="50">
        <f t="shared" si="12"/>
        <v>1</v>
      </c>
      <c r="G36" s="50">
        <f t="shared" si="4"/>
        <v>100</v>
      </c>
      <c r="H36" s="50">
        <f>(PI()*(C36/2/1000)^2)/(A16*1000)</f>
        <v>1.6780712090525777E-3</v>
      </c>
      <c r="I36" s="50">
        <f t="shared" si="9"/>
        <v>0.16780712090525776</v>
      </c>
      <c r="J36" s="50">
        <f>I36/$D$16*100</f>
        <v>0.82867714027287787</v>
      </c>
      <c r="K36" s="50">
        <f>B16</f>
        <v>0.1104072765</v>
      </c>
      <c r="L36" s="159">
        <f t="shared" si="6"/>
        <v>110.40727649999999</v>
      </c>
      <c r="M36" s="160">
        <f t="shared" si="0"/>
        <v>8.4495969188046471E-3</v>
      </c>
      <c r="N36" s="161">
        <f t="shared" si="7"/>
        <v>8.449596918804648</v>
      </c>
      <c r="O36" s="148" t="s">
        <v>86</v>
      </c>
      <c r="P36" s="138">
        <v>22</v>
      </c>
      <c r="Q36" s="138">
        <f t="shared" si="1"/>
        <v>110.40727649999999</v>
      </c>
      <c r="R36" s="138">
        <f>((Q36^2)/(2*F16))/1000</f>
        <v>6.2150513703188406E-4</v>
      </c>
      <c r="S36" s="139">
        <f t="shared" si="8"/>
        <v>0.62150513703188404</v>
      </c>
      <c r="T36" s="149">
        <f t="shared" si="2"/>
        <v>4.3439455368767194E-3</v>
      </c>
      <c r="U36" s="140">
        <f t="shared" si="10"/>
        <v>-9.3258734068513149E-15</v>
      </c>
      <c r="V36" s="140">
        <f t="shared" si="3"/>
        <v>-6.7099972556145947E-19</v>
      </c>
      <c r="W36" s="138"/>
      <c r="X36" s="138"/>
      <c r="Y36" s="138"/>
      <c r="Z36" s="151"/>
    </row>
    <row r="37" spans="1:29" x14ac:dyDescent="0.35">
      <c r="C37" s="50"/>
      <c r="D37" s="50"/>
      <c r="E37" s="50"/>
      <c r="F37" s="50"/>
      <c r="G37" s="50"/>
      <c r="H37" s="50"/>
      <c r="I37" s="50"/>
      <c r="J37" s="50"/>
      <c r="K37" s="50"/>
      <c r="N37" s="162">
        <f>SUM(N23:N36)</f>
        <v>11304.976186765281</v>
      </c>
      <c r="O37" s="148"/>
      <c r="P37" s="138"/>
      <c r="Q37" s="138"/>
      <c r="R37" s="138"/>
      <c r="S37" s="143">
        <f>SUM(S23:S36)</f>
        <v>14307.387874819993</v>
      </c>
      <c r="T37" s="149">
        <f t="shared" si="2"/>
        <v>100</v>
      </c>
      <c r="U37" s="140"/>
      <c r="V37" s="140">
        <f>U37/$T$23</f>
        <v>0</v>
      </c>
      <c r="W37" s="138"/>
      <c r="X37" s="138"/>
      <c r="Y37" s="138"/>
      <c r="Z37" s="151"/>
    </row>
    <row r="38" spans="1:29" x14ac:dyDescent="0.35">
      <c r="O38" s="152"/>
      <c r="P38" s="153"/>
      <c r="Q38" s="153"/>
      <c r="R38" s="153"/>
      <c r="S38" s="153"/>
      <c r="T38" s="153"/>
      <c r="U38" s="153"/>
      <c r="V38" s="153"/>
      <c r="W38" s="153"/>
      <c r="X38" s="153"/>
      <c r="Y38" s="153"/>
      <c r="Z38" s="155"/>
      <c r="AA38" s="2"/>
      <c r="AB38" s="2"/>
      <c r="AC38" s="2"/>
    </row>
    <row r="39" spans="1:29" x14ac:dyDescent="0.35">
      <c r="S39" s="2"/>
      <c r="T39" s="2"/>
      <c r="U39" s="2"/>
      <c r="V39" s="2"/>
      <c r="W39" s="2"/>
      <c r="X39" s="2"/>
      <c r="Y39" s="2"/>
      <c r="Z39" s="2"/>
      <c r="AA39" s="2"/>
      <c r="AB39" s="2"/>
      <c r="AC39" s="2"/>
    </row>
    <row r="40" spans="1:29" x14ac:dyDescent="0.35">
      <c r="S40" s="2"/>
      <c r="T40" s="2"/>
      <c r="U40" s="2"/>
      <c r="V40" s="2"/>
      <c r="W40" s="2"/>
      <c r="X40" s="2"/>
      <c r="Y40" s="2"/>
      <c r="Z40" s="2"/>
      <c r="AA40" s="2"/>
      <c r="AB40" s="2"/>
      <c r="AC40" s="2"/>
    </row>
    <row r="41" spans="1:29" x14ac:dyDescent="0.35">
      <c r="A41" t="s">
        <v>8</v>
      </c>
      <c r="H41" s="48"/>
      <c r="S41" s="2"/>
      <c r="T41" s="2"/>
      <c r="U41" s="2"/>
      <c r="V41" s="2"/>
      <c r="W41" s="2"/>
      <c r="X41" s="2"/>
      <c r="Y41" s="2"/>
      <c r="Z41" s="2"/>
      <c r="AA41" s="2"/>
      <c r="AB41" s="2"/>
      <c r="AC41" s="2"/>
    </row>
    <row r="42" spans="1:29" x14ac:dyDescent="0.35">
      <c r="A42" t="s">
        <v>60</v>
      </c>
      <c r="C42" s="53">
        <f>[6]Osculum!R16</f>
        <v>2.2023233660538528</v>
      </c>
      <c r="D42" t="s">
        <v>6</v>
      </c>
      <c r="G42" s="1"/>
      <c r="H42" s="49"/>
      <c r="X42" s="2"/>
      <c r="Y42" s="2"/>
      <c r="Z42" s="2"/>
      <c r="AA42" s="2"/>
      <c r="AB42" s="2"/>
      <c r="AC42" s="2"/>
    </row>
    <row r="43" spans="1:29" x14ac:dyDescent="0.35">
      <c r="A43" t="s">
        <v>5</v>
      </c>
      <c r="C43" s="50">
        <f>(C42/44.661)*1000</f>
        <v>49.312003001586461</v>
      </c>
      <c r="D43" t="s">
        <v>4</v>
      </c>
      <c r="G43" s="1"/>
      <c r="H43" s="49"/>
      <c r="AB43" s="2"/>
      <c r="AC43" s="2"/>
    </row>
    <row r="44" spans="1:29" x14ac:dyDescent="0.35">
      <c r="A44" t="s">
        <v>135</v>
      </c>
      <c r="C44" s="52">
        <f>C43*(C16/1000*60*60)</f>
        <v>7894.2528089199477</v>
      </c>
      <c r="D44" t="s">
        <v>3</v>
      </c>
      <c r="G44" s="1"/>
      <c r="H44" s="49"/>
    </row>
    <row r="45" spans="1:29" x14ac:dyDescent="0.35">
      <c r="C45" s="50">
        <f>C44*5.3333</f>
        <v>42102.418505812762</v>
      </c>
      <c r="D45" t="s">
        <v>2</v>
      </c>
      <c r="G45" s="1"/>
      <c r="H45" s="49"/>
    </row>
    <row r="46" spans="1:29" x14ac:dyDescent="0.35">
      <c r="G46" s="1"/>
      <c r="H46" s="49"/>
    </row>
    <row r="47" spans="1:29" x14ac:dyDescent="0.35">
      <c r="C47" t="s">
        <v>87</v>
      </c>
      <c r="D47" s="49"/>
      <c r="E47" s="49"/>
      <c r="F47" t="s">
        <v>124</v>
      </c>
      <c r="G47" s="49"/>
    </row>
    <row r="48" spans="1:29" x14ac:dyDescent="0.35">
      <c r="C48" s="51">
        <f>$E$16*($F$16/1000)*($S$37/1000)*($C$17/1000/60)</f>
        <v>6376.5799391507644</v>
      </c>
      <c r="D48" t="s">
        <v>1</v>
      </c>
      <c r="E48" s="49"/>
      <c r="F48" s="51">
        <f>$E$16*($F$16/1000)*($N$37/1000)*($C$17/1000/60)</f>
        <v>5038.4518121559322</v>
      </c>
      <c r="G48" t="s">
        <v>1</v>
      </c>
    </row>
    <row r="49" spans="3:8" x14ac:dyDescent="0.35">
      <c r="C49" s="176">
        <f>$C$48/$C$45*100</f>
        <v>15.145400586121669</v>
      </c>
      <c r="D49" t="s">
        <v>0</v>
      </c>
      <c r="E49" s="49"/>
      <c r="F49" s="176">
        <f>$F$48/$C$45*100</f>
        <v>11.96713155910583</v>
      </c>
      <c r="G49" t="s">
        <v>0</v>
      </c>
    </row>
    <row r="50" spans="3:8" x14ac:dyDescent="0.35">
      <c r="G50" s="1"/>
      <c r="H50" s="49"/>
    </row>
    <row r="51" spans="3:8" x14ac:dyDescent="0.35">
      <c r="G51" s="1"/>
      <c r="H51" s="49"/>
    </row>
    <row r="52" spans="3:8" x14ac:dyDescent="0.35">
      <c r="G52" s="1"/>
      <c r="H52" s="49"/>
    </row>
    <row r="53" spans="3:8" x14ac:dyDescent="0.35">
      <c r="G53" s="1"/>
      <c r="H53" s="48"/>
    </row>
    <row r="54" spans="3:8" x14ac:dyDescent="0.35">
      <c r="G54" s="1"/>
    </row>
  </sheetData>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Z30"/>
  <sheetViews>
    <sheetView topLeftCell="A13" workbookViewId="0">
      <selection activeCell="J32" sqref="J32"/>
    </sheetView>
  </sheetViews>
  <sheetFormatPr defaultColWidth="10.83203125" defaultRowHeight="14" x14ac:dyDescent="0.3"/>
  <cols>
    <col min="1" max="1" width="6.1640625" style="167" customWidth="1"/>
    <col min="2" max="2" width="14" style="167" customWidth="1"/>
    <col min="3" max="5" width="7.5" style="174" customWidth="1"/>
    <col min="6" max="6" width="6.1640625" style="174" customWidth="1"/>
    <col min="7" max="7" width="2.83203125" style="167" customWidth="1"/>
    <col min="8" max="10" width="7.5" style="174" customWidth="1"/>
    <col min="11" max="11" width="6.1640625" style="174" customWidth="1"/>
    <col min="12" max="12" width="2.83203125" style="167" customWidth="1"/>
    <col min="13" max="15" width="7.5" style="174" customWidth="1"/>
    <col min="16" max="16" width="6.1640625" style="174" customWidth="1"/>
    <col min="17" max="17" width="2.83203125" style="167" customWidth="1"/>
    <col min="18" max="20" width="7.5" style="174" customWidth="1"/>
    <col min="21" max="21" width="6.1640625" style="174" customWidth="1"/>
    <col min="22" max="22" width="2.83203125" style="167" customWidth="1"/>
    <col min="23" max="25" width="7.5" style="174" customWidth="1"/>
    <col min="26" max="26" width="6.1640625" style="174" customWidth="1"/>
    <col min="27" max="16384" width="10.83203125" style="167"/>
  </cols>
  <sheetData>
    <row r="6" spans="1:26" s="94" customFormat="1" ht="20" customHeight="1" x14ac:dyDescent="0.35">
      <c r="A6" s="97"/>
      <c r="B6" s="97"/>
      <c r="C6" s="185" t="s">
        <v>68</v>
      </c>
      <c r="D6" s="186"/>
      <c r="E6" s="185"/>
      <c r="F6" s="185"/>
      <c r="G6" s="125"/>
      <c r="H6" s="185" t="s">
        <v>64</v>
      </c>
      <c r="I6" s="186"/>
      <c r="J6" s="185"/>
      <c r="K6" s="185"/>
      <c r="L6" s="124"/>
      <c r="M6" s="185" t="s">
        <v>125</v>
      </c>
      <c r="N6" s="186"/>
      <c r="O6" s="185"/>
      <c r="P6" s="185"/>
      <c r="Q6" s="124"/>
      <c r="R6" s="185" t="s">
        <v>66</v>
      </c>
      <c r="S6" s="186"/>
      <c r="T6" s="185"/>
      <c r="U6" s="185"/>
      <c r="V6" s="124"/>
      <c r="W6" s="185" t="s">
        <v>67</v>
      </c>
      <c r="X6" s="186"/>
      <c r="Y6" s="185"/>
      <c r="Z6" s="185"/>
    </row>
    <row r="7" spans="1:26" ht="34" customHeight="1" x14ac:dyDescent="0.45">
      <c r="A7" s="168"/>
      <c r="B7" s="168"/>
      <c r="C7" s="169"/>
      <c r="D7" s="166"/>
      <c r="E7" s="184" t="s">
        <v>128</v>
      </c>
      <c r="F7" s="184"/>
      <c r="G7" s="170"/>
      <c r="H7" s="169"/>
      <c r="I7" s="166"/>
      <c r="J7" s="184" t="s">
        <v>128</v>
      </c>
      <c r="K7" s="184"/>
      <c r="L7" s="169"/>
      <c r="M7" s="169"/>
      <c r="N7" s="166"/>
      <c r="O7" s="184" t="s">
        <v>128</v>
      </c>
      <c r="P7" s="184"/>
      <c r="Q7" s="169"/>
      <c r="R7" s="169"/>
      <c r="S7" s="166"/>
      <c r="T7" s="184" t="s">
        <v>128</v>
      </c>
      <c r="U7" s="184"/>
      <c r="V7" s="169"/>
      <c r="W7" s="169"/>
      <c r="X7" s="166"/>
      <c r="Y7" s="184" t="s">
        <v>128</v>
      </c>
      <c r="Z7" s="184"/>
    </row>
    <row r="8" spans="1:26" ht="62" customHeight="1" thickBot="1" x14ac:dyDescent="0.35">
      <c r="A8" s="187" t="s">
        <v>98</v>
      </c>
      <c r="B8" s="187"/>
      <c r="C8" s="171" t="s">
        <v>127</v>
      </c>
      <c r="D8" s="171" t="s">
        <v>129</v>
      </c>
      <c r="E8" s="172" t="s">
        <v>126</v>
      </c>
      <c r="F8" s="173" t="s">
        <v>130</v>
      </c>
      <c r="G8" s="172"/>
      <c r="H8" s="171" t="s">
        <v>127</v>
      </c>
      <c r="I8" s="171" t="s">
        <v>129</v>
      </c>
      <c r="J8" s="172" t="s">
        <v>126</v>
      </c>
      <c r="K8" s="173" t="s">
        <v>130</v>
      </c>
      <c r="L8" s="172"/>
      <c r="M8" s="171" t="s">
        <v>127</v>
      </c>
      <c r="N8" s="171" t="s">
        <v>129</v>
      </c>
      <c r="O8" s="172" t="s">
        <v>126</v>
      </c>
      <c r="P8" s="173" t="s">
        <v>130</v>
      </c>
      <c r="Q8" s="172"/>
      <c r="R8" s="171" t="s">
        <v>127</v>
      </c>
      <c r="S8" s="171" t="s">
        <v>129</v>
      </c>
      <c r="T8" s="172" t="s">
        <v>126</v>
      </c>
      <c r="U8" s="173" t="s">
        <v>130</v>
      </c>
      <c r="V8" s="172"/>
      <c r="W8" s="171" t="s">
        <v>127</v>
      </c>
      <c r="X8" s="171" t="s">
        <v>129</v>
      </c>
      <c r="Y8" s="172" t="s">
        <v>126</v>
      </c>
      <c r="Z8" s="173" t="s">
        <v>130</v>
      </c>
    </row>
    <row r="9" spans="1:26" s="94" customFormat="1" ht="21" customHeight="1" thickTop="1" x14ac:dyDescent="0.35">
      <c r="A9" s="94" t="s">
        <v>31</v>
      </c>
      <c r="C9" s="104">
        <f>Neopetrosia!I23</f>
        <v>3.3704744003532481</v>
      </c>
      <c r="D9" s="104">
        <f>Neopetrosia!R23</f>
        <v>1.0427521160716957</v>
      </c>
      <c r="E9" s="105">
        <f>Neopetrosia!T23</f>
        <v>110.65407954690171</v>
      </c>
      <c r="F9" s="105">
        <f>Neopetrosia!$O$23</f>
        <v>3.8399870772817217</v>
      </c>
      <c r="H9" s="104">
        <f>Haliclona!I23</f>
        <v>0.89859658384714469</v>
      </c>
      <c r="I9" s="104">
        <f>Haliclona!Q23</f>
        <v>3.8996236904560306</v>
      </c>
      <c r="J9" s="105">
        <f>Haliclona!S23</f>
        <v>708.62557307912562</v>
      </c>
      <c r="K9" s="105">
        <f>Haliclona!$N23</f>
        <v>42.11016325756384</v>
      </c>
      <c r="M9" s="104">
        <f>Tethya!I23</f>
        <v>1.3754517162923923</v>
      </c>
      <c r="N9" s="104">
        <f>Tethya!Q23</f>
        <v>1.7597278781084098</v>
      </c>
      <c r="O9" s="105">
        <f>Tethya!S23</f>
        <v>112.58250712905534</v>
      </c>
      <c r="P9" s="105">
        <f>Tethya!$N23</f>
        <v>2.3554413788508883</v>
      </c>
      <c r="R9" s="110">
        <f>Callyspongia!I23</f>
        <v>12.823818067148016</v>
      </c>
      <c r="S9" s="104">
        <f>Callyspongia!Q23</f>
        <v>0.68308055269572165</v>
      </c>
      <c r="T9" s="105">
        <f>Callyspongia!S23</f>
        <v>50.799960991191902</v>
      </c>
      <c r="U9" s="105">
        <f>Callyspongia!$N23</f>
        <v>1.3822480260930172</v>
      </c>
      <c r="W9" s="104">
        <f>Cliona!I23</f>
        <v>2.8217506633250893</v>
      </c>
      <c r="X9" s="104">
        <f>Cliona!Q23</f>
        <v>6.5658271785869848</v>
      </c>
      <c r="Y9" s="105">
        <f>Cliona!S23</f>
        <v>408.91213543293986</v>
      </c>
      <c r="Z9" s="105">
        <f>Cliona!$N23</f>
        <v>9.3175491765889493</v>
      </c>
    </row>
    <row r="10" spans="1:26" s="101" customFormat="1" ht="21" customHeight="1" x14ac:dyDescent="0.35">
      <c r="A10" s="101" t="s">
        <v>29</v>
      </c>
      <c r="C10" s="111">
        <f>Neopetrosia!I24</f>
        <v>19.715075055511136</v>
      </c>
      <c r="D10" s="106">
        <f>Neopetrosia!R24</f>
        <v>0.17826811732838768</v>
      </c>
      <c r="E10" s="107">
        <f>Neopetrosia!T24</f>
        <v>9.6207894418982853</v>
      </c>
      <c r="F10" s="107">
        <f>Neopetrosia!$O$24</f>
        <v>1.151859104860375</v>
      </c>
      <c r="H10" s="111">
        <f>Haliclona!I24</f>
        <v>22.195897328339012</v>
      </c>
      <c r="I10" s="106">
        <f>Haliclona!Q24</f>
        <v>0.1578755062116434</v>
      </c>
      <c r="J10" s="107">
        <f>Haliclona!S24</f>
        <v>9.6588350031962964</v>
      </c>
      <c r="K10" s="107">
        <f>Haliclona!$N24</f>
        <v>96.499198600698435</v>
      </c>
      <c r="M10" s="111">
        <f>Tethya!I24</f>
        <v>16.711703566677897</v>
      </c>
      <c r="N10" s="106">
        <f>Tethya!Q24</f>
        <v>0.14483387169324563</v>
      </c>
      <c r="O10" s="107">
        <f>Tethya!S24</f>
        <v>3.8245805048144974</v>
      </c>
      <c r="P10" s="107">
        <f>Tethya!$N24</f>
        <v>2.1448601082776548</v>
      </c>
      <c r="R10" s="111">
        <f>Callyspongia!I24</f>
        <v>21.837696346693669</v>
      </c>
      <c r="S10" s="106">
        <f>Callyspongia!Q24</f>
        <v>0.40112750877695535</v>
      </c>
      <c r="T10" s="107">
        <f>Callyspongia!S24</f>
        <v>5.8170615217056927</v>
      </c>
      <c r="U10" s="107">
        <f>Callyspongia!$N24</f>
        <v>7.3067637555253571</v>
      </c>
      <c r="X10" s="106"/>
      <c r="Z10" s="107"/>
    </row>
    <row r="11" spans="1:26" s="112" customFormat="1" ht="21" customHeight="1" x14ac:dyDescent="0.35">
      <c r="A11" s="112" t="s">
        <v>88</v>
      </c>
      <c r="C11" s="114">
        <f>Neopetrosia!I25</f>
        <v>15.930061140334367</v>
      </c>
      <c r="D11" s="104">
        <f>Neopetrosia!R25</f>
        <v>0.22062497326109187</v>
      </c>
      <c r="E11" s="113">
        <f>Neopetrosia!T25</f>
        <v>19.478323007229363</v>
      </c>
      <c r="F11" s="105">
        <f>Neopetrosia!$O25</f>
        <v>19.478323007229363</v>
      </c>
      <c r="H11" s="114">
        <f>Haliclona!I25</f>
        <v>14.428145224313461</v>
      </c>
      <c r="I11" s="104">
        <f>Haliclona!Q25</f>
        <v>0.24287172550967481</v>
      </c>
      <c r="J11" s="113">
        <f>Haliclona!S25</f>
        <v>8.996248342596818</v>
      </c>
      <c r="K11" s="105">
        <f>Haliclona!$N25</f>
        <v>5.8478905196255662</v>
      </c>
      <c r="M11" s="114">
        <f>Tethya!I25</f>
        <v>21.702724917123394</v>
      </c>
      <c r="N11" s="104">
        <f>Tethya!Q25</f>
        <v>0.11152612123107529</v>
      </c>
      <c r="O11" s="113">
        <f>Tethya!S25</f>
        <v>1.1943692751885726</v>
      </c>
      <c r="P11" s="105">
        <f>Tethya!$N25</f>
        <v>1.1943692751885726</v>
      </c>
      <c r="R11" s="114">
        <f>Callyspongia!I25</f>
        <v>14.051651270726321</v>
      </c>
      <c r="S11" s="104">
        <f>Callyspongia!Q25</f>
        <v>0.62339297810684036</v>
      </c>
      <c r="T11" s="113">
        <f>Callyspongia!S25</f>
        <v>13.716154578266215</v>
      </c>
      <c r="U11" s="105">
        <f>Callyspongia!$N25</f>
        <v>13.716154578266215</v>
      </c>
      <c r="W11" s="115">
        <f>Cliona!I24</f>
        <v>3.3092437600061793</v>
      </c>
      <c r="X11" s="104">
        <f>Cliona!Q24</f>
        <v>5.5985985137647072</v>
      </c>
      <c r="Y11" s="113">
        <f>Cliona!S24</f>
        <v>288.09392466328922</v>
      </c>
      <c r="Z11" s="105">
        <f>Cliona!$N24</f>
        <v>288.09392466328922</v>
      </c>
    </row>
    <row r="12" spans="1:26" s="101" customFormat="1" ht="21" customHeight="1" x14ac:dyDescent="0.35">
      <c r="A12" s="101" t="s">
        <v>93</v>
      </c>
      <c r="C12" s="106">
        <f>Neopetrosia!I26</f>
        <v>7.2081099403660032</v>
      </c>
      <c r="D12" s="106">
        <f>Neopetrosia!R26</f>
        <v>0.48758542006302574</v>
      </c>
      <c r="E12" s="107">
        <f>Neopetrosia!T26</f>
        <v>57.304628253936478</v>
      </c>
      <c r="F12" s="107">
        <f>Neopetrosia!$O26</f>
        <v>57.304628253936478</v>
      </c>
      <c r="H12" s="106">
        <f>Haliclona!I26</f>
        <v>3.2127633202596568</v>
      </c>
      <c r="I12" s="106">
        <f>Haliclona!Q26</f>
        <v>1.0907085823707594</v>
      </c>
      <c r="J12" s="107">
        <f>Haliclona!S26</f>
        <v>203.50508807995121</v>
      </c>
      <c r="K12" s="107">
        <f>Haliclona!$N26</f>
        <v>45.31515813742363</v>
      </c>
      <c r="M12" s="111">
        <f>Tethya!I26</f>
        <v>24.813581168118315</v>
      </c>
      <c r="N12" s="106">
        <f>Tethya!Q26</f>
        <v>9.7544192180597261E-2</v>
      </c>
      <c r="O12" s="107">
        <f>Tethya!S26</f>
        <v>16.71438749824285</v>
      </c>
      <c r="P12" s="107">
        <f>Tethya!$N26</f>
        <v>16.71438749824285</v>
      </c>
      <c r="R12" s="106">
        <f>Callyspongia!I26</f>
        <v>2.6980583898811772</v>
      </c>
      <c r="S12" s="106">
        <f>Callyspongia!Q26</f>
        <v>3.2466683322456289</v>
      </c>
      <c r="T12" s="107">
        <f>Callyspongia!S26</f>
        <v>244.06117528675125</v>
      </c>
      <c r="U12" s="107">
        <f>Callyspongia!$N26</f>
        <v>244.06117528675125</v>
      </c>
      <c r="W12" s="106">
        <f>Cliona!I25</f>
        <v>2.5676058220450595</v>
      </c>
      <c r="X12" s="106">
        <f>Cliona!Q25</f>
        <v>7.2157209792035548</v>
      </c>
      <c r="Y12" s="107">
        <f>Cliona!S25</f>
        <v>1321.981644249453</v>
      </c>
      <c r="Z12" s="107">
        <f>Cliona!$N25</f>
        <v>1321.981644249453</v>
      </c>
    </row>
    <row r="13" spans="1:26" s="112" customFormat="1" ht="21" customHeight="1" x14ac:dyDescent="0.35">
      <c r="A13" s="112" t="s">
        <v>94</v>
      </c>
      <c r="C13" s="115">
        <f>Neopetrosia!I27</f>
        <v>5.7873356340634565</v>
      </c>
      <c r="D13" s="104">
        <f>Neopetrosia!R27</f>
        <v>0.60728624281743049</v>
      </c>
      <c r="E13" s="113">
        <f>Neopetrosia!T27</f>
        <v>611.92184125984113</v>
      </c>
      <c r="F13" s="105">
        <f>Neopetrosia!$O27</f>
        <v>611.92184125984113</v>
      </c>
      <c r="H13" s="115">
        <f>Haliclona!I27</f>
        <v>4.1574365485735045</v>
      </c>
      <c r="I13" s="104">
        <f>Haliclona!Q27</f>
        <v>0.84287240120009477</v>
      </c>
      <c r="J13" s="113">
        <f>Haliclona!S27</f>
        <v>214.52143627436985</v>
      </c>
      <c r="K13" s="105">
        <f>Haliclona!$N27</f>
        <v>277.5988053634361</v>
      </c>
      <c r="M13" s="115">
        <f>Tethya!I27</f>
        <v>3.6625672769438564</v>
      </c>
      <c r="N13" s="104">
        <f>Tethya!Q27</f>
        <v>0.66085358906265468</v>
      </c>
      <c r="O13" s="113">
        <f>Tethya!S27</f>
        <v>166.39331249100897</v>
      </c>
      <c r="P13" s="105">
        <f>Tethya!$N27</f>
        <v>166.39331249100897</v>
      </c>
      <c r="R13" s="115">
        <f>Callyspongia!I27</f>
        <v>3.6651154155832066</v>
      </c>
      <c r="S13" s="104">
        <f>Callyspongia!Q27</f>
        <v>2.3900204331172401</v>
      </c>
      <c r="T13" s="113">
        <f>Callyspongia!S27</f>
        <v>2.4526444474102136</v>
      </c>
      <c r="U13" s="105">
        <f>Callyspongia!$N27</f>
        <v>2.4526444474102136</v>
      </c>
      <c r="W13" s="115">
        <f>Cliona!I26</f>
        <v>1.709909383918649</v>
      </c>
      <c r="X13" s="104">
        <f>Cliona!Q26</f>
        <v>10.835151482704052</v>
      </c>
      <c r="Y13" s="113">
        <f>Cliona!S26</f>
        <v>2956.2376478250703</v>
      </c>
      <c r="Z13" s="105">
        <f>Cliona!$N26</f>
        <v>2956.2376478250703</v>
      </c>
    </row>
    <row r="14" spans="1:26" s="101" customFormat="1" ht="21" customHeight="1" x14ac:dyDescent="0.35">
      <c r="A14" s="101" t="s">
        <v>89</v>
      </c>
      <c r="C14" s="107">
        <f>Neopetrosia!I28</f>
        <v>494.12146396773807</v>
      </c>
      <c r="D14" s="129">
        <f>Neopetrosia!R28</f>
        <v>7.112763904065701E-3</v>
      </c>
      <c r="E14" s="107">
        <f>Neopetrosia!T28</f>
        <v>5.1323252387320242</v>
      </c>
      <c r="F14" s="107">
        <f>Neopetrosia!$O28</f>
        <v>1.2110607518342884</v>
      </c>
      <c r="H14" s="107">
        <f>Haliclona!I28</f>
        <v>345.81399320581636</v>
      </c>
      <c r="I14" s="129">
        <f>Haliclona!Q28</f>
        <v>1.0133160009079257E-2</v>
      </c>
      <c r="J14" s="107">
        <f>Haliclona!S28</f>
        <v>11.088507449551614</v>
      </c>
      <c r="K14" s="107">
        <f>Haliclona!$N28</f>
        <v>330.06099200564898</v>
      </c>
      <c r="M14" s="107">
        <f>Tethya!I28</f>
        <v>171.69405653593236</v>
      </c>
      <c r="N14" s="129">
        <f>Tethya!Q28</f>
        <v>1.4097288974270539E-2</v>
      </c>
      <c r="O14" s="107">
        <f>Tethya!S28</f>
        <v>8.1004246412422525</v>
      </c>
      <c r="P14" s="107">
        <f>Tethya!$N28</f>
        <v>1.5221447452683639</v>
      </c>
      <c r="R14" s="111">
        <f>Callyspongia!I28</f>
        <v>55.157698793055054</v>
      </c>
      <c r="S14" s="129">
        <f>Callyspongia!Q28</f>
        <v>0.15881193241658209</v>
      </c>
      <c r="T14" s="107">
        <f>Callyspongia!S28</f>
        <v>228.20901606835469</v>
      </c>
      <c r="U14" s="107">
        <f>Callyspongia!$N28</f>
        <v>119.98131257286317</v>
      </c>
      <c r="W14" s="111">
        <f>Cliona!I27</f>
        <v>17.730164349874769</v>
      </c>
      <c r="X14" s="106">
        <f>Cliona!Q27</f>
        <v>1.0449495464821557</v>
      </c>
      <c r="Y14" s="107">
        <f>Cliona!S27</f>
        <v>936.79968665337333</v>
      </c>
      <c r="Z14" s="107">
        <f>Cliona!$N27</f>
        <v>307.27646204484677</v>
      </c>
    </row>
    <row r="15" spans="1:26" s="112" customFormat="1" ht="21" customHeight="1" x14ac:dyDescent="0.35">
      <c r="A15" s="112" t="s">
        <v>62</v>
      </c>
      <c r="C15" s="113">
        <f>Neopetrosia!I29</f>
        <v>254.98667124662228</v>
      </c>
      <c r="D15" s="128">
        <f>Neopetrosia!R29</f>
        <v>1.3783345207618904E-2</v>
      </c>
      <c r="E15" s="113">
        <f>Neopetrosia!T29</f>
        <v>95.144269850220908</v>
      </c>
      <c r="F15" s="105">
        <f>Neopetrosia!$O29</f>
        <v>95.144269850220908</v>
      </c>
      <c r="H15" s="113">
        <f>Haliclona!I29</f>
        <v>775.40738747762327</v>
      </c>
      <c r="I15" s="128">
        <f>Haliclona!Q29</f>
        <v>4.5191580363094083E-3</v>
      </c>
      <c r="J15" s="113">
        <f>Haliclona!S29</f>
        <v>2.2163154080980143</v>
      </c>
      <c r="K15" s="105">
        <f>Haliclona!$N29</f>
        <v>4.9695714291031141</v>
      </c>
      <c r="M15" s="113">
        <f>Tethya!I29</f>
        <v>503.91812342104822</v>
      </c>
      <c r="N15" s="128">
        <f>Tethya!Q29</f>
        <v>4.803202380814952E-3</v>
      </c>
      <c r="O15" s="113">
        <f>Tethya!S29</f>
        <v>18.778634054135569</v>
      </c>
      <c r="P15" s="105">
        <f>Tethya!$N29</f>
        <v>18.778634054135569</v>
      </c>
      <c r="R15" s="113">
        <f>Callyspongia!I29</f>
        <v>170.12151142206824</v>
      </c>
      <c r="S15" s="128">
        <f>Callyspongia!Q29</f>
        <v>5.1490847099542852E-2</v>
      </c>
      <c r="T15" s="113">
        <f>Callyspongia!S29</f>
        <v>2194.5025373784401</v>
      </c>
      <c r="U15" s="105">
        <f>Callyspongia!$N29</f>
        <v>2194.5025373784401</v>
      </c>
      <c r="W15" s="113">
        <f>Cliona!I28</f>
        <v>263.80851101804399</v>
      </c>
      <c r="X15" s="128">
        <f>Cliona!Q28</f>
        <v>7.0229452131620226E-2</v>
      </c>
      <c r="Y15" s="113">
        <f>Cliona!S28</f>
        <v>1287.5515427896212</v>
      </c>
      <c r="Z15" s="105">
        <f>Cliona!$N28</f>
        <v>1287.5515427896212</v>
      </c>
    </row>
    <row r="16" spans="1:26" s="102" customFormat="1" ht="21" customHeight="1" x14ac:dyDescent="0.3">
      <c r="A16" s="102" t="s">
        <v>90</v>
      </c>
      <c r="C16" s="108">
        <f>Neopetrosia!I30</f>
        <v>375.57928835351771</v>
      </c>
      <c r="D16" s="130">
        <f>Neopetrosia!R30</f>
        <v>9.3577293054182067E-3</v>
      </c>
      <c r="E16" s="108">
        <f>Neopetrosia!T30</f>
        <v>287.76718505858986</v>
      </c>
      <c r="F16" s="108">
        <f>Neopetrosia!$O30</f>
        <v>540.98346093596081</v>
      </c>
      <c r="H16" s="108">
        <f>Haliclona!I30</f>
        <v>545.51985641710201</v>
      </c>
      <c r="I16" s="130">
        <f>Haliclona!Q30</f>
        <v>6.4235764937104287E-3</v>
      </c>
      <c r="J16" s="108">
        <f>Haliclona!S30</f>
        <v>470.94630367243326</v>
      </c>
      <c r="K16" s="108">
        <f>Haliclona!$N30</f>
        <v>72.702059638789805</v>
      </c>
      <c r="M16" s="108">
        <f>Tethya!I30</f>
        <v>1236.8042803010774</v>
      </c>
      <c r="N16" s="131">
        <f>Tethya!Q30</f>
        <v>1.9569957581021427E-3</v>
      </c>
      <c r="O16" s="108">
        <f>Tethya!S30</f>
        <v>147.45247049072466</v>
      </c>
      <c r="P16" s="108">
        <f>Tethya!$N30</f>
        <v>212.45747276325062</v>
      </c>
      <c r="R16" s="108">
        <f>Callyspongia!I30</f>
        <v>491.57451781115589</v>
      </c>
      <c r="S16" s="130">
        <f>Callyspongia!Q30</f>
        <v>1.7819680263292229E-2</v>
      </c>
      <c r="T16" s="108">
        <f>Callyspongia!S30</f>
        <v>667.71185926838029</v>
      </c>
      <c r="U16" s="108">
        <f>Callyspongia!$N30</f>
        <v>2838.5853977040038</v>
      </c>
      <c r="W16" s="108">
        <f>Cliona!I29</f>
        <v>1095.4715971923845</v>
      </c>
      <c r="X16" s="130">
        <f>Cliona!Q29</f>
        <v>1.6912466963031655E-2</v>
      </c>
      <c r="Y16" s="108">
        <f>Cliona!S29</f>
        <v>2299.6104126435803</v>
      </c>
      <c r="Z16" s="108">
        <f>Cliona!$N29</f>
        <v>474.28670396557209</v>
      </c>
    </row>
    <row r="17" spans="1:26" s="112" customFormat="1" ht="21" customHeight="1" x14ac:dyDescent="0.35">
      <c r="A17" s="112" t="s">
        <v>61</v>
      </c>
      <c r="C17" s="113">
        <f>Neopetrosia!I31</f>
        <v>412.45456912780691</v>
      </c>
      <c r="D17" s="128">
        <f>Neopetrosia!R31</f>
        <v>8.5211065077200592E-3</v>
      </c>
      <c r="E17" s="113">
        <f>Neopetrosia!T31</f>
        <v>11.911543970618052</v>
      </c>
      <c r="F17" s="105">
        <f>Neopetrosia!$O31</f>
        <v>11.911543970618052</v>
      </c>
      <c r="H17" s="113">
        <f>Haliclona!I31</f>
        <v>405.02914871393881</v>
      </c>
      <c r="I17" s="128">
        <f>Haliclona!Q31</f>
        <v>8.6516946685437166E-3</v>
      </c>
      <c r="J17" s="113">
        <f>Haliclona!S31</f>
        <v>11.718068453113546</v>
      </c>
      <c r="K17" s="105">
        <f>Haliclona!$N31</f>
        <v>8.7002502920944984</v>
      </c>
      <c r="M17" s="113">
        <f>Tethya!I31</f>
        <v>1077.031606866057</v>
      </c>
      <c r="N17" s="132">
        <f>Tethya!Q31</f>
        <v>2.2473070564704351E-3</v>
      </c>
      <c r="O17" s="113">
        <f>Tethya!S31</f>
        <v>6.7501754658313038</v>
      </c>
      <c r="P17" s="105">
        <f>Tethya!$N31</f>
        <v>6.7501754658313038</v>
      </c>
      <c r="R17" s="113">
        <f>Callyspongia!I31</f>
        <v>565.66268746979335</v>
      </c>
      <c r="S17" s="128">
        <f>Callyspongia!Q31</f>
        <v>1.5485731915886038E-2</v>
      </c>
      <c r="T17" s="113">
        <f>Callyspongia!S31</f>
        <v>14.631308837119688</v>
      </c>
      <c r="U17" s="105">
        <f>Callyspongia!$N31</f>
        <v>14.631308837119688</v>
      </c>
      <c r="W17" s="113">
        <f>Cliona!I30</f>
        <v>1018.6785921990062</v>
      </c>
      <c r="X17" s="128">
        <f>Cliona!Q30</f>
        <v>1.8187411945569106E-2</v>
      </c>
      <c r="Y17" s="113">
        <f>Cliona!S30</f>
        <v>39.614808323077177</v>
      </c>
      <c r="Z17" s="105">
        <f>Cliona!$N30</f>
        <v>39.614808323077177</v>
      </c>
    </row>
    <row r="18" spans="1:26" s="101" customFormat="1" ht="21" customHeight="1" x14ac:dyDescent="0.35">
      <c r="A18" s="101" t="s">
        <v>91</v>
      </c>
      <c r="C18" s="107">
        <f>Neopetrosia!I32</f>
        <v>407.69445401425924</v>
      </c>
      <c r="D18" s="129">
        <f>Neopetrosia!R32</f>
        <v>8.6205963277854788E-3</v>
      </c>
      <c r="E18" s="107">
        <f>Neopetrosia!T32</f>
        <v>1.628953048309757</v>
      </c>
      <c r="F18" s="107">
        <f>Neopetrosia!$O32</f>
        <v>1.628953048309757</v>
      </c>
      <c r="H18" s="107">
        <f>Haliclona!I32</f>
        <v>171.48565296513061</v>
      </c>
      <c r="I18" s="129">
        <f>Haliclona!Q32</f>
        <v>2.0434295615655469E-2</v>
      </c>
      <c r="J18" s="107">
        <f>Haliclona!S32</f>
        <v>3.1574146585346083</v>
      </c>
      <c r="K18" s="107">
        <f>Haliclona!$N32</f>
        <v>1.3368206118490866</v>
      </c>
      <c r="M18" s="107">
        <f>Tethya!I32</f>
        <v>487.96611168727611</v>
      </c>
      <c r="N18" s="129">
        <f>Tethya!Q32</f>
        <v>4.9602229994671473E-3</v>
      </c>
      <c r="O18" s="107">
        <f>Tethya!S32</f>
        <v>1.0354512703760221</v>
      </c>
      <c r="P18" s="107">
        <f>Tethya!$N32</f>
        <v>1.0354512703760221</v>
      </c>
      <c r="R18" s="107">
        <f>Callyspongia!I32</f>
        <v>405.98912443223594</v>
      </c>
      <c r="S18" s="129">
        <f>Callyspongia!Q32</f>
        <v>2.1576195532890294E-2</v>
      </c>
      <c r="T18" s="107">
        <f>Callyspongia!S32</f>
        <v>4.3030469416849719</v>
      </c>
      <c r="U18" s="107">
        <f>Callyspongia!$N32</f>
        <v>4.3030469416849719</v>
      </c>
      <c r="W18" s="107">
        <f>Cliona!I31</f>
        <v>673.82600367918008</v>
      </c>
      <c r="X18" s="129">
        <f>Cliona!Q31</f>
        <v>2.7495417355957077E-2</v>
      </c>
      <c r="Y18" s="107">
        <f>Cliona!S31</f>
        <v>6.7811780168665416</v>
      </c>
      <c r="Z18" s="107">
        <f>Cliona!$N31</f>
        <v>6.7811780168665416</v>
      </c>
    </row>
    <row r="19" spans="1:26" s="112" customFormat="1" ht="21" customHeight="1" x14ac:dyDescent="0.35">
      <c r="A19" s="112" t="s">
        <v>92</v>
      </c>
      <c r="C19" s="113">
        <f>Neopetrosia!I33</f>
        <v>207.94945546303398</v>
      </c>
      <c r="D19" s="104">
        <f>Neopetrosia!R33</f>
        <v>1.6901074856426317E-2</v>
      </c>
      <c r="E19" s="113">
        <f>Neopetrosia!T33</f>
        <v>2.733968911841925</v>
      </c>
      <c r="F19" s="105">
        <f>Neopetrosia!$O33</f>
        <v>0.14462680802381089</v>
      </c>
      <c r="H19" s="114">
        <f>Haliclona!I33</f>
        <v>44.571886137536126</v>
      </c>
      <c r="I19" s="104">
        <f>Haliclona!Q33</f>
        <v>7.8618807284041303E-2</v>
      </c>
      <c r="J19" s="113">
        <f>Haliclona!S33</f>
        <v>14.477967917277086</v>
      </c>
      <c r="K19" s="105">
        <f>Haliclona!$N33</f>
        <v>0.22661986300591899</v>
      </c>
      <c r="M19" s="113">
        <f>Tethya!I33</f>
        <v>110.3106381576702</v>
      </c>
      <c r="N19" s="104">
        <f>Tethya!Q33</f>
        <v>2.1941861370543464E-2</v>
      </c>
      <c r="O19" s="113">
        <f>Tethya!S33</f>
        <v>63.244180516761062</v>
      </c>
      <c r="P19" s="105">
        <f>Tethya!$N33</f>
        <v>59.613367467724785</v>
      </c>
      <c r="R19" s="114">
        <f>Callyspongia!I33</f>
        <v>40.252842858589474</v>
      </c>
      <c r="S19" s="104">
        <f>Callyspongia!Q33</f>
        <v>0.21761694605646056</v>
      </c>
      <c r="T19" s="113">
        <f>Callyspongia!S33</f>
        <v>84.504310673775848</v>
      </c>
      <c r="U19" s="105">
        <f>Callyspongia!$N33</f>
        <v>12.005939693746992</v>
      </c>
      <c r="W19" s="114">
        <f>Cliona!I32</f>
        <v>52.101576848277361</v>
      </c>
      <c r="X19" s="104">
        <f>Cliona!Q32</f>
        <v>0.35559628550989414</v>
      </c>
      <c r="Y19" s="113">
        <f>Cliona!S32</f>
        <v>194.87017234787658</v>
      </c>
      <c r="Z19" s="105">
        <f>Cliona!$N32</f>
        <v>39.071912054277092</v>
      </c>
    </row>
    <row r="20" spans="1:26" s="101" customFormat="1" ht="21" customHeight="1" x14ac:dyDescent="0.35">
      <c r="A20" s="101" t="s">
        <v>95</v>
      </c>
      <c r="C20" s="106">
        <f>Neopetrosia!I34</f>
        <v>4.661254051900066</v>
      </c>
      <c r="D20" s="106">
        <f>Neopetrosia!R34</f>
        <v>0.75399651553023284</v>
      </c>
      <c r="E20" s="107">
        <f>Neopetrosia!T34</f>
        <v>281.91914421891283</v>
      </c>
      <c r="F20" s="107">
        <f>Neopetrosia!$O34</f>
        <v>281.91914421891283</v>
      </c>
      <c r="H20" s="106">
        <f>Haliclona!I34</f>
        <v>6.7850297889605464</v>
      </c>
      <c r="I20" s="106">
        <f>Haliclona!Q34</f>
        <v>0.51645882708350199</v>
      </c>
      <c r="J20" s="107">
        <f>Haliclona!S34</f>
        <v>159.82896946281173</v>
      </c>
      <c r="K20" s="107">
        <f>Haliclona!$N34</f>
        <v>24.330231742891858</v>
      </c>
      <c r="M20" s="106">
        <f>Tethya!I34</f>
        <v>2.4702616351275837</v>
      </c>
      <c r="N20" s="106">
        <f>Tethya!Q34</f>
        <v>0.97982363314595722</v>
      </c>
      <c r="O20" s="107">
        <f>Tethya!S34</f>
        <v>264.0626827322219</v>
      </c>
      <c r="P20" s="107">
        <f>Tethya!$N34</f>
        <v>264.0626827322219</v>
      </c>
      <c r="R20" s="106">
        <f>Callyspongia!I34</f>
        <v>0.51680734247053195</v>
      </c>
      <c r="S20" s="111">
        <f>Callyspongia!Q34</f>
        <v>16.949644506020775</v>
      </c>
      <c r="T20" s="107">
        <f>Callyspongia!S34</f>
        <v>11.933765432422152</v>
      </c>
      <c r="U20" s="107">
        <f>Callyspongia!$N34</f>
        <v>11.933765432422152</v>
      </c>
      <c r="W20" s="106">
        <f>Cliona!I33</f>
        <v>1.709909383918649</v>
      </c>
      <c r="X20" s="106">
        <f>Cliona!Q33</f>
        <v>10.835151482704052</v>
      </c>
      <c r="Y20" s="107">
        <f>Cliona!S33</f>
        <v>2956.2376478250703</v>
      </c>
      <c r="Z20" s="107">
        <f>Cliona!$N33</f>
        <v>2956.2376478250703</v>
      </c>
    </row>
    <row r="21" spans="1:26" s="112" customFormat="1" ht="21" customHeight="1" x14ac:dyDescent="0.35">
      <c r="A21" s="112" t="s">
        <v>96</v>
      </c>
      <c r="C21" s="115">
        <f>Neopetrosia!I35</f>
        <v>3.4716095186080111</v>
      </c>
      <c r="D21" s="104">
        <f>Neopetrosia!R35</f>
        <v>1.0123746044293147</v>
      </c>
      <c r="E21" s="113">
        <f>Neopetrosia!T35</f>
        <v>171.63571086174494</v>
      </c>
      <c r="F21" s="105">
        <f>Neopetrosia!$O35</f>
        <v>171.63571086174494</v>
      </c>
      <c r="H21" s="115">
        <f>Haliclona!I35</f>
        <v>6.3316560106691941</v>
      </c>
      <c r="I21" s="104">
        <f>Haliclona!Q35</f>
        <v>0.55343949839164208</v>
      </c>
      <c r="J21" s="113">
        <f>Haliclona!S35</f>
        <v>55.78479860424892</v>
      </c>
      <c r="K21" s="105">
        <f>Haliclona!$N35</f>
        <v>52.057274083195196</v>
      </c>
      <c r="M21" s="114">
        <f>Tethya!I35</f>
        <v>24.813581168118315</v>
      </c>
      <c r="N21" s="104">
        <f>Tethya!Q35</f>
        <v>9.7544192180597261E-2</v>
      </c>
      <c r="O21" s="113">
        <f>Tethya!S35</f>
        <v>14.863676951484862</v>
      </c>
      <c r="P21" s="105">
        <f>Tethya!$N35</f>
        <v>14.863676951484862</v>
      </c>
      <c r="R21" s="115">
        <f>Callyspongia!I35</f>
        <v>2.8734333938444623</v>
      </c>
      <c r="S21" s="104">
        <f>Callyspongia!Q35</f>
        <v>3.048513583694715</v>
      </c>
      <c r="T21" s="113">
        <f>Callyspongia!S35</f>
        <v>411.44978269361502</v>
      </c>
      <c r="U21" s="105">
        <f>Callyspongia!$N35</f>
        <v>411.44978269361502</v>
      </c>
      <c r="W21" s="115">
        <f>Cliona!I34</f>
        <v>2.5676058220450595</v>
      </c>
      <c r="X21" s="104">
        <f>Cliona!Q34</f>
        <v>7.2157209792035548</v>
      </c>
      <c r="Y21" s="113">
        <f>Cliona!S34</f>
        <v>1321.981644249453</v>
      </c>
      <c r="Z21" s="105">
        <f>Cliona!$N34</f>
        <v>1321.981644249453</v>
      </c>
    </row>
    <row r="22" spans="1:26" s="101" customFormat="1" ht="21" customHeight="1" x14ac:dyDescent="0.35">
      <c r="A22" s="101" t="s">
        <v>97</v>
      </c>
      <c r="C22" s="106">
        <f>Neopetrosia!I36</f>
        <v>1.2128013291497441</v>
      </c>
      <c r="D22" s="106">
        <f>Neopetrosia!R36</f>
        <v>2.8978936851906152</v>
      </c>
      <c r="E22" s="107">
        <f>Neopetrosia!T36</f>
        <v>471.33029279217669</v>
      </c>
      <c r="F22" s="107">
        <f>Neopetrosia!$O36</f>
        <v>471.33029279217669</v>
      </c>
      <c r="H22" s="111">
        <f>Haliclona!I36</f>
        <v>13.107467641156248</v>
      </c>
      <c r="I22" s="106">
        <f>Haliclona!Q36</f>
        <v>0.26734290882629019</v>
      </c>
      <c r="J22" s="107">
        <f>Haliclona!S36</f>
        <v>6.4816721203508862</v>
      </c>
      <c r="K22" s="107">
        <f>Haliclona!$N36</f>
        <v>13.418023252514724</v>
      </c>
      <c r="M22" s="111">
        <f>Tethya!I36</f>
        <v>21.702724917123394</v>
      </c>
      <c r="N22" s="106">
        <f>Tethya!Q36</f>
        <v>0.11152612123107529</v>
      </c>
      <c r="O22" s="107">
        <f>Tethya!S36</f>
        <v>1.0621220232598043</v>
      </c>
      <c r="P22" s="107">
        <f>Tethya!$N36</f>
        <v>1.0621220232598043</v>
      </c>
      <c r="R22" s="106">
        <f>Callyspongia!I36</f>
        <v>3.0390099043091943</v>
      </c>
      <c r="S22" s="106">
        <f>Callyspongia!Q36</f>
        <v>2.88241927759299</v>
      </c>
      <c r="T22" s="107">
        <f>Callyspongia!S36</f>
        <v>132.26117630489009</v>
      </c>
      <c r="U22" s="107">
        <f>Callyspongia!$N36</f>
        <v>132.26117630489009</v>
      </c>
      <c r="W22" s="106">
        <f>Cliona!I35</f>
        <v>3.3092437600061793</v>
      </c>
      <c r="X22" s="106">
        <f>Cliona!Q35</f>
        <v>5.5985985137647072</v>
      </c>
      <c r="Y22" s="107">
        <f>Cliona!S35</f>
        <v>288.09392466328922</v>
      </c>
      <c r="Z22" s="107">
        <f>Cliona!$N35</f>
        <v>288.09392466328922</v>
      </c>
    </row>
    <row r="23" spans="1:26" s="112" customFormat="1" ht="21" customHeight="1" x14ac:dyDescent="0.35">
      <c r="A23" s="116" t="s">
        <v>10</v>
      </c>
      <c r="B23" s="116"/>
      <c r="C23" s="118">
        <f>Neopetrosia!I37</f>
        <v>0.25734037569598028</v>
      </c>
      <c r="D23" s="109">
        <f>Neopetrosia!R37</f>
        <v>13.657279016666667</v>
      </c>
      <c r="E23" s="117">
        <f>Neopetrosia!T37</f>
        <v>9.5099381613029752E-3</v>
      </c>
      <c r="F23" s="163">
        <f>Neopetrosia!$O37</f>
        <v>33.476351586431669</v>
      </c>
      <c r="G23" s="116"/>
      <c r="H23" s="118">
        <f>Haliclona!I37</f>
        <v>0.11510682707104589</v>
      </c>
      <c r="I23" s="109">
        <f>Haliclona!Q37</f>
        <v>30.442925199999998</v>
      </c>
      <c r="J23" s="117">
        <f>Haliclona!S37</f>
        <v>4.7252206142403108E-2</v>
      </c>
      <c r="K23" s="163">
        <f>Haliclona!$N37</f>
        <v>32.57839833902446</v>
      </c>
      <c r="L23" s="116"/>
      <c r="M23" s="118">
        <f>Tethya!I37</f>
        <v>0.11028630633536862</v>
      </c>
      <c r="N23" s="109">
        <f>Tethya!Q37</f>
        <v>21.946702275</v>
      </c>
      <c r="O23" s="117">
        <f>Tethya!S37</f>
        <v>2.4557710367326773E-2</v>
      </c>
      <c r="P23" s="163">
        <f>Tethya!$N37</f>
        <v>2.8123727743396292</v>
      </c>
      <c r="Q23" s="116"/>
      <c r="R23" s="118">
        <f>Callyspongia!I37</f>
        <v>0.14763787381862614</v>
      </c>
      <c r="S23" s="109">
        <f>Callyspongia!Q37</f>
        <v>59.332341400000004</v>
      </c>
      <c r="T23" s="117">
        <f>Callyspongia!S37</f>
        <v>0.17948671238425734</v>
      </c>
      <c r="U23" s="163">
        <f>Callyspongia!$N37</f>
        <v>176.47227851255653</v>
      </c>
      <c r="V23" s="116"/>
      <c r="W23" s="118">
        <f>Cliona!I36</f>
        <v>0.16780712090525776</v>
      </c>
      <c r="X23" s="109">
        <f>Cliona!Q36</f>
        <v>110.40727649999999</v>
      </c>
      <c r="Y23" s="117">
        <f>Cliona!S36</f>
        <v>0.62150513703188404</v>
      </c>
      <c r="Z23" s="163">
        <f>Cliona!$N36</f>
        <v>8.449596918804648</v>
      </c>
    </row>
    <row r="24" spans="1:26" s="94" customFormat="1" ht="11" customHeight="1" x14ac:dyDescent="0.35">
      <c r="A24" s="96"/>
      <c r="B24" s="96"/>
      <c r="C24" s="126"/>
      <c r="D24" s="126"/>
      <c r="E24" s="126"/>
      <c r="F24" s="126"/>
      <c r="G24" s="96"/>
      <c r="H24" s="126"/>
      <c r="I24" s="126"/>
      <c r="J24" s="126"/>
      <c r="K24" s="126"/>
      <c r="L24" s="96"/>
      <c r="M24" s="127"/>
      <c r="N24" s="126"/>
      <c r="O24" s="126"/>
      <c r="P24" s="126"/>
      <c r="Q24" s="96"/>
      <c r="R24" s="126"/>
      <c r="S24" s="126"/>
      <c r="T24" s="126"/>
      <c r="U24" s="126"/>
      <c r="V24" s="96"/>
      <c r="W24" s="126"/>
      <c r="X24" s="126"/>
      <c r="Y24" s="126"/>
      <c r="Z24" s="126"/>
    </row>
    <row r="25" spans="1:26" s="94" customFormat="1" ht="15.5" x14ac:dyDescent="0.35">
      <c r="C25" s="103"/>
      <c r="D25" s="103"/>
      <c r="E25" s="103"/>
      <c r="F25" s="103"/>
      <c r="H25" s="103"/>
      <c r="I25" s="103"/>
      <c r="J25" s="103"/>
      <c r="K25" s="103"/>
      <c r="M25" s="103"/>
      <c r="N25" s="103"/>
      <c r="O25" s="103"/>
      <c r="P25" s="103"/>
      <c r="R25" s="103"/>
      <c r="S25" s="103"/>
      <c r="T25" s="103"/>
      <c r="U25" s="103"/>
      <c r="W25" s="103"/>
      <c r="X25" s="103"/>
      <c r="Y25" s="103"/>
      <c r="Z25" s="103"/>
    </row>
    <row r="26" spans="1:26" s="94" customFormat="1" ht="21" customHeight="1" x14ac:dyDescent="0.35">
      <c r="B26" s="97" t="s">
        <v>101</v>
      </c>
      <c r="C26" s="97"/>
      <c r="D26" s="119"/>
      <c r="E26" s="183">
        <f>Neopetrosia!C17</f>
        <v>8.957665701108283</v>
      </c>
      <c r="F26" s="183"/>
      <c r="G26" s="120"/>
      <c r="H26" s="97"/>
      <c r="I26" s="120"/>
      <c r="J26" s="183">
        <f>Haliclona!C17</f>
        <v>48.587799054395688</v>
      </c>
      <c r="K26" s="183"/>
      <c r="L26" s="164"/>
      <c r="M26" s="165"/>
      <c r="N26" s="164"/>
      <c r="O26" s="183">
        <f>Tethya!C17</f>
        <v>82.132201216809008</v>
      </c>
      <c r="P26" s="183"/>
      <c r="Q26" s="120"/>
      <c r="R26" s="97"/>
      <c r="S26" s="120"/>
      <c r="T26" s="181">
        <f>Callyspongia!C17</f>
        <v>741.54465006981718</v>
      </c>
      <c r="U26" s="181"/>
      <c r="V26" s="120"/>
      <c r="W26" s="97"/>
      <c r="X26" s="120"/>
      <c r="Y26" s="181">
        <f>Cliona!C17</f>
        <v>2668.1309243194382</v>
      </c>
      <c r="Z26" s="181"/>
    </row>
    <row r="27" spans="1:26" s="94" customFormat="1" ht="21" customHeight="1" x14ac:dyDescent="0.45">
      <c r="B27" s="95" t="s">
        <v>102</v>
      </c>
      <c r="C27" s="95"/>
      <c r="D27" s="121"/>
      <c r="E27" s="182">
        <f>Neopetrosia!C46</f>
        <v>86.570679572114983</v>
      </c>
      <c r="F27" s="182"/>
      <c r="G27" s="121"/>
      <c r="H27" s="95"/>
      <c r="I27" s="121"/>
      <c r="J27" s="182">
        <f>Haliclona!C46</f>
        <v>806.99593112839239</v>
      </c>
      <c r="K27" s="182"/>
      <c r="L27" s="121"/>
      <c r="M27" s="95"/>
      <c r="N27" s="121"/>
      <c r="O27" s="182">
        <f>Tethya!C46</f>
        <v>1425.9232584952986</v>
      </c>
      <c r="P27" s="182"/>
      <c r="Q27" s="121"/>
      <c r="R27" s="95"/>
      <c r="S27" s="121"/>
      <c r="T27" s="182">
        <f>Callyspongia!C46</f>
        <v>14218.039914040039</v>
      </c>
      <c r="U27" s="182"/>
      <c r="V27" s="121"/>
      <c r="W27" s="95"/>
      <c r="X27" s="121"/>
      <c r="Y27" s="182">
        <f>Cliona!C45</f>
        <v>42102.418505812762</v>
      </c>
      <c r="Z27" s="182"/>
    </row>
    <row r="28" spans="1:26" s="96" customFormat="1" ht="21" customHeight="1" x14ac:dyDescent="0.45">
      <c r="B28" s="133" t="s">
        <v>100</v>
      </c>
      <c r="C28" s="133"/>
      <c r="D28" s="134"/>
      <c r="E28" s="135">
        <f>Neopetrosia!T38</f>
        <v>2138.1925653991157</v>
      </c>
      <c r="F28" s="135">
        <f>Neopetrosia!$O38</f>
        <v>2303.0820535273829</v>
      </c>
      <c r="G28" s="135"/>
      <c r="H28" s="133"/>
      <c r="I28" s="135"/>
      <c r="J28" s="135">
        <f>Haliclona!S38</f>
        <v>1881.0544507318018</v>
      </c>
      <c r="K28" s="135">
        <f>Haliclona!$N38</f>
        <v>1007.7514571368654</v>
      </c>
      <c r="L28" s="135"/>
      <c r="M28" s="133"/>
      <c r="N28" s="135"/>
      <c r="O28" s="135">
        <f>Tethya!S38</f>
        <v>826.08353275471495</v>
      </c>
      <c r="P28" s="135">
        <f>Tethya!$N38</f>
        <v>771.76047099946186</v>
      </c>
      <c r="Q28" s="135"/>
      <c r="R28" s="133"/>
      <c r="S28" s="135"/>
      <c r="T28" s="135">
        <f>Callyspongia!S38</f>
        <v>4066.5332871363926</v>
      </c>
      <c r="U28" s="135">
        <f>Callyspongia!$N38</f>
        <v>6185.0455321653881</v>
      </c>
      <c r="V28" s="135"/>
      <c r="W28" s="133"/>
      <c r="X28" s="135"/>
      <c r="Y28" s="135">
        <f>Cliona!S37</f>
        <v>14307.387874819993</v>
      </c>
      <c r="Z28" s="135">
        <f>Cliona!$N37</f>
        <v>11304.976186765281</v>
      </c>
    </row>
    <row r="29" spans="1:26" s="94" customFormat="1" ht="21" customHeight="1" x14ac:dyDescent="0.45">
      <c r="B29" s="95" t="s">
        <v>103</v>
      </c>
      <c r="C29" s="95"/>
      <c r="D29" s="121"/>
      <c r="E29" s="121">
        <f>Neopetrosia!C49</f>
        <v>3.2056126820314788</v>
      </c>
      <c r="F29" s="121">
        <f>Neopetrosia!$F49</f>
        <v>3.4528176545073741</v>
      </c>
      <c r="G29" s="121"/>
      <c r="H29" s="95"/>
      <c r="I29" s="121"/>
      <c r="J29" s="121">
        <f>Haliclona!C49</f>
        <v>15.296707974126653</v>
      </c>
      <c r="K29" s="121">
        <f>Haliclona!$F49</f>
        <v>8.1950204813720884</v>
      </c>
      <c r="L29" s="121"/>
      <c r="M29" s="95"/>
      <c r="N29" s="121"/>
      <c r="O29" s="121">
        <f>Tethya!C49</f>
        <v>11.355514319293746</v>
      </c>
      <c r="P29" s="121">
        <f>Tethya!$F49</f>
        <v>10.608778328113036</v>
      </c>
      <c r="Q29" s="121"/>
      <c r="R29" s="95"/>
      <c r="S29" s="121"/>
      <c r="T29" s="121">
        <f>Callyspongia!C49</f>
        <v>503.71160725225485</v>
      </c>
      <c r="U29" s="121">
        <f>Callyspongia!$F49</f>
        <v>766.12657660778461</v>
      </c>
      <c r="V29" s="121"/>
      <c r="W29" s="95"/>
      <c r="X29" s="121"/>
      <c r="Y29" s="121">
        <f>Cliona!C48</f>
        <v>6376.5799391507644</v>
      </c>
      <c r="Z29" s="121">
        <f>Cliona!$F48</f>
        <v>5038.4518121559322</v>
      </c>
    </row>
    <row r="30" spans="1:26" s="123" customFormat="1" ht="21" customHeight="1" x14ac:dyDescent="0.35">
      <c r="A30" s="98"/>
      <c r="B30" s="100" t="s">
        <v>104</v>
      </c>
      <c r="C30" s="99"/>
      <c r="D30" s="122"/>
      <c r="E30" s="122">
        <f>Neopetrosia!C50</f>
        <v>3.7028849696866981</v>
      </c>
      <c r="F30" s="122">
        <f>Neopetrosia!$F50</f>
        <v>3.9884377384736975</v>
      </c>
      <c r="G30" s="122"/>
      <c r="H30" s="99"/>
      <c r="I30" s="122"/>
      <c r="J30" s="122">
        <f>Haliclona!C50</f>
        <v>1.8955124039767877</v>
      </c>
      <c r="K30" s="122">
        <f>Haliclona!$F50</f>
        <v>1.0154971252349807</v>
      </c>
      <c r="L30" s="122"/>
      <c r="M30" s="99"/>
      <c r="N30" s="122"/>
      <c r="O30" s="122">
        <f>Tethya!C50</f>
        <v>0.79636223419741536</v>
      </c>
      <c r="P30" s="122">
        <f>Tethya!$F50</f>
        <v>0.74399363815047947</v>
      </c>
      <c r="Q30" s="122"/>
      <c r="R30" s="99"/>
      <c r="S30" s="122"/>
      <c r="T30" s="122">
        <f>Callyspongia!C50</f>
        <v>3.5427640539597118</v>
      </c>
      <c r="U30" s="122">
        <f>Callyspongia!$F50</f>
        <v>5.3884120542610763</v>
      </c>
      <c r="V30" s="122"/>
      <c r="W30" s="99"/>
      <c r="X30" s="122"/>
      <c r="Y30" s="122">
        <f>Cliona!C49</f>
        <v>15.145400586121669</v>
      </c>
      <c r="Z30" s="122">
        <f>Cliona!$F49</f>
        <v>11.96713155910583</v>
      </c>
    </row>
  </sheetData>
  <mergeCells count="21">
    <mergeCell ref="A8:B8"/>
    <mergeCell ref="E7:F7"/>
    <mergeCell ref="J7:K7"/>
    <mergeCell ref="O7:P7"/>
    <mergeCell ref="T7:U7"/>
    <mergeCell ref="Y7:Z7"/>
    <mergeCell ref="C6:F6"/>
    <mergeCell ref="H6:K6"/>
    <mergeCell ref="M6:P6"/>
    <mergeCell ref="R6:U6"/>
    <mergeCell ref="W6:Z6"/>
    <mergeCell ref="Y26:Z26"/>
    <mergeCell ref="Y27:Z27"/>
    <mergeCell ref="E27:F27"/>
    <mergeCell ref="J26:K26"/>
    <mergeCell ref="J27:K27"/>
    <mergeCell ref="O26:P26"/>
    <mergeCell ref="O27:P27"/>
    <mergeCell ref="T26:U26"/>
    <mergeCell ref="T27:U27"/>
    <mergeCell ref="E26:F26"/>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Neopetrosia</vt:lpstr>
      <vt:lpstr>Haliclona</vt:lpstr>
      <vt:lpstr>Tethya</vt:lpstr>
      <vt:lpstr>Callyspongia</vt:lpstr>
      <vt:lpstr>Cliona</vt:lpstr>
      <vt:lpstr>Table 3</vt:lpstr>
      <vt:lpstr>Callyspongia!Density</vt:lpstr>
      <vt:lpstr>Cliona!Density</vt:lpstr>
      <vt:lpstr>Haliclona!Density</vt:lpstr>
      <vt:lpstr>Tethya!Density</vt:lpstr>
      <vt:lpstr>Density</vt:lpstr>
      <vt:lpstr>Callyspongia!ExCurrentFlowRate</vt:lpstr>
      <vt:lpstr>Cliona!ExCurrentFlowRate</vt:lpstr>
      <vt:lpstr>Haliclona!ExCurrentFlowRate</vt:lpstr>
      <vt:lpstr>Tethya!ExCurrentFlowRate</vt:lpstr>
      <vt:lpstr>ExCurrentFlowRate</vt:lpstr>
      <vt:lpstr>Callyspongia!ExcurrentSpeed</vt:lpstr>
      <vt:lpstr>Cliona!ExcurrentSpeed</vt:lpstr>
      <vt:lpstr>Haliclona!ExcurrentSpeed</vt:lpstr>
      <vt:lpstr>Tethya!ExcurrentSpeed</vt:lpstr>
      <vt:lpstr>ExcurrentSpeed</vt:lpstr>
      <vt:lpstr>Callyspongia!gamma</vt:lpstr>
      <vt:lpstr>Cliona!gamma</vt:lpstr>
      <vt:lpstr>Haliclona!gamma</vt:lpstr>
      <vt:lpstr>Tethya!gamma</vt:lpstr>
      <vt:lpstr>gamma</vt:lpstr>
      <vt:lpstr>Callyspongia!Viscosity</vt:lpstr>
      <vt:lpstr>Cliona!Viscosity</vt:lpstr>
      <vt:lpstr>Haliclona!Viscosity</vt:lpstr>
      <vt:lpstr>Tethya!Viscosity</vt:lpstr>
      <vt:lpstr>Viscosity</vt:lpstr>
    </vt:vector>
  </TitlesOfParts>
  <Company>University of Alberta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Ludeman</dc:creator>
  <cp:lastModifiedBy>Sally Leys</cp:lastModifiedBy>
  <dcterms:created xsi:type="dcterms:W3CDTF">2014-06-09T21:08:11Z</dcterms:created>
  <dcterms:modified xsi:type="dcterms:W3CDTF">2016-11-11T21:02:16Z</dcterms:modified>
</cp:coreProperties>
</file>