
<file path=[Content_Types].xml><?xml version="1.0" encoding="utf-8"?>
<Types xmlns="http://schemas.openxmlformats.org/package/2006/content-types">
  <Default Extension="xml" ContentType="application/xml"/>
  <Default Extension="tif" ContentType="image/tiff"/>
  <Default Extension="vml" ContentType="application/vnd.openxmlformats-officedocument.vmlDrawing"/>
  <Default Extension="png" ContentType="image/png"/>
  <Default Extension="JPG" ContentType="image/jpeg"/>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drawings/drawing2.xml" ContentType="application/vnd.openxmlformats-officedocument.drawing+xml"/>
  <Override PartName="/xl/comments3.xml" ContentType="application/vnd.openxmlformats-officedocument.spreadsheetml.comments+xml"/>
  <Override PartName="/xl/drawings/drawing3.xml" ContentType="application/vnd.openxmlformats-officedocument.drawing+xml"/>
  <Override PartName="/xl/comments4.xml" ContentType="application/vnd.openxmlformats-officedocument.spreadsheetml.comments+xml"/>
  <Override PartName="/xl/drawings/drawing4.xml" ContentType="application/vnd.openxmlformats-officedocument.drawing+xml"/>
  <Override PartName="/xl/comments5.xml" ContentType="application/vnd.openxmlformats-officedocument.spreadsheetml.comments+xml"/>
  <Override PartName="/xl/drawings/drawing5.xml" ContentType="application/vnd.openxmlformats-officedocument.drawing+xml"/>
  <Override PartName="/xl/comments6.xml" ContentType="application/vnd.openxmlformats-officedocument.spreadsheetml.comments+xml"/>
  <Override PartName="/xl/drawings/drawing6.xml" ContentType="application/vnd.openxmlformats-officedocument.drawing+xml"/>
  <Override PartName="/xl/comments7.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comments8.xml" ContentType="application/vnd.openxmlformats-officedocument.spreadsheetml.comments+xml"/>
  <Override PartName="/xl/drawings/drawing9.xml" ContentType="application/vnd.openxmlformats-officedocument.drawing+xml"/>
  <Override PartName="/xl/comments9.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5" rupBuild="25306"/>
  <workbookPr showInkAnnotation="0" autoCompressPictures="0"/>
  <bookViews>
    <workbookView xWindow="7080" yWindow="1620" windowWidth="18100" windowHeight="12900" tabRatio="1000"/>
  </bookViews>
  <sheets>
    <sheet name="Tethya" sheetId="12" r:id="rId1"/>
    <sheet name="Ostia" sheetId="1" r:id="rId2"/>
    <sheet name="Subdermal space" sheetId="8" r:id="rId3"/>
    <sheet name="Incurrent Canals" sheetId="2" r:id="rId4"/>
    <sheet name="Prosopyles" sheetId="3" r:id="rId5"/>
    <sheet name="Collars" sheetId="5" r:id="rId6"/>
    <sheet name="Choanocyte Chambers" sheetId="4" r:id="rId7"/>
    <sheet name="Excurrent Canals" sheetId="10" r:id="rId8"/>
    <sheet name="Apopyle" sheetId="9" r:id="rId9"/>
    <sheet name="Osculum" sheetId="11" r:id="rId10"/>
    <sheet name="Sponge Volume" sheetId="13" r:id="rId11"/>
    <sheet name="Comparison table" sheetId="7" r:id="rId12"/>
  </sheets>
  <externalReferences>
    <externalReference r:id="rId13"/>
    <externalReference r:id="rId14"/>
  </externalReferences>
  <definedNames>
    <definedName name="Density" localSheetId="0">Tethya!$E$19</definedName>
    <definedName name="Density">#REF!</definedName>
    <definedName name="ExCurrentFlowRate" localSheetId="0">Tethya!$C$19</definedName>
    <definedName name="ExCurrentFlowRate">#REF!</definedName>
    <definedName name="ExcurrentSpeed" localSheetId="0">Tethya!$B$19</definedName>
    <definedName name="ExcurrentSpeed">#REF!</definedName>
    <definedName name="gamma" localSheetId="0">Tethya!$G$16</definedName>
    <definedName name="gamma">#REF!</definedName>
    <definedName name="OscDiam">'[1]Sup. Table 2. Sponge sizes'!$E$17</definedName>
    <definedName name="SpVol">'[1]Sup. Table 2. Sponge sizes'!$F$17</definedName>
    <definedName name="Viscosity" localSheetId="0">Tethya!$H$16</definedName>
    <definedName name="Viscosity">#REF!</definedName>
  </definedNames>
  <calcPr calcId="140001" concurrentCalc="0"/>
  <extLst>
    <ext xmlns:mx="http://schemas.microsoft.com/office/mac/excel/2008/main" uri="{7523E5D3-25F3-A5E0-1632-64F254C22452}">
      <mx:ArchID Flags="2"/>
    </ext>
  </extLst>
</workbook>
</file>

<file path=xl/calcChain.xml><?xml version="1.0" encoding="utf-8"?>
<calcChain xmlns="http://schemas.openxmlformats.org/spreadsheetml/2006/main">
  <c r="F50" i="12" l="1"/>
  <c r="F49" i="12"/>
  <c r="L23" i="12"/>
  <c r="M23" i="12"/>
  <c r="N23" i="12"/>
  <c r="L24" i="12"/>
  <c r="M24" i="12"/>
  <c r="N24" i="12"/>
  <c r="L25" i="12"/>
  <c r="M25" i="12"/>
  <c r="N25" i="12"/>
  <c r="L26" i="12"/>
  <c r="M26" i="12"/>
  <c r="N26" i="12"/>
  <c r="L27" i="12"/>
  <c r="M27" i="12"/>
  <c r="N27" i="12"/>
  <c r="L28" i="12"/>
  <c r="M28" i="12"/>
  <c r="N28" i="12"/>
  <c r="L29" i="12"/>
  <c r="M29" i="12"/>
  <c r="N29" i="12"/>
  <c r="L30" i="12"/>
  <c r="M30" i="12"/>
  <c r="N30" i="12"/>
  <c r="L31" i="12"/>
  <c r="M31" i="12"/>
  <c r="N31" i="12"/>
  <c r="L32" i="12"/>
  <c r="M32" i="12"/>
  <c r="N32" i="12"/>
  <c r="L33" i="12"/>
  <c r="M33" i="12"/>
  <c r="N33" i="12"/>
  <c r="L34" i="12"/>
  <c r="M34" i="12"/>
  <c r="N34" i="12"/>
  <c r="L35" i="12"/>
  <c r="M35" i="12"/>
  <c r="N35" i="12"/>
  <c r="L36" i="12"/>
  <c r="M36" i="12"/>
  <c r="N36" i="12"/>
  <c r="L37" i="12"/>
  <c r="M37" i="12"/>
  <c r="N37" i="12"/>
  <c r="N38" i="12"/>
  <c r="K37" i="12"/>
  <c r="R8" i="11"/>
  <c r="R9" i="11"/>
  <c r="R10" i="11"/>
  <c r="R11" i="11"/>
  <c r="R12" i="11"/>
  <c r="R13" i="11"/>
  <c r="R14" i="11"/>
  <c r="R15" i="11"/>
  <c r="R17" i="11"/>
  <c r="C43" i="12"/>
  <c r="R18" i="11"/>
  <c r="R19" i="11"/>
  <c r="R16" i="11"/>
  <c r="E63" i="5"/>
  <c r="G63" i="5"/>
  <c r="H63" i="5"/>
  <c r="J63" i="5"/>
  <c r="J16" i="5"/>
  <c r="L16" i="5"/>
  <c r="O17" i="11"/>
  <c r="N17" i="11"/>
  <c r="M17" i="11"/>
  <c r="L17" i="11"/>
  <c r="A16" i="12"/>
  <c r="J16" i="12"/>
  <c r="C19" i="13"/>
  <c r="G19" i="13"/>
  <c r="K19" i="13"/>
  <c r="K22" i="13"/>
  <c r="K24" i="13"/>
  <c r="H6" i="13"/>
  <c r="C18" i="13"/>
  <c r="G18" i="13"/>
  <c r="K18" i="13"/>
  <c r="K21" i="13"/>
  <c r="K23" i="13"/>
  <c r="H5" i="13"/>
  <c r="C37" i="12"/>
  <c r="H37" i="12"/>
  <c r="I37" i="12"/>
  <c r="D16" i="12"/>
  <c r="J37" i="12"/>
  <c r="B16" i="12"/>
  <c r="H32" i="12"/>
  <c r="I32" i="12"/>
  <c r="J32" i="12"/>
  <c r="K32" i="12"/>
  <c r="Q32" i="12"/>
  <c r="C33" i="12"/>
  <c r="R33" i="12"/>
  <c r="I27" i="12"/>
  <c r="J27" i="12"/>
  <c r="K27" i="12"/>
  <c r="Q27" i="12"/>
  <c r="C28" i="12"/>
  <c r="R28" i="12"/>
  <c r="V29" i="12"/>
  <c r="V28" i="12"/>
  <c r="V27" i="12"/>
  <c r="V32" i="12"/>
  <c r="V31" i="12"/>
  <c r="V30" i="12"/>
  <c r="V33" i="12"/>
  <c r="H29" i="12"/>
  <c r="I29" i="12"/>
  <c r="J29" i="12"/>
  <c r="K29" i="12"/>
  <c r="Q29" i="12"/>
  <c r="R30" i="12"/>
  <c r="S30" i="12"/>
  <c r="S28" i="12"/>
  <c r="S33" i="12"/>
  <c r="H23" i="12"/>
  <c r="I23" i="12"/>
  <c r="J23" i="12"/>
  <c r="K23" i="12"/>
  <c r="Q23" i="12"/>
  <c r="C23" i="12"/>
  <c r="R23" i="12"/>
  <c r="S23" i="12"/>
  <c r="C24" i="12"/>
  <c r="D24" i="12"/>
  <c r="R24" i="12"/>
  <c r="S24" i="12"/>
  <c r="H24" i="12"/>
  <c r="I24" i="12"/>
  <c r="J24" i="12"/>
  <c r="K24" i="12"/>
  <c r="Q24" i="12"/>
  <c r="D25" i="12"/>
  <c r="C25" i="12"/>
  <c r="R25" i="12"/>
  <c r="S25" i="12"/>
  <c r="H25" i="12"/>
  <c r="I25" i="12"/>
  <c r="J25" i="12"/>
  <c r="K25" i="12"/>
  <c r="Q25" i="12"/>
  <c r="D26" i="12"/>
  <c r="C26" i="12"/>
  <c r="R26" i="12"/>
  <c r="S26" i="12"/>
  <c r="H26" i="12"/>
  <c r="I26" i="12"/>
  <c r="J26" i="12"/>
  <c r="K26" i="12"/>
  <c r="Q26" i="12"/>
  <c r="D27" i="12"/>
  <c r="C27" i="12"/>
  <c r="R27" i="12"/>
  <c r="S27" i="12"/>
  <c r="H28" i="12"/>
  <c r="I28" i="12"/>
  <c r="J28" i="12"/>
  <c r="K28" i="12"/>
  <c r="Q28" i="12"/>
  <c r="D29" i="12"/>
  <c r="C29" i="12"/>
  <c r="R29" i="12"/>
  <c r="S29" i="12"/>
  <c r="M16" i="5"/>
  <c r="H30" i="12"/>
  <c r="I30" i="12"/>
  <c r="J30" i="12"/>
  <c r="K30" i="12"/>
  <c r="Q30" i="12"/>
  <c r="E16" i="5"/>
  <c r="C23" i="5"/>
  <c r="D31" i="12"/>
  <c r="C31" i="12"/>
  <c r="R31" i="12"/>
  <c r="S31" i="12"/>
  <c r="D23" i="5"/>
  <c r="E23" i="5"/>
  <c r="F23" i="5"/>
  <c r="G23" i="5"/>
  <c r="H31" i="12"/>
  <c r="I31" i="12"/>
  <c r="J31" i="12"/>
  <c r="K31" i="12"/>
  <c r="Q31" i="12"/>
  <c r="C32" i="12"/>
  <c r="D32" i="12"/>
  <c r="R32" i="12"/>
  <c r="S32" i="12"/>
  <c r="H33" i="12"/>
  <c r="I33" i="12"/>
  <c r="J33" i="12"/>
  <c r="K33" i="12"/>
  <c r="Q33" i="12"/>
  <c r="D34" i="12"/>
  <c r="C34" i="12"/>
  <c r="R34" i="12"/>
  <c r="S34" i="12"/>
  <c r="H34" i="12"/>
  <c r="I34" i="12"/>
  <c r="J34" i="12"/>
  <c r="K34" i="12"/>
  <c r="Q34" i="12"/>
  <c r="D35" i="12"/>
  <c r="C35" i="12"/>
  <c r="R35" i="12"/>
  <c r="S35" i="12"/>
  <c r="H35" i="12"/>
  <c r="I35" i="12"/>
  <c r="J35" i="12"/>
  <c r="K35" i="12"/>
  <c r="Q35" i="12"/>
  <c r="D36" i="12"/>
  <c r="C36" i="12"/>
  <c r="R36" i="12"/>
  <c r="S36" i="12"/>
  <c r="Q37" i="12"/>
  <c r="R37" i="12"/>
  <c r="S37" i="12"/>
  <c r="S38" i="12"/>
  <c r="C16" i="12"/>
  <c r="C17" i="12"/>
  <c r="C49" i="12"/>
  <c r="C44" i="12"/>
  <c r="C45" i="12"/>
  <c r="C46" i="12"/>
  <c r="C50" i="12"/>
  <c r="Q38" i="12"/>
  <c r="H36" i="12"/>
  <c r="I36" i="12"/>
  <c r="J36" i="12"/>
  <c r="K36" i="12"/>
  <c r="Q36" i="12"/>
  <c r="E61" i="10"/>
  <c r="F61" i="10"/>
  <c r="G61" i="10"/>
  <c r="E62" i="10"/>
  <c r="F62" i="10"/>
  <c r="G62" i="10"/>
  <c r="B63" i="10"/>
  <c r="C63" i="10"/>
  <c r="D63" i="10"/>
  <c r="E63" i="10"/>
  <c r="F63" i="10"/>
  <c r="G63" i="10"/>
  <c r="H63" i="10"/>
  <c r="I63" i="10"/>
  <c r="K63" i="10"/>
  <c r="L63" i="10"/>
  <c r="B64" i="10"/>
  <c r="C64" i="10"/>
  <c r="D64" i="10"/>
  <c r="E64" i="10"/>
  <c r="F64" i="10"/>
  <c r="G64" i="10"/>
  <c r="H64" i="10"/>
  <c r="I64" i="10"/>
  <c r="J64" i="10"/>
  <c r="K64" i="10"/>
  <c r="L64" i="10"/>
  <c r="B65" i="10"/>
  <c r="C65" i="10"/>
  <c r="D65" i="10"/>
  <c r="E65" i="10"/>
  <c r="F65" i="10"/>
  <c r="G65" i="10"/>
  <c r="H65" i="10"/>
  <c r="I65" i="10"/>
  <c r="J65" i="10"/>
  <c r="K65" i="10"/>
  <c r="L65" i="10"/>
  <c r="B66" i="10"/>
  <c r="C66" i="10"/>
  <c r="D66" i="10"/>
  <c r="E66" i="10"/>
  <c r="F66" i="10"/>
  <c r="G66" i="10"/>
  <c r="H66" i="10"/>
  <c r="I66" i="10"/>
  <c r="J66" i="10"/>
  <c r="K66" i="10"/>
  <c r="L66" i="10"/>
  <c r="D21" i="11"/>
  <c r="D20" i="11"/>
  <c r="R21" i="10"/>
  <c r="M8" i="11"/>
  <c r="M9" i="11"/>
  <c r="M10" i="11"/>
  <c r="M11" i="11"/>
  <c r="M12" i="11"/>
  <c r="M13" i="11"/>
  <c r="M14" i="11"/>
  <c r="M15" i="11"/>
  <c r="M16" i="11"/>
  <c r="G16" i="12"/>
  <c r="D28" i="12"/>
  <c r="C30" i="12"/>
  <c r="D30" i="12"/>
  <c r="B41" i="10"/>
  <c r="H41" i="10"/>
  <c r="E36" i="10"/>
  <c r="F36" i="10"/>
  <c r="G36" i="10"/>
  <c r="E37" i="10"/>
  <c r="F37" i="10"/>
  <c r="G37" i="10"/>
  <c r="G41" i="10"/>
  <c r="I41" i="10"/>
  <c r="J41" i="10"/>
  <c r="K41" i="10"/>
  <c r="K13" i="10"/>
  <c r="B57" i="10"/>
  <c r="H57" i="10"/>
  <c r="E46" i="10"/>
  <c r="F46" i="10"/>
  <c r="G46" i="10"/>
  <c r="E47" i="10"/>
  <c r="F47" i="10"/>
  <c r="G47" i="10"/>
  <c r="E48" i="10"/>
  <c r="F48" i="10"/>
  <c r="G48" i="10"/>
  <c r="E49" i="10"/>
  <c r="F49" i="10"/>
  <c r="G49" i="10"/>
  <c r="E50" i="10"/>
  <c r="F50" i="10"/>
  <c r="G50" i="10"/>
  <c r="E51" i="10"/>
  <c r="F51" i="10"/>
  <c r="G51" i="10"/>
  <c r="E52" i="10"/>
  <c r="F52" i="10"/>
  <c r="G52" i="10"/>
  <c r="E53" i="10"/>
  <c r="F53" i="10"/>
  <c r="G53" i="10"/>
  <c r="G57" i="10"/>
  <c r="I57" i="10"/>
  <c r="J57" i="10"/>
  <c r="K57" i="10"/>
  <c r="K14" i="10"/>
  <c r="K28" i="10"/>
  <c r="C41" i="10"/>
  <c r="C13" i="10"/>
  <c r="C57" i="10"/>
  <c r="C14" i="10"/>
  <c r="C28" i="10"/>
  <c r="D41" i="10"/>
  <c r="D13" i="10"/>
  <c r="D57" i="10"/>
  <c r="D14" i="10"/>
  <c r="D28" i="10"/>
  <c r="S21" i="10"/>
  <c r="D37" i="12"/>
  <c r="N8" i="11"/>
  <c r="N9" i="11"/>
  <c r="N10" i="11"/>
  <c r="N11" i="11"/>
  <c r="N12" i="11"/>
  <c r="N13" i="11"/>
  <c r="N14" i="11"/>
  <c r="N15" i="11"/>
  <c r="N16" i="11"/>
  <c r="E24" i="12"/>
  <c r="E25" i="12"/>
  <c r="E26" i="12"/>
  <c r="E27" i="12"/>
  <c r="E28" i="12"/>
  <c r="E29" i="12"/>
  <c r="E30" i="12"/>
  <c r="E31" i="12"/>
  <c r="E32" i="12"/>
  <c r="E33" i="12"/>
  <c r="E34" i="12"/>
  <c r="E35" i="12"/>
  <c r="E36" i="12"/>
  <c r="E37" i="12"/>
  <c r="F37" i="12"/>
  <c r="G37" i="12"/>
  <c r="F36" i="12"/>
  <c r="G36" i="12"/>
  <c r="F35" i="12"/>
  <c r="G35" i="12"/>
  <c r="F34" i="12"/>
  <c r="G34" i="12"/>
  <c r="F33" i="12"/>
  <c r="G33" i="12"/>
  <c r="F32" i="12"/>
  <c r="G32" i="12"/>
  <c r="F31" i="12"/>
  <c r="G31" i="12"/>
  <c r="F30" i="12"/>
  <c r="G30" i="12"/>
  <c r="F29" i="12"/>
  <c r="G29" i="12"/>
  <c r="F28" i="12"/>
  <c r="G28" i="12"/>
  <c r="H27" i="12"/>
  <c r="F27" i="12"/>
  <c r="G27" i="12"/>
  <c r="F26" i="12"/>
  <c r="G26" i="12"/>
  <c r="F25" i="12"/>
  <c r="G25" i="12"/>
  <c r="F24" i="12"/>
  <c r="G24" i="12"/>
  <c r="F23" i="12"/>
  <c r="G23" i="12"/>
  <c r="L20" i="12"/>
  <c r="L19" i="12"/>
  <c r="L17" i="12"/>
  <c r="L18" i="12"/>
  <c r="M16" i="12"/>
  <c r="K16" i="12"/>
  <c r="L16" i="12"/>
  <c r="C22" i="5"/>
  <c r="B23" i="5"/>
  <c r="B22" i="5"/>
  <c r="H33" i="11"/>
  <c r="C33" i="11"/>
  <c r="D33" i="11"/>
  <c r="E33" i="11"/>
  <c r="F33" i="11"/>
  <c r="B33" i="11"/>
  <c r="D27" i="11"/>
  <c r="E27" i="11"/>
  <c r="F27" i="11"/>
  <c r="D28" i="11"/>
  <c r="E28" i="11"/>
  <c r="F28" i="11"/>
  <c r="D29" i="11"/>
  <c r="E29" i="11"/>
  <c r="F29" i="11"/>
  <c r="D30" i="11"/>
  <c r="E30" i="11"/>
  <c r="F30" i="11"/>
  <c r="D31" i="11"/>
  <c r="E31" i="11"/>
  <c r="F31" i="11"/>
  <c r="D32" i="11"/>
  <c r="E32" i="11"/>
  <c r="F32" i="11"/>
  <c r="F26" i="11"/>
  <c r="E26" i="11"/>
  <c r="D26" i="11"/>
  <c r="B19" i="11"/>
  <c r="L76" i="1"/>
  <c r="L65" i="1"/>
  <c r="J76" i="1"/>
  <c r="J65" i="1"/>
  <c r="L48" i="1"/>
  <c r="J48" i="1"/>
  <c r="K48" i="1"/>
  <c r="M48" i="1"/>
  <c r="K65" i="1"/>
  <c r="M65" i="1"/>
  <c r="K76" i="1"/>
  <c r="M76" i="1"/>
  <c r="J18" i="1"/>
  <c r="J19" i="1"/>
  <c r="J20" i="1"/>
  <c r="J26" i="1"/>
  <c r="D80" i="1"/>
  <c r="C80" i="1"/>
  <c r="G11" i="9"/>
  <c r="C11" i="9"/>
  <c r="D11" i="9"/>
  <c r="E11" i="9"/>
  <c r="F11" i="9"/>
  <c r="B11" i="9"/>
  <c r="A11" i="9"/>
  <c r="D35" i="9"/>
  <c r="E35" i="9"/>
  <c r="F35" i="9"/>
  <c r="D36" i="9"/>
  <c r="E36" i="9"/>
  <c r="F36" i="9"/>
  <c r="D37" i="9"/>
  <c r="E37" i="9"/>
  <c r="F37" i="9"/>
  <c r="D38" i="9"/>
  <c r="E38" i="9"/>
  <c r="F38" i="9"/>
  <c r="D39" i="9"/>
  <c r="E39" i="9"/>
  <c r="F39" i="9"/>
  <c r="D40" i="9"/>
  <c r="E40" i="9"/>
  <c r="F40" i="9"/>
  <c r="D41" i="9"/>
  <c r="E41" i="9"/>
  <c r="F41" i="9"/>
  <c r="D42" i="9"/>
  <c r="E42" i="9"/>
  <c r="F42" i="9"/>
  <c r="D43" i="9"/>
  <c r="E43" i="9"/>
  <c r="F43" i="9"/>
  <c r="D44" i="9"/>
  <c r="E44" i="9"/>
  <c r="F44" i="9"/>
  <c r="F45" i="9"/>
  <c r="H45" i="9"/>
  <c r="E45" i="9"/>
  <c r="D45" i="9"/>
  <c r="C45" i="9"/>
  <c r="B45" i="9"/>
  <c r="D21" i="9"/>
  <c r="E21" i="9"/>
  <c r="F21" i="9"/>
  <c r="D22" i="9"/>
  <c r="E22" i="9"/>
  <c r="F22" i="9"/>
  <c r="D23" i="9"/>
  <c r="E23" i="9"/>
  <c r="F23" i="9"/>
  <c r="D24" i="9"/>
  <c r="E24" i="9"/>
  <c r="F24" i="9"/>
  <c r="D25" i="9"/>
  <c r="E25" i="9"/>
  <c r="F25" i="9"/>
  <c r="D26" i="9"/>
  <c r="E26" i="9"/>
  <c r="F26" i="9"/>
  <c r="D27" i="9"/>
  <c r="E27" i="9"/>
  <c r="F27" i="9"/>
  <c r="D28" i="9"/>
  <c r="E28" i="9"/>
  <c r="F28" i="9"/>
  <c r="D29" i="9"/>
  <c r="E29" i="9"/>
  <c r="F29" i="9"/>
  <c r="D30" i="9"/>
  <c r="E30" i="9"/>
  <c r="F30" i="9"/>
  <c r="F31" i="9"/>
  <c r="H31" i="9"/>
  <c r="G10" i="9"/>
  <c r="G14" i="9"/>
  <c r="I14" i="9"/>
  <c r="H14" i="9"/>
  <c r="P13" i="10"/>
  <c r="E41" i="10"/>
  <c r="E13" i="10"/>
  <c r="E57" i="10"/>
  <c r="E14" i="10"/>
  <c r="E28" i="10"/>
  <c r="F41" i="10"/>
  <c r="F13" i="10"/>
  <c r="F57" i="10"/>
  <c r="F14" i="10"/>
  <c r="F28" i="10"/>
  <c r="G13" i="10"/>
  <c r="G14" i="10"/>
  <c r="G28" i="10"/>
  <c r="H13" i="10"/>
  <c r="H14" i="10"/>
  <c r="H28" i="10"/>
  <c r="I13" i="10"/>
  <c r="I14" i="10"/>
  <c r="I28" i="10"/>
  <c r="J13" i="10"/>
  <c r="J14" i="10"/>
  <c r="J28" i="10"/>
  <c r="L41" i="10"/>
  <c r="L13" i="10"/>
  <c r="L57" i="10"/>
  <c r="L14" i="10"/>
  <c r="L28" i="10"/>
  <c r="M13" i="10"/>
  <c r="M14" i="10"/>
  <c r="M28" i="10"/>
  <c r="A14" i="10"/>
  <c r="B56" i="10"/>
  <c r="H56" i="10"/>
  <c r="G56" i="10"/>
  <c r="I56" i="10"/>
  <c r="J56" i="10"/>
  <c r="K56" i="10"/>
  <c r="L56" i="10"/>
  <c r="F56" i="10"/>
  <c r="E56" i="10"/>
  <c r="D56" i="10"/>
  <c r="C56" i="10"/>
  <c r="B55" i="10"/>
  <c r="H55" i="10"/>
  <c r="G55" i="10"/>
  <c r="I55" i="10"/>
  <c r="J55" i="10"/>
  <c r="K55" i="10"/>
  <c r="L55" i="10"/>
  <c r="F55" i="10"/>
  <c r="E55" i="10"/>
  <c r="D55" i="10"/>
  <c r="C55" i="10"/>
  <c r="B54" i="10"/>
  <c r="H54" i="10"/>
  <c r="G54" i="10"/>
  <c r="I54" i="10"/>
  <c r="K54" i="10"/>
  <c r="L54" i="10"/>
  <c r="F54" i="10"/>
  <c r="E54" i="10"/>
  <c r="D54" i="10"/>
  <c r="C54" i="10"/>
  <c r="C13" i="4"/>
  <c r="D13" i="4"/>
  <c r="E13" i="4"/>
  <c r="F13" i="4"/>
  <c r="G13" i="4"/>
  <c r="H13" i="4"/>
  <c r="I13" i="4"/>
  <c r="J13" i="4"/>
  <c r="K13" i="4"/>
  <c r="L13" i="4"/>
  <c r="M13" i="4"/>
  <c r="N13" i="4"/>
  <c r="O13" i="4"/>
  <c r="P13" i="4"/>
  <c r="B13" i="4"/>
  <c r="J12" i="4"/>
  <c r="K12" i="4"/>
  <c r="L12" i="4"/>
  <c r="M12" i="4"/>
  <c r="N12" i="4"/>
  <c r="O12" i="4"/>
  <c r="P12" i="4"/>
  <c r="I12" i="4"/>
  <c r="H12" i="4"/>
  <c r="E12" i="4"/>
  <c r="F12" i="4"/>
  <c r="G12" i="4"/>
  <c r="C12" i="4"/>
  <c r="D12" i="4"/>
  <c r="B12" i="4"/>
  <c r="A12" i="4"/>
  <c r="F84" i="4"/>
  <c r="G84" i="4"/>
  <c r="H84" i="4"/>
  <c r="F85" i="4"/>
  <c r="G85" i="4"/>
  <c r="H85" i="4"/>
  <c r="F86" i="4"/>
  <c r="G86" i="4"/>
  <c r="H86" i="4"/>
  <c r="F87" i="4"/>
  <c r="G87" i="4"/>
  <c r="H87" i="4"/>
  <c r="F88" i="4"/>
  <c r="G88" i="4"/>
  <c r="H88" i="4"/>
  <c r="F89" i="4"/>
  <c r="G89" i="4"/>
  <c r="H89" i="4"/>
  <c r="F90" i="4"/>
  <c r="G90" i="4"/>
  <c r="H90" i="4"/>
  <c r="F91" i="4"/>
  <c r="G91" i="4"/>
  <c r="H91" i="4"/>
  <c r="F92" i="4"/>
  <c r="G92" i="4"/>
  <c r="H92" i="4"/>
  <c r="F93" i="4"/>
  <c r="G93" i="4"/>
  <c r="H93" i="4"/>
  <c r="F94" i="4"/>
  <c r="G94" i="4"/>
  <c r="H94" i="4"/>
  <c r="F95" i="4"/>
  <c r="G95" i="4"/>
  <c r="H95" i="4"/>
  <c r="F96" i="4"/>
  <c r="G96" i="4"/>
  <c r="H96" i="4"/>
  <c r="F97" i="4"/>
  <c r="G97" i="4"/>
  <c r="H97" i="4"/>
  <c r="F98" i="4"/>
  <c r="G98" i="4"/>
  <c r="H98" i="4"/>
  <c r="F99" i="4"/>
  <c r="G99" i="4"/>
  <c r="H99" i="4"/>
  <c r="F100" i="4"/>
  <c r="G100" i="4"/>
  <c r="H100" i="4"/>
  <c r="F101" i="4"/>
  <c r="G101" i="4"/>
  <c r="H101" i="4"/>
  <c r="F102" i="4"/>
  <c r="G102" i="4"/>
  <c r="H102" i="4"/>
  <c r="F103" i="4"/>
  <c r="G103" i="4"/>
  <c r="H103" i="4"/>
  <c r="F104" i="4"/>
  <c r="G104" i="4"/>
  <c r="H104" i="4"/>
  <c r="H105" i="4"/>
  <c r="G105" i="4"/>
  <c r="F105" i="4"/>
  <c r="E105" i="4"/>
  <c r="D105" i="4"/>
  <c r="C105" i="4"/>
  <c r="E80" i="4"/>
  <c r="D80" i="4"/>
  <c r="D11" i="4"/>
  <c r="H11" i="4"/>
  <c r="M11" i="4"/>
  <c r="C80" i="4"/>
  <c r="C11" i="4"/>
  <c r="B11" i="4"/>
  <c r="E11" i="4"/>
  <c r="F11" i="4"/>
  <c r="G11" i="4"/>
  <c r="P11" i="4"/>
  <c r="N11" i="4"/>
  <c r="O11" i="4"/>
  <c r="F44" i="4"/>
  <c r="G44" i="4"/>
  <c r="H44" i="4"/>
  <c r="F45" i="4"/>
  <c r="G45" i="4"/>
  <c r="H45" i="4"/>
  <c r="F46" i="4"/>
  <c r="G46" i="4"/>
  <c r="H46" i="4"/>
  <c r="F47" i="4"/>
  <c r="G47" i="4"/>
  <c r="H47" i="4"/>
  <c r="F48" i="4"/>
  <c r="G48" i="4"/>
  <c r="H48" i="4"/>
  <c r="F49" i="4"/>
  <c r="G49" i="4"/>
  <c r="H49" i="4"/>
  <c r="F50" i="4"/>
  <c r="G50" i="4"/>
  <c r="H50" i="4"/>
  <c r="F51" i="4"/>
  <c r="G51" i="4"/>
  <c r="H51" i="4"/>
  <c r="F52" i="4"/>
  <c r="G52" i="4"/>
  <c r="H52" i="4"/>
  <c r="F53" i="4"/>
  <c r="G53" i="4"/>
  <c r="H53" i="4"/>
  <c r="F54" i="4"/>
  <c r="G54" i="4"/>
  <c r="H54" i="4"/>
  <c r="F55" i="4"/>
  <c r="G55" i="4"/>
  <c r="H55" i="4"/>
  <c r="F56" i="4"/>
  <c r="G56" i="4"/>
  <c r="H56" i="4"/>
  <c r="F57" i="4"/>
  <c r="G57" i="4"/>
  <c r="H57" i="4"/>
  <c r="F58" i="4"/>
  <c r="G58" i="4"/>
  <c r="H58" i="4"/>
  <c r="F59" i="4"/>
  <c r="G59" i="4"/>
  <c r="H59" i="4"/>
  <c r="F60" i="4"/>
  <c r="G60" i="4"/>
  <c r="H60" i="4"/>
  <c r="F61" i="4"/>
  <c r="G61" i="4"/>
  <c r="H61" i="4"/>
  <c r="F62" i="4"/>
  <c r="G62" i="4"/>
  <c r="H62" i="4"/>
  <c r="F63" i="4"/>
  <c r="G63" i="4"/>
  <c r="H63" i="4"/>
  <c r="F64" i="4"/>
  <c r="G64" i="4"/>
  <c r="H64" i="4"/>
  <c r="F65" i="4"/>
  <c r="G65" i="4"/>
  <c r="H65" i="4"/>
  <c r="F66" i="4"/>
  <c r="G66" i="4"/>
  <c r="H66" i="4"/>
  <c r="F67" i="4"/>
  <c r="G67" i="4"/>
  <c r="H67" i="4"/>
  <c r="F68" i="4"/>
  <c r="G68" i="4"/>
  <c r="H68" i="4"/>
  <c r="F69" i="4"/>
  <c r="G69" i="4"/>
  <c r="H69" i="4"/>
  <c r="F70" i="4"/>
  <c r="G70" i="4"/>
  <c r="H70" i="4"/>
  <c r="F71" i="4"/>
  <c r="G71" i="4"/>
  <c r="H71" i="4"/>
  <c r="F72" i="4"/>
  <c r="G72" i="4"/>
  <c r="H72" i="4"/>
  <c r="F73" i="4"/>
  <c r="G73" i="4"/>
  <c r="H73" i="4"/>
  <c r="F74" i="4"/>
  <c r="G74" i="4"/>
  <c r="H74" i="4"/>
  <c r="F75" i="4"/>
  <c r="G75" i="4"/>
  <c r="H75" i="4"/>
  <c r="F76" i="4"/>
  <c r="G76" i="4"/>
  <c r="H76" i="4"/>
  <c r="F77" i="4"/>
  <c r="G77" i="4"/>
  <c r="H77" i="4"/>
  <c r="F78" i="4"/>
  <c r="G78" i="4"/>
  <c r="H78" i="4"/>
  <c r="F79" i="4"/>
  <c r="G79" i="4"/>
  <c r="H79" i="4"/>
  <c r="H80" i="4"/>
  <c r="I11" i="4"/>
  <c r="K11" i="4"/>
  <c r="L11" i="4"/>
  <c r="J11" i="4"/>
  <c r="A11" i="4"/>
  <c r="G80" i="4"/>
  <c r="F80" i="4"/>
  <c r="G19" i="4"/>
  <c r="G20" i="4"/>
  <c r="G21" i="4"/>
  <c r="G22" i="4"/>
  <c r="G23" i="4"/>
  <c r="G24" i="4"/>
  <c r="G25" i="4"/>
  <c r="G26" i="4"/>
  <c r="G27" i="4"/>
  <c r="G28" i="4"/>
  <c r="G29" i="4"/>
  <c r="G30" i="4"/>
  <c r="G31" i="4"/>
  <c r="G32" i="4"/>
  <c r="G33" i="4"/>
  <c r="G34" i="4"/>
  <c r="G35" i="4"/>
  <c r="G36" i="4"/>
  <c r="G37" i="4"/>
  <c r="G38" i="4"/>
  <c r="G39" i="4"/>
  <c r="G18" i="4"/>
  <c r="G40" i="4"/>
  <c r="F18" i="4"/>
  <c r="F19" i="4"/>
  <c r="F20" i="4"/>
  <c r="F21" i="4"/>
  <c r="F22" i="4"/>
  <c r="F23" i="4"/>
  <c r="F24" i="4"/>
  <c r="F25" i="4"/>
  <c r="F26" i="4"/>
  <c r="F27" i="4"/>
  <c r="F28" i="4"/>
  <c r="F29" i="4"/>
  <c r="F30" i="4"/>
  <c r="F31" i="4"/>
  <c r="F32" i="4"/>
  <c r="F33" i="4"/>
  <c r="F34" i="4"/>
  <c r="F35" i="4"/>
  <c r="F36" i="4"/>
  <c r="F37" i="4"/>
  <c r="F38" i="4"/>
  <c r="F39" i="4"/>
  <c r="F40" i="4"/>
  <c r="H10" i="4"/>
  <c r="D40" i="4"/>
  <c r="E40" i="4"/>
  <c r="D10" i="4"/>
  <c r="H19" i="4"/>
  <c r="H20" i="4"/>
  <c r="H21" i="4"/>
  <c r="H22" i="4"/>
  <c r="H23" i="4"/>
  <c r="H24" i="4"/>
  <c r="H25" i="4"/>
  <c r="H26" i="4"/>
  <c r="H27" i="4"/>
  <c r="H28" i="4"/>
  <c r="H29" i="4"/>
  <c r="H30" i="4"/>
  <c r="H31" i="4"/>
  <c r="H32" i="4"/>
  <c r="H33" i="4"/>
  <c r="H34" i="4"/>
  <c r="H35" i="4"/>
  <c r="H36" i="4"/>
  <c r="H37" i="4"/>
  <c r="H38" i="4"/>
  <c r="H39" i="4"/>
  <c r="H18" i="4"/>
  <c r="M10" i="4"/>
  <c r="F50" i="3"/>
  <c r="G50" i="3"/>
  <c r="E13" i="3"/>
  <c r="C13" i="3"/>
  <c r="D13" i="3"/>
  <c r="B13" i="3"/>
  <c r="A13" i="3"/>
  <c r="D43" i="3"/>
  <c r="D44" i="3"/>
  <c r="D45" i="3"/>
  <c r="D46" i="3"/>
  <c r="D47" i="3"/>
  <c r="D48" i="3"/>
  <c r="D49" i="3"/>
  <c r="D50" i="3"/>
  <c r="C50" i="3"/>
  <c r="B50" i="3"/>
  <c r="F39" i="3"/>
  <c r="G39" i="3"/>
  <c r="E12" i="3"/>
  <c r="E16" i="3"/>
  <c r="B20" i="3"/>
  <c r="F10" i="9"/>
  <c r="F14" i="9"/>
  <c r="B19" i="3"/>
  <c r="B21" i="3"/>
  <c r="C24" i="3"/>
  <c r="B16" i="3"/>
  <c r="D32" i="3"/>
  <c r="D33" i="3"/>
  <c r="D34" i="3"/>
  <c r="D35" i="3"/>
  <c r="D36" i="3"/>
  <c r="D37" i="3"/>
  <c r="D38" i="3"/>
  <c r="D39" i="3"/>
  <c r="R17" i="2"/>
  <c r="P17" i="2"/>
  <c r="M32" i="2"/>
  <c r="D32" i="2"/>
  <c r="E32" i="2"/>
  <c r="F32" i="2"/>
  <c r="G32" i="2"/>
  <c r="H32" i="2"/>
  <c r="I32" i="2"/>
  <c r="J32" i="2"/>
  <c r="K32" i="2"/>
  <c r="L32" i="2"/>
  <c r="C32" i="2"/>
  <c r="D31" i="2"/>
  <c r="E31" i="2"/>
  <c r="F31" i="2"/>
  <c r="G31" i="2"/>
  <c r="H31" i="2"/>
  <c r="I31" i="2"/>
  <c r="J31" i="2"/>
  <c r="K31" i="2"/>
  <c r="L31" i="2"/>
  <c r="M31" i="2"/>
  <c r="C31" i="2"/>
  <c r="D30" i="2"/>
  <c r="E30" i="2"/>
  <c r="F30" i="2"/>
  <c r="G30" i="2"/>
  <c r="H30" i="2"/>
  <c r="I30" i="2"/>
  <c r="J30" i="2"/>
  <c r="K30" i="2"/>
  <c r="L30" i="2"/>
  <c r="M30" i="2"/>
  <c r="C30" i="2"/>
  <c r="M21" i="2"/>
  <c r="D21" i="2"/>
  <c r="E21" i="2"/>
  <c r="F21" i="2"/>
  <c r="G21" i="2"/>
  <c r="H21" i="2"/>
  <c r="I21" i="2"/>
  <c r="J21" i="2"/>
  <c r="K21" i="2"/>
  <c r="L21" i="2"/>
  <c r="C21" i="2"/>
  <c r="A21" i="2"/>
  <c r="M19" i="2"/>
  <c r="M20" i="2"/>
  <c r="D19" i="2"/>
  <c r="E19" i="2"/>
  <c r="F19" i="2"/>
  <c r="G19" i="2"/>
  <c r="H19" i="2"/>
  <c r="I19" i="2"/>
  <c r="J19" i="2"/>
  <c r="K19" i="2"/>
  <c r="L19" i="2"/>
  <c r="D20" i="2"/>
  <c r="E20" i="2"/>
  <c r="F20" i="2"/>
  <c r="G20" i="2"/>
  <c r="H20" i="2"/>
  <c r="I20" i="2"/>
  <c r="J20" i="2"/>
  <c r="K20" i="2"/>
  <c r="L20" i="2"/>
  <c r="C20" i="2"/>
  <c r="C19" i="2"/>
  <c r="A19" i="2"/>
  <c r="E74" i="2"/>
  <c r="F74" i="2"/>
  <c r="G74" i="2"/>
  <c r="B75" i="2"/>
  <c r="C75" i="2"/>
  <c r="D75" i="2"/>
  <c r="E75" i="2"/>
  <c r="F75" i="2"/>
  <c r="G75" i="2"/>
  <c r="H75" i="2"/>
  <c r="I75" i="2"/>
  <c r="K75" i="2"/>
  <c r="L75" i="2"/>
  <c r="P16" i="2"/>
  <c r="B70" i="2"/>
  <c r="H70" i="2"/>
  <c r="E60" i="2"/>
  <c r="F60" i="2"/>
  <c r="G60" i="2"/>
  <c r="E61" i="2"/>
  <c r="F61" i="2"/>
  <c r="G61" i="2"/>
  <c r="E62" i="2"/>
  <c r="F62" i="2"/>
  <c r="G62" i="2"/>
  <c r="E63" i="2"/>
  <c r="F63" i="2"/>
  <c r="G63" i="2"/>
  <c r="E58" i="2"/>
  <c r="F58" i="2"/>
  <c r="G58" i="2"/>
  <c r="E59" i="2"/>
  <c r="F59" i="2"/>
  <c r="G59" i="2"/>
  <c r="E64" i="2"/>
  <c r="F64" i="2"/>
  <c r="G64" i="2"/>
  <c r="E65" i="2"/>
  <c r="F65" i="2"/>
  <c r="G65" i="2"/>
  <c r="E66" i="2"/>
  <c r="F66" i="2"/>
  <c r="G66" i="2"/>
  <c r="G70" i="2"/>
  <c r="I70" i="2"/>
  <c r="J70" i="2"/>
  <c r="K70" i="2"/>
  <c r="L70" i="2"/>
  <c r="F70" i="2"/>
  <c r="E70" i="2"/>
  <c r="D70" i="2"/>
  <c r="C70" i="2"/>
  <c r="B69" i="2"/>
  <c r="H69" i="2"/>
  <c r="G69" i="2"/>
  <c r="I69" i="2"/>
  <c r="J69" i="2"/>
  <c r="K69" i="2"/>
  <c r="L69" i="2"/>
  <c r="F69" i="2"/>
  <c r="E69" i="2"/>
  <c r="D69" i="2"/>
  <c r="C69" i="2"/>
  <c r="B68" i="2"/>
  <c r="H68" i="2"/>
  <c r="G68" i="2"/>
  <c r="I68" i="2"/>
  <c r="J68" i="2"/>
  <c r="K68" i="2"/>
  <c r="L68" i="2"/>
  <c r="F68" i="2"/>
  <c r="E68" i="2"/>
  <c r="D68" i="2"/>
  <c r="C68" i="2"/>
  <c r="B67" i="2"/>
  <c r="H67" i="2"/>
  <c r="G67" i="2"/>
  <c r="I67" i="2"/>
  <c r="K67" i="2"/>
  <c r="L67" i="2"/>
  <c r="F67" i="2"/>
  <c r="E67" i="2"/>
  <c r="D67" i="2"/>
  <c r="C67" i="2"/>
  <c r="B52" i="2"/>
  <c r="H52" i="2"/>
  <c r="E38" i="2"/>
  <c r="F38" i="2"/>
  <c r="G38" i="2"/>
  <c r="G52" i="2"/>
  <c r="I52" i="2"/>
  <c r="B53" i="2"/>
  <c r="H53" i="2"/>
  <c r="E39" i="2"/>
  <c r="F39" i="2"/>
  <c r="G39" i="2"/>
  <c r="E45" i="2"/>
  <c r="F45" i="2"/>
  <c r="G45" i="2"/>
  <c r="E47" i="2"/>
  <c r="F47" i="2"/>
  <c r="G47" i="2"/>
  <c r="E48" i="2"/>
  <c r="F48" i="2"/>
  <c r="G48" i="2"/>
  <c r="G53" i="2"/>
  <c r="I53" i="2"/>
  <c r="E15" i="8"/>
  <c r="G15" i="8"/>
  <c r="D15" i="8"/>
  <c r="F15" i="8"/>
  <c r="B15" i="8"/>
  <c r="C15" i="8"/>
  <c r="C20" i="1"/>
  <c r="D20" i="1"/>
  <c r="E20" i="1"/>
  <c r="F20" i="1"/>
  <c r="G20" i="1"/>
  <c r="H20" i="1"/>
  <c r="I20" i="1"/>
  <c r="K20" i="1"/>
  <c r="L20" i="1"/>
  <c r="M20" i="1"/>
  <c r="B20" i="1"/>
  <c r="A20" i="1"/>
  <c r="C19" i="1"/>
  <c r="D19" i="1"/>
  <c r="E19" i="1"/>
  <c r="F19" i="1"/>
  <c r="G19" i="1"/>
  <c r="H19" i="1"/>
  <c r="I19" i="1"/>
  <c r="K19" i="1"/>
  <c r="L19" i="1"/>
  <c r="M19" i="1"/>
  <c r="B19" i="1"/>
  <c r="A19" i="1"/>
  <c r="A18" i="1"/>
  <c r="D69" i="1"/>
  <c r="E69" i="1"/>
  <c r="F69" i="1"/>
  <c r="D70" i="1"/>
  <c r="E70" i="1"/>
  <c r="F70" i="1"/>
  <c r="D71" i="1"/>
  <c r="E71" i="1"/>
  <c r="F71" i="1"/>
  <c r="D72" i="1"/>
  <c r="E72" i="1"/>
  <c r="F72" i="1"/>
  <c r="D73" i="1"/>
  <c r="E73" i="1"/>
  <c r="F73" i="1"/>
  <c r="D74" i="1"/>
  <c r="E74" i="1"/>
  <c r="F74" i="1"/>
  <c r="D75" i="1"/>
  <c r="E75" i="1"/>
  <c r="F75" i="1"/>
  <c r="F76" i="1"/>
  <c r="H76" i="1"/>
  <c r="E76" i="1"/>
  <c r="D76" i="1"/>
  <c r="C76" i="1"/>
  <c r="B76" i="1"/>
  <c r="D53" i="1"/>
  <c r="E53" i="1"/>
  <c r="F53" i="1"/>
  <c r="D54" i="1"/>
  <c r="E54" i="1"/>
  <c r="F54" i="1"/>
  <c r="D55" i="1"/>
  <c r="E55" i="1"/>
  <c r="F55" i="1"/>
  <c r="D56" i="1"/>
  <c r="E56" i="1"/>
  <c r="F56" i="1"/>
  <c r="D57" i="1"/>
  <c r="E57" i="1"/>
  <c r="F57" i="1"/>
  <c r="D58" i="1"/>
  <c r="E58" i="1"/>
  <c r="F58" i="1"/>
  <c r="D59" i="1"/>
  <c r="E59" i="1"/>
  <c r="F59" i="1"/>
  <c r="D60" i="1"/>
  <c r="E60" i="1"/>
  <c r="F60" i="1"/>
  <c r="D61" i="1"/>
  <c r="E61" i="1"/>
  <c r="F61" i="1"/>
  <c r="D62" i="1"/>
  <c r="E62" i="1"/>
  <c r="F62" i="1"/>
  <c r="D63" i="1"/>
  <c r="E63" i="1"/>
  <c r="F63" i="1"/>
  <c r="D64" i="1"/>
  <c r="E64" i="1"/>
  <c r="F64" i="1"/>
  <c r="F65" i="1"/>
  <c r="H65" i="1"/>
  <c r="E65" i="1"/>
  <c r="D65" i="1"/>
  <c r="C65" i="1"/>
  <c r="B65" i="1"/>
  <c r="F9" i="11"/>
  <c r="F10" i="11"/>
  <c r="F11" i="11"/>
  <c r="F12" i="11"/>
  <c r="F13" i="11"/>
  <c r="F14" i="11"/>
  <c r="F15" i="11"/>
  <c r="F16" i="11"/>
  <c r="F8" i="11"/>
  <c r="G9" i="11"/>
  <c r="G10" i="11"/>
  <c r="G11" i="11"/>
  <c r="G12" i="11"/>
  <c r="G13" i="11"/>
  <c r="G14" i="11"/>
  <c r="G15" i="11"/>
  <c r="G16" i="11"/>
  <c r="G8" i="11"/>
  <c r="H9" i="11"/>
  <c r="H10" i="11"/>
  <c r="H11" i="11"/>
  <c r="H12" i="11"/>
  <c r="H13" i="11"/>
  <c r="H14" i="11"/>
  <c r="H15" i="11"/>
  <c r="H16" i="11"/>
  <c r="H8" i="11"/>
  <c r="I17" i="11"/>
  <c r="I9" i="11"/>
  <c r="I10" i="11"/>
  <c r="I11" i="11"/>
  <c r="I12" i="11"/>
  <c r="I13" i="11"/>
  <c r="I14" i="11"/>
  <c r="I15" i="11"/>
  <c r="I16" i="11"/>
  <c r="I8" i="11"/>
  <c r="P24" i="7"/>
  <c r="B39" i="10"/>
  <c r="H39" i="10"/>
  <c r="G39" i="10"/>
  <c r="I39" i="10"/>
  <c r="J39" i="10"/>
  <c r="K39" i="10"/>
  <c r="K26" i="10"/>
  <c r="G17" i="11"/>
  <c r="P21" i="7"/>
  <c r="C40" i="4"/>
  <c r="C10" i="4"/>
  <c r="B10" i="4"/>
  <c r="E10" i="4"/>
  <c r="F10" i="4"/>
  <c r="G10" i="4"/>
  <c r="P20" i="7"/>
  <c r="H40" i="4"/>
  <c r="I10" i="4"/>
  <c r="J10" i="4"/>
  <c r="P19" i="7"/>
  <c r="K16" i="5"/>
  <c r="F63" i="5"/>
  <c r="D63" i="5"/>
  <c r="B63" i="5"/>
  <c r="I63" i="5"/>
  <c r="I16" i="5"/>
  <c r="P17" i="7"/>
  <c r="P15" i="7"/>
  <c r="N63" i="5"/>
  <c r="N16" i="5"/>
  <c r="D22" i="5"/>
  <c r="E22" i="5"/>
  <c r="F22" i="5"/>
  <c r="G22" i="5"/>
  <c r="P13" i="7"/>
  <c r="B24" i="3"/>
  <c r="D24" i="3"/>
  <c r="E24" i="3"/>
  <c r="P12" i="7"/>
  <c r="D11" i="8"/>
  <c r="D12" i="8"/>
  <c r="D13" i="8"/>
  <c r="D14" i="8"/>
  <c r="H15" i="8"/>
  <c r="D7" i="8"/>
  <c r="P10" i="7"/>
  <c r="J52" i="2"/>
  <c r="K52" i="2"/>
  <c r="K16" i="2"/>
  <c r="P11" i="7"/>
  <c r="D32" i="1"/>
  <c r="E32" i="1"/>
  <c r="F32" i="1"/>
  <c r="D33" i="1"/>
  <c r="E33" i="1"/>
  <c r="F33" i="1"/>
  <c r="D34" i="1"/>
  <c r="E34" i="1"/>
  <c r="F34" i="1"/>
  <c r="D35" i="1"/>
  <c r="E35" i="1"/>
  <c r="F35" i="1"/>
  <c r="D36" i="1"/>
  <c r="E36" i="1"/>
  <c r="F36" i="1"/>
  <c r="D37" i="1"/>
  <c r="E37" i="1"/>
  <c r="F37" i="1"/>
  <c r="D38" i="1"/>
  <c r="E38" i="1"/>
  <c r="F38" i="1"/>
  <c r="D39" i="1"/>
  <c r="E39" i="1"/>
  <c r="F39" i="1"/>
  <c r="D40" i="1"/>
  <c r="E40" i="1"/>
  <c r="F40" i="1"/>
  <c r="D41" i="1"/>
  <c r="E41" i="1"/>
  <c r="F41" i="1"/>
  <c r="D42" i="1"/>
  <c r="E42" i="1"/>
  <c r="F42" i="1"/>
  <c r="D43" i="1"/>
  <c r="E43" i="1"/>
  <c r="F43" i="1"/>
  <c r="D44" i="1"/>
  <c r="E44" i="1"/>
  <c r="F44" i="1"/>
  <c r="D45" i="1"/>
  <c r="E45" i="1"/>
  <c r="F45" i="1"/>
  <c r="D46" i="1"/>
  <c r="E46" i="1"/>
  <c r="F46" i="1"/>
  <c r="D47" i="1"/>
  <c r="E47" i="1"/>
  <c r="F47" i="1"/>
  <c r="F48" i="1"/>
  <c r="H48" i="1"/>
  <c r="P9" i="7"/>
  <c r="O24" i="7"/>
  <c r="O21" i="7"/>
  <c r="O20" i="7"/>
  <c r="O19" i="7"/>
  <c r="O17" i="7"/>
  <c r="O15" i="7"/>
  <c r="O13" i="7"/>
  <c r="O12" i="7"/>
  <c r="O10" i="7"/>
  <c r="O11" i="7"/>
  <c r="O9" i="7"/>
  <c r="N24" i="7"/>
  <c r="C39" i="10"/>
  <c r="C26" i="10"/>
  <c r="D39" i="10"/>
  <c r="D26" i="10"/>
  <c r="N21" i="7"/>
  <c r="D10" i="9"/>
  <c r="D14" i="9"/>
  <c r="N20" i="7"/>
  <c r="N19" i="7"/>
  <c r="N17" i="7"/>
  <c r="F16" i="5"/>
  <c r="N15" i="7"/>
  <c r="N13" i="7"/>
  <c r="B39" i="3"/>
  <c r="B12" i="3"/>
  <c r="C39" i="3"/>
  <c r="C12" i="3"/>
  <c r="C16" i="3"/>
  <c r="N12" i="7"/>
  <c r="C7" i="8"/>
  <c r="N10" i="7"/>
  <c r="C52" i="2"/>
  <c r="C16" i="2"/>
  <c r="N11" i="7"/>
  <c r="B48" i="1"/>
  <c r="B18" i="1"/>
  <c r="C48" i="1"/>
  <c r="C18" i="1"/>
  <c r="B26" i="1"/>
  <c r="N9" i="7"/>
  <c r="N7" i="7"/>
  <c r="E31" i="9"/>
  <c r="D31" i="9"/>
  <c r="C31" i="9"/>
  <c r="B31" i="9"/>
  <c r="D12" i="3"/>
  <c r="A12" i="3"/>
  <c r="S24" i="2"/>
  <c r="E41" i="2"/>
  <c r="F41" i="2"/>
  <c r="G41" i="2"/>
  <c r="E42" i="2"/>
  <c r="F42" i="2"/>
  <c r="G42" i="2"/>
  <c r="E43" i="2"/>
  <c r="F43" i="2"/>
  <c r="G43" i="2"/>
  <c r="E44" i="2"/>
  <c r="F44" i="2"/>
  <c r="G44" i="2"/>
  <c r="E46" i="2"/>
  <c r="F46" i="2"/>
  <c r="G46" i="2"/>
  <c r="E49" i="2"/>
  <c r="F49" i="2"/>
  <c r="G49" i="2"/>
  <c r="E50" i="2"/>
  <c r="F50" i="2"/>
  <c r="G50" i="2"/>
  <c r="B7" i="8"/>
  <c r="Q24" i="2"/>
  <c r="R24" i="2"/>
  <c r="C63" i="5"/>
  <c r="C16" i="5"/>
  <c r="B40" i="10"/>
  <c r="H40" i="10"/>
  <c r="G40" i="10"/>
  <c r="I40" i="10"/>
  <c r="J40" i="10"/>
  <c r="K40" i="10"/>
  <c r="K27" i="10"/>
  <c r="C40" i="10"/>
  <c r="C27" i="10"/>
  <c r="D40" i="10"/>
  <c r="D27" i="10"/>
  <c r="Q21" i="10"/>
  <c r="J53" i="2"/>
  <c r="K53" i="2"/>
  <c r="K17" i="2"/>
  <c r="C53" i="2"/>
  <c r="C17" i="2"/>
  <c r="B54" i="2"/>
  <c r="H54" i="2"/>
  <c r="E40" i="2"/>
  <c r="F40" i="2"/>
  <c r="G40" i="2"/>
  <c r="G54" i="2"/>
  <c r="I54" i="2"/>
  <c r="J54" i="2"/>
  <c r="K54" i="2"/>
  <c r="K18" i="2"/>
  <c r="M18" i="2"/>
  <c r="C54" i="2"/>
  <c r="C18" i="2"/>
  <c r="B10" i="9"/>
  <c r="C10" i="9"/>
  <c r="E10" i="9"/>
  <c r="A10" i="9"/>
  <c r="E39" i="10"/>
  <c r="E26" i="10"/>
  <c r="F39" i="10"/>
  <c r="F26" i="10"/>
  <c r="G26" i="10"/>
  <c r="H26" i="10"/>
  <c r="I26" i="10"/>
  <c r="J26" i="10"/>
  <c r="L39" i="10"/>
  <c r="L26" i="10"/>
  <c r="M26" i="10"/>
  <c r="E40" i="10"/>
  <c r="E27" i="10"/>
  <c r="F40" i="10"/>
  <c r="F27" i="10"/>
  <c r="G27" i="10"/>
  <c r="H27" i="10"/>
  <c r="I27" i="10"/>
  <c r="J27" i="10"/>
  <c r="L40" i="10"/>
  <c r="L27" i="10"/>
  <c r="M27" i="10"/>
  <c r="J17" i="11"/>
  <c r="O10" i="11"/>
  <c r="O11" i="11"/>
  <c r="O12" i="11"/>
  <c r="O13" i="11"/>
  <c r="O14" i="11"/>
  <c r="O15" i="11"/>
  <c r="O16" i="11"/>
  <c r="K9" i="11"/>
  <c r="K10" i="11"/>
  <c r="K11" i="11"/>
  <c r="K12" i="11"/>
  <c r="K13" i="11"/>
  <c r="K14" i="11"/>
  <c r="K15" i="11"/>
  <c r="K16" i="11"/>
  <c r="K8" i="11"/>
  <c r="A13" i="10"/>
  <c r="P10" i="4"/>
  <c r="K10" i="4"/>
  <c r="L10" i="4"/>
  <c r="N10" i="4"/>
  <c r="O10" i="4"/>
  <c r="A10" i="4"/>
  <c r="O63" i="5"/>
  <c r="O16" i="5"/>
  <c r="D16" i="5"/>
  <c r="G16" i="5"/>
  <c r="H16" i="5"/>
  <c r="B16" i="5"/>
  <c r="D54" i="2"/>
  <c r="D18" i="2"/>
  <c r="E54" i="2"/>
  <c r="E18" i="2"/>
  <c r="F54" i="2"/>
  <c r="F18" i="2"/>
  <c r="G18" i="2"/>
  <c r="H18" i="2"/>
  <c r="I18" i="2"/>
  <c r="J18" i="2"/>
  <c r="L54" i="2"/>
  <c r="L18" i="2"/>
  <c r="M17" i="2"/>
  <c r="M16" i="2"/>
  <c r="D52" i="2"/>
  <c r="D16" i="2"/>
  <c r="E52" i="2"/>
  <c r="E16" i="2"/>
  <c r="F52" i="2"/>
  <c r="F16" i="2"/>
  <c r="G16" i="2"/>
  <c r="H16" i="2"/>
  <c r="I16" i="2"/>
  <c r="J16" i="2"/>
  <c r="L52" i="2"/>
  <c r="L16" i="2"/>
  <c r="D53" i="2"/>
  <c r="D17" i="2"/>
  <c r="E53" i="2"/>
  <c r="E17" i="2"/>
  <c r="F53" i="2"/>
  <c r="F17" i="2"/>
  <c r="G17" i="2"/>
  <c r="H17" i="2"/>
  <c r="I17" i="2"/>
  <c r="J17" i="2"/>
  <c r="L53" i="2"/>
  <c r="L17" i="2"/>
  <c r="A16" i="2"/>
  <c r="J15" i="8"/>
  <c r="B38" i="10"/>
  <c r="H38" i="10"/>
  <c r="G38" i="10"/>
  <c r="I38" i="10"/>
  <c r="K38" i="10"/>
  <c r="L38" i="10"/>
  <c r="F38" i="10"/>
  <c r="E38" i="10"/>
  <c r="D38" i="10"/>
  <c r="C38" i="10"/>
  <c r="G51" i="2"/>
  <c r="F51" i="2"/>
  <c r="E51" i="2"/>
  <c r="D51" i="2"/>
  <c r="C51" i="2"/>
  <c r="I15" i="8"/>
  <c r="E7" i="8"/>
  <c r="F7" i="8"/>
  <c r="K15" i="8"/>
  <c r="G7" i="8"/>
  <c r="D48" i="1"/>
  <c r="D18" i="1"/>
  <c r="E48" i="1"/>
  <c r="E18" i="1"/>
  <c r="F18" i="1"/>
  <c r="G18" i="1"/>
  <c r="H18" i="1"/>
  <c r="I18" i="1"/>
  <c r="K18" i="1"/>
  <c r="L18" i="1"/>
  <c r="M18" i="1"/>
  <c r="B51" i="2"/>
  <c r="H51" i="2"/>
  <c r="I51" i="2"/>
  <c r="K51" i="2"/>
  <c r="L51" i="2"/>
  <c r="D16" i="3"/>
  <c r="M26" i="1"/>
  <c r="D18" i="5"/>
  <c r="O8" i="11"/>
  <c r="O9" i="11"/>
  <c r="P17" i="11"/>
  <c r="Q17" i="11"/>
  <c r="K17" i="11"/>
  <c r="E14" i="9"/>
  <c r="L26" i="1"/>
  <c r="G26" i="1"/>
  <c r="H26" i="1"/>
  <c r="I26" i="1"/>
  <c r="K26" i="1"/>
  <c r="F26" i="1"/>
  <c r="D26" i="1"/>
</calcChain>
</file>

<file path=xl/comments1.xml><?xml version="1.0" encoding="utf-8"?>
<comments xmlns="http://schemas.openxmlformats.org/spreadsheetml/2006/main">
  <authors>
    <author>Danielle Ludeman</author>
    <author>Gitai Yahel</author>
  </authors>
  <commentList>
    <comment ref="D15" authorId="0">
      <text>
        <r>
          <rPr>
            <b/>
            <sz val="9"/>
            <color indexed="81"/>
            <rFont val="Calibri"/>
            <family val="2"/>
          </rPr>
          <t>Danielle Ludeman:</t>
        </r>
        <r>
          <rPr>
            <sz val="9"/>
            <color indexed="81"/>
            <rFont val="Calibri"/>
            <family val="2"/>
          </rPr>
          <t xml:space="preserve">
Determine the wall thickness of the cube to be used in the measurements. For example, in Callyspongia the wall thickness is 3mm, therefore the cube dimensions are 3mm x 5.77mm x 5.77mm, and the surface area of the cube is 100mm^3/3mm= 33.33mm^2</t>
        </r>
      </text>
    </comment>
    <comment ref="E15" authorId="1">
      <text>
        <r>
          <rPr>
            <b/>
            <sz val="9"/>
            <color indexed="81"/>
            <rFont val="Tahoma"/>
            <family val="2"/>
          </rPr>
          <t>Danielle:</t>
        </r>
        <r>
          <rPr>
            <sz val="9"/>
            <color indexed="81"/>
            <rFont val="Tahoma"/>
            <family val="2"/>
          </rPr>
          <t xml:space="preserve">
Seawater at 30 psu, 12 degC</t>
        </r>
      </text>
    </comment>
    <comment ref="F15" authorId="1">
      <text>
        <r>
          <rPr>
            <b/>
            <sz val="9"/>
            <color indexed="81"/>
            <rFont val="Tahoma"/>
            <family val="2"/>
          </rPr>
          <t>Danielle:</t>
        </r>
        <r>
          <rPr>
            <sz val="9"/>
            <color indexed="81"/>
            <rFont val="Tahoma"/>
            <family val="2"/>
          </rPr>
          <t xml:space="preserve">
Seawater at 30 psu, 12 degC</t>
        </r>
      </text>
    </comment>
    <comment ref="H15" authorId="0">
      <text>
        <r>
          <rPr>
            <b/>
            <sz val="9"/>
            <color indexed="81"/>
            <rFont val="Calibri"/>
            <family val="2"/>
          </rPr>
          <t>Danielle Ludeman:</t>
        </r>
        <r>
          <rPr>
            <sz val="9"/>
            <color indexed="81"/>
            <rFont val="Calibri"/>
            <family val="2"/>
          </rPr>
          <t xml:space="preserve">
For seawater at 12 degrees
</t>
        </r>
      </text>
    </comment>
    <comment ref="I16" authorId="1">
      <text>
        <r>
          <rPr>
            <b/>
            <sz val="9"/>
            <color indexed="81"/>
            <rFont val="Tahoma"/>
            <family val="2"/>
          </rPr>
          <t>Gitai Yahel:</t>
        </r>
        <r>
          <rPr>
            <sz val="9"/>
            <color indexed="81"/>
            <rFont val="Tahoma"/>
            <family val="2"/>
          </rPr>
          <t xml:space="preserve">
From inactive sponge in figures 5D. We amy change this number later</t>
        </r>
      </text>
    </comment>
    <comment ref="K22" authorId="0">
      <text>
        <r>
          <rPr>
            <b/>
            <sz val="9"/>
            <color indexed="81"/>
            <rFont val="Calibri"/>
            <family val="2"/>
          </rPr>
          <t>Danielle Ludeman:</t>
        </r>
        <r>
          <rPr>
            <sz val="9"/>
            <color indexed="81"/>
            <rFont val="Calibri"/>
            <family val="2"/>
          </rPr>
          <t xml:space="preserve">
Using equation by Reiswig 1975
</t>
        </r>
      </text>
    </comment>
    <comment ref="D32" authorId="0">
      <text>
        <r>
          <rPr>
            <b/>
            <sz val="9"/>
            <color indexed="81"/>
            <rFont val="Calibri"/>
            <family val="2"/>
          </rPr>
          <t>Danielle Ludeman:</t>
        </r>
        <r>
          <rPr>
            <sz val="9"/>
            <color indexed="81"/>
            <rFont val="Calibri"/>
            <family val="2"/>
          </rPr>
          <t xml:space="preserve">
Path length is diameter in chambers
</t>
        </r>
      </text>
    </comment>
    <comment ref="K37" authorId="0">
      <text>
        <r>
          <rPr>
            <b/>
            <sz val="9"/>
            <color indexed="81"/>
            <rFont val="Calibri"/>
            <family val="2"/>
          </rPr>
          <t>Danielle Ludeman:</t>
        </r>
        <r>
          <rPr>
            <sz val="9"/>
            <color indexed="81"/>
            <rFont val="Calibri"/>
            <family val="2"/>
          </rPr>
          <t xml:space="preserve">
Effective oscular plane is 58% of velocity as per Reiswig 1975</t>
        </r>
      </text>
    </comment>
  </commentList>
</comments>
</file>

<file path=xl/comments2.xml><?xml version="1.0" encoding="utf-8"?>
<comments xmlns="http://schemas.openxmlformats.org/spreadsheetml/2006/main">
  <authors>
    <author>Danielle Ludeman</author>
  </authors>
  <commentList>
    <comment ref="L17"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31"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51"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52"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67"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68"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List>
</comments>
</file>

<file path=xl/comments3.xml><?xml version="1.0" encoding="utf-8"?>
<comments xmlns="http://schemas.openxmlformats.org/spreadsheetml/2006/main">
  <authors>
    <author>Sally</author>
  </authors>
  <commentList>
    <comment ref="B10" authorId="0">
      <text>
        <r>
          <rPr>
            <b/>
            <sz val="9"/>
            <color indexed="81"/>
            <rFont val="Tahoma"/>
            <family val="2"/>
          </rPr>
          <t>Sally:</t>
        </r>
        <r>
          <rPr>
            <sz val="9"/>
            <color indexed="81"/>
            <rFont val="Tahoma"/>
            <family val="2"/>
          </rPr>
          <t xml:space="preserve">
(dist from dermal membrane to incurrent canal)</t>
        </r>
      </text>
    </comment>
    <comment ref="H10" authorId="0">
      <text>
        <r>
          <rPr>
            <b/>
            <sz val="9"/>
            <color indexed="81"/>
            <rFont val="Tahoma"/>
            <family val="2"/>
          </rPr>
          <t>Sally:</t>
        </r>
        <r>
          <rPr>
            <sz val="9"/>
            <color indexed="81"/>
            <rFont val="Tahoma"/>
            <family val="2"/>
          </rPr>
          <t xml:space="preserve">
this is in 1mm^2</t>
        </r>
      </text>
    </comment>
    <comment ref="J10" authorId="0">
      <text>
        <r>
          <rPr>
            <b/>
            <sz val="9"/>
            <color indexed="81"/>
            <rFont val="Tahoma"/>
            <family val="2"/>
          </rPr>
          <t>Sally:</t>
        </r>
        <r>
          <rPr>
            <sz val="9"/>
            <color indexed="81"/>
            <rFont val="Tahoma"/>
            <family val="2"/>
          </rPr>
          <t xml:space="preserve">
this is in 20.25mm^2</t>
        </r>
      </text>
    </comment>
    <comment ref="K10" authorId="0">
      <text>
        <r>
          <rPr>
            <b/>
            <sz val="9"/>
            <color indexed="81"/>
            <rFont val="Tahoma"/>
            <family val="2"/>
          </rPr>
          <t>Sally:</t>
        </r>
        <r>
          <rPr>
            <sz val="9"/>
            <color indexed="81"/>
            <rFont val="Tahoma"/>
            <family val="2"/>
          </rPr>
          <t xml:space="preserve">
this is in effect in 1mm^2</t>
        </r>
      </text>
    </comment>
  </commentList>
</comments>
</file>

<file path=xl/comments4.xml><?xml version="1.0" encoding="utf-8"?>
<comments xmlns="http://schemas.openxmlformats.org/spreadsheetml/2006/main">
  <authors>
    <author>Danielle Ludeman</author>
  </authors>
  <commentList>
    <comment ref="Q17" authorId="0">
      <text>
        <r>
          <rPr>
            <b/>
            <sz val="9"/>
            <color indexed="81"/>
            <rFont val="Calibri"/>
            <family val="2"/>
          </rPr>
          <t>Danielle Ludeman:</t>
        </r>
        <r>
          <rPr>
            <sz val="9"/>
            <color indexed="81"/>
            <rFont val="Calibri"/>
            <family val="2"/>
          </rPr>
          <t xml:space="preserve">
Definitely not a complete path length but only estimate I have
</t>
        </r>
      </text>
    </comment>
    <comment ref="R17" authorId="0">
      <text>
        <r>
          <rPr>
            <b/>
            <sz val="9"/>
            <color indexed="81"/>
            <rFont val="Calibri"/>
            <family val="2"/>
          </rPr>
          <t>Danielle Ludeman:</t>
        </r>
        <r>
          <rPr>
            <sz val="9"/>
            <color indexed="81"/>
            <rFont val="Calibri"/>
            <family val="2"/>
          </rPr>
          <t xml:space="preserve">
Going to assume for now that medium canals have the same path length as large (about the same in other species)
</t>
        </r>
      </text>
    </comment>
    <comment ref="S24" authorId="0">
      <text>
        <r>
          <rPr>
            <b/>
            <sz val="9"/>
            <color indexed="81"/>
            <rFont val="Calibri"/>
            <family val="2"/>
          </rPr>
          <t>Danielle Ludeman:</t>
        </r>
        <r>
          <rPr>
            <sz val="9"/>
            <color indexed="81"/>
            <rFont val="Calibri"/>
            <family val="2"/>
          </rPr>
          <t xml:space="preserve">
Small excurrent canals are more like apertures that open right up into the lacunar spaces
</t>
        </r>
      </text>
    </comment>
  </commentList>
</comments>
</file>

<file path=xl/comments5.xml><?xml version="1.0" encoding="utf-8"?>
<comments xmlns="http://schemas.openxmlformats.org/spreadsheetml/2006/main">
  <authors>
    <author>Danielle Ludeman</author>
  </authors>
  <commentList>
    <comment ref="D39" authorId="0">
      <text>
        <r>
          <rPr>
            <b/>
            <sz val="9"/>
            <color indexed="81"/>
            <rFont val="Calibri"/>
            <family val="2"/>
          </rPr>
          <t>Danielle Ludeman:</t>
        </r>
        <r>
          <rPr>
            <sz val="9"/>
            <color indexed="81"/>
            <rFont val="Calibri"/>
            <family val="2"/>
          </rPr>
          <t xml:space="preserve">
SUM of the prosopyles
measured
</t>
        </r>
      </text>
    </comment>
    <comment ref="F39" authorId="0">
      <text>
        <r>
          <rPr>
            <b/>
            <sz val="9"/>
            <color indexed="81"/>
            <rFont val="Calibri"/>
            <family val="2"/>
          </rPr>
          <t>Danielle Ludeman:</t>
        </r>
        <r>
          <rPr>
            <sz val="9"/>
            <color indexed="81"/>
            <rFont val="Calibri"/>
            <family val="2"/>
          </rPr>
          <t xml:space="preserve">
Area of chambers in which the prosopyles were measured
</t>
        </r>
      </text>
    </comment>
    <comment ref="D50" authorId="0">
      <text>
        <r>
          <rPr>
            <b/>
            <sz val="9"/>
            <color indexed="81"/>
            <rFont val="Calibri"/>
            <family val="2"/>
          </rPr>
          <t>Danielle Ludeman:</t>
        </r>
        <r>
          <rPr>
            <sz val="9"/>
            <color indexed="81"/>
            <rFont val="Calibri"/>
            <family val="2"/>
          </rPr>
          <t xml:space="preserve">
SUM of the prosopyles
measured
</t>
        </r>
      </text>
    </comment>
    <comment ref="F50" authorId="0">
      <text>
        <r>
          <rPr>
            <b/>
            <sz val="9"/>
            <color indexed="81"/>
            <rFont val="Calibri"/>
            <family val="2"/>
          </rPr>
          <t>Danielle Ludeman:</t>
        </r>
        <r>
          <rPr>
            <sz val="9"/>
            <color indexed="81"/>
            <rFont val="Calibri"/>
            <family val="2"/>
          </rPr>
          <t xml:space="preserve">
Area of chambers in which the prosopyles were measured
</t>
        </r>
      </text>
    </comment>
  </commentList>
</comments>
</file>

<file path=xl/comments6.xml><?xml version="1.0" encoding="utf-8"?>
<comments xmlns="http://schemas.openxmlformats.org/spreadsheetml/2006/main">
  <authors>
    <author>Danielle Ludeman</author>
  </authors>
  <commentList>
    <comment ref="I16" authorId="0">
      <text>
        <r>
          <rPr>
            <b/>
            <sz val="9"/>
            <color indexed="81"/>
            <rFont val="Calibri"/>
            <family val="2"/>
          </rPr>
          <t>Danielle Ludeman:</t>
        </r>
        <r>
          <rPr>
            <sz val="9"/>
            <color indexed="81"/>
            <rFont val="Calibri"/>
            <family val="2"/>
          </rPr>
          <t xml:space="preserve">
Approximation based on counts of partial chambers</t>
        </r>
      </text>
    </comment>
    <comment ref="I59" authorId="0">
      <text>
        <r>
          <rPr>
            <b/>
            <sz val="9"/>
            <color indexed="81"/>
            <rFont val="Calibri"/>
            <family val="2"/>
          </rPr>
          <t>Danielle Ludeman:</t>
        </r>
        <r>
          <rPr>
            <sz val="9"/>
            <color indexed="81"/>
            <rFont val="Calibri"/>
            <family val="2"/>
          </rPr>
          <t xml:space="preserve">
All of these are counts looking at only half of the chamber
</t>
        </r>
      </text>
    </comment>
  </commentList>
</comments>
</file>

<file path=xl/comments7.xml><?xml version="1.0" encoding="utf-8"?>
<comments xmlns="http://schemas.openxmlformats.org/spreadsheetml/2006/main">
  <authors>
    <author>Sally</author>
    <author>Danielle Ludeman</author>
  </authors>
  <commentList>
    <comment ref="F9" authorId="0">
      <text>
        <r>
          <rPr>
            <b/>
            <sz val="9"/>
            <color indexed="81"/>
            <rFont val="Tahoma"/>
            <family val="2"/>
          </rPr>
          <t xml:space="preserve">Danielle:
</t>
        </r>
        <r>
          <rPr>
            <sz val="9"/>
            <color indexed="81"/>
            <rFont val="Tahoma"/>
            <family val="2"/>
          </rPr>
          <t xml:space="preserve">the average chamber diameter is 23um and the proportion of the sponge that is choanosome is 75%
</t>
        </r>
      </text>
    </comment>
    <comment ref="O9" authorId="1">
      <text>
        <r>
          <rPr>
            <b/>
            <sz val="9"/>
            <color indexed="81"/>
            <rFont val="Calibri"/>
            <family val="2"/>
          </rPr>
          <t>Danielle Ludeman:</t>
        </r>
        <r>
          <rPr>
            <sz val="9"/>
            <color indexed="81"/>
            <rFont val="Calibri"/>
            <family val="2"/>
          </rPr>
          <t xml:space="preserve">
1mm^3 = 1,000,000,000 um^3</t>
        </r>
      </text>
    </comment>
  </commentList>
</comments>
</file>

<file path=xl/comments8.xml><?xml version="1.0" encoding="utf-8"?>
<comments xmlns="http://schemas.openxmlformats.org/spreadsheetml/2006/main">
  <authors>
    <author>Danielle Ludeman</author>
  </authors>
  <commentList>
    <comment ref="P18" authorId="0">
      <text>
        <r>
          <rPr>
            <b/>
            <sz val="9"/>
            <color indexed="81"/>
            <rFont val="Calibri"/>
            <family val="2"/>
          </rPr>
          <t>Danielle Ludeman:</t>
        </r>
        <r>
          <rPr>
            <sz val="9"/>
            <color indexed="81"/>
            <rFont val="Calibri"/>
            <family val="2"/>
          </rPr>
          <t xml:space="preserve">
Measured by image analysis using a radius of the sphere as 2.5cm
</t>
        </r>
      </text>
    </comment>
    <comment ref="B19" authorId="0">
      <text>
        <r>
          <rPr>
            <b/>
            <sz val="9"/>
            <color indexed="81"/>
            <rFont val="Calibri"/>
            <family val="2"/>
          </rPr>
          <t>Danielle Ludeman:</t>
        </r>
        <r>
          <rPr>
            <sz val="9"/>
            <color indexed="81"/>
            <rFont val="Calibri"/>
            <family val="2"/>
          </rPr>
          <t xml:space="preserve">
From image T3-P1060732</t>
        </r>
      </text>
    </comment>
    <comment ref="D21" authorId="0">
      <text>
        <r>
          <rPr>
            <b/>
            <sz val="9"/>
            <color indexed="81"/>
            <rFont val="Calibri"/>
            <family val="2"/>
          </rPr>
          <t>Danielle Ludeman:</t>
        </r>
        <r>
          <rPr>
            <sz val="9"/>
            <color indexed="81"/>
            <rFont val="Calibri"/>
            <family val="2"/>
          </rPr>
          <t xml:space="preserve">
Using only 3/4 of the surface area of a sphere to account for the base of the sponge which has no ostia</t>
        </r>
      </text>
    </comment>
  </commentList>
</comments>
</file>

<file path=xl/comments9.xml><?xml version="1.0" encoding="utf-8"?>
<comments xmlns="http://schemas.openxmlformats.org/spreadsheetml/2006/main">
  <authors>
    <author>Danielle Ludeman</author>
  </authors>
  <commentList>
    <comment ref="B7" authorId="0">
      <text>
        <r>
          <rPr>
            <b/>
            <sz val="9"/>
            <color indexed="81"/>
            <rFont val="Calibri"/>
            <family val="2"/>
          </rPr>
          <t>Danielle Ludeman:</t>
        </r>
        <r>
          <rPr>
            <sz val="9"/>
            <color indexed="81"/>
            <rFont val="Calibri"/>
            <family val="2"/>
          </rPr>
          <t xml:space="preserve">
From Reiswig (1975)
</t>
        </r>
      </text>
    </comment>
    <comment ref="E7" authorId="0">
      <text>
        <r>
          <rPr>
            <b/>
            <sz val="9"/>
            <color indexed="81"/>
            <rFont val="Calibri"/>
            <family val="2"/>
          </rPr>
          <t>Danielle Ludeman:</t>
        </r>
        <r>
          <rPr>
            <sz val="9"/>
            <color indexed="81"/>
            <rFont val="Calibri"/>
            <family val="2"/>
          </rPr>
          <t xml:space="preserve">
From Leys (2011)
</t>
        </r>
      </text>
    </comment>
    <comment ref="H7" authorId="0">
      <text>
        <r>
          <rPr>
            <b/>
            <sz val="9"/>
            <color indexed="81"/>
            <rFont val="Calibri"/>
            <family val="2"/>
          </rPr>
          <t>Danielle Ludeman:</t>
        </r>
        <r>
          <rPr>
            <sz val="9"/>
            <color indexed="81"/>
            <rFont val="Calibri"/>
            <family val="2"/>
          </rPr>
          <t xml:space="preserve">
Not yet complete - just tentative numbers
</t>
        </r>
      </text>
    </comment>
    <comment ref="K7" authorId="0">
      <text>
        <r>
          <rPr>
            <b/>
            <sz val="9"/>
            <color indexed="81"/>
            <rFont val="Calibri"/>
            <family val="2"/>
          </rPr>
          <t>Danielle Ludeman:</t>
        </r>
        <r>
          <rPr>
            <sz val="9"/>
            <color indexed="81"/>
            <rFont val="Calibri"/>
            <family val="2"/>
          </rPr>
          <t xml:space="preserve">
Not yet complete - just tentative numbers</t>
        </r>
      </text>
    </comment>
  </commentList>
</comments>
</file>

<file path=xl/sharedStrings.xml><?xml version="1.0" encoding="utf-8"?>
<sst xmlns="http://schemas.openxmlformats.org/spreadsheetml/2006/main" count="675" uniqueCount="358">
  <si>
    <t>OSTIA</t>
  </si>
  <si>
    <t xml:space="preserve">method: </t>
  </si>
  <si>
    <t>total area of the image was also calculated, to get area of oscula in 1mm^2, and % ostia in 1mm^2</t>
  </si>
  <si>
    <t>Summary:</t>
  </si>
  <si>
    <t>Image</t>
  </si>
  <si>
    <t>diameter</t>
  </si>
  <si>
    <t>area (pi r^2)</t>
  </si>
  <si>
    <t>#ostia (count)</t>
  </si>
  <si>
    <t>area of image</t>
  </si>
  <si>
    <t>% of ostia in 1mm^2</t>
  </si>
  <si>
    <t>radius (d/2)</t>
  </si>
  <si>
    <t>area of ostia in 1mm^2</t>
  </si>
  <si>
    <t>Ostia</t>
  </si>
  <si>
    <t>area of ostia(um^2)</t>
  </si>
  <si>
    <t>area of image (um^2)</t>
  </si>
  <si>
    <t>INCURRENT CANALS</t>
  </si>
  <si>
    <t>method:</t>
  </si>
  <si>
    <t>Summary</t>
  </si>
  <si>
    <t>Image #</t>
  </si>
  <si>
    <t>diameter (um)</t>
  </si>
  <si>
    <t>radius</t>
  </si>
  <si>
    <t>#canals</t>
  </si>
  <si>
    <t xml:space="preserve">area of canals </t>
  </si>
  <si>
    <t>area of canals in 1mm^3</t>
  </si>
  <si>
    <t>percent of canals</t>
  </si>
  <si>
    <t>Medium</t>
  </si>
  <si>
    <t>Small</t>
  </si>
  <si>
    <t>PROSOPYLES</t>
  </si>
  <si>
    <t>COLLARS</t>
  </si>
  <si>
    <t>#microvilli per collar</t>
  </si>
  <si>
    <t>collar microvilli diameter (um)</t>
  </si>
  <si>
    <t>collar slit width (um)</t>
  </si>
  <si>
    <t>height of collar (to gasket)</t>
  </si>
  <si>
    <t xml:space="preserve">area between the collar mv </t>
  </si>
  <si>
    <t>XS area of collar slits for one collar (um^2)</t>
  </si>
  <si>
    <t>xs area of collar slits per chamber (um^2)</t>
  </si>
  <si>
    <t># chambers per 1mm3</t>
  </si>
  <si>
    <t>xs area per 1mm^3</t>
  </si>
  <si>
    <t>xs area of collar slits per 1mm^3</t>
  </si>
  <si>
    <t># collars per chamber</t>
  </si>
  <si>
    <t>diameter of collar (um)</t>
  </si>
  <si>
    <t>distance between collars (um)</t>
  </si>
  <si>
    <t>Diameter (um)</t>
  </si>
  <si>
    <t>Prosopyles</t>
  </si>
  <si>
    <t>Osculum</t>
  </si>
  <si>
    <t>Sponge region name from summary sheet</t>
  </si>
  <si>
    <t>4.5 (20.6) 44</t>
  </si>
  <si>
    <t>50-340</t>
  </si>
  <si>
    <t>1 to 5</t>
  </si>
  <si>
    <t>xs area in 1ul piece (mm^2)</t>
  </si>
  <si>
    <t>Haliclona permollis</t>
  </si>
  <si>
    <t>Aphrocallistes vastus</t>
  </si>
  <si>
    <t># of cham per image area</t>
  </si>
  <si>
    <t>average chamber diameter</t>
  </si>
  <si>
    <t>chamber radius (um)</t>
  </si>
  <si>
    <t>xs area of a chamber (pi(r^2))</t>
  </si>
  <si>
    <t>XS area of all chambers in 1mm^3 (mm^2)</t>
  </si>
  <si>
    <t>xs area of chambers (um^2) in each image</t>
  </si>
  <si>
    <t>percent xs cover of chambers in the choanosome/image</t>
  </si>
  <si>
    <t>surface area of a chamber (um^2)</t>
  </si>
  <si>
    <t>chamber volume (um^3)</t>
  </si>
  <si>
    <t>chamber volume (mm^3)</t>
  </si>
  <si>
    <t>chamber #</t>
  </si>
  <si>
    <t>chamber diameter</t>
  </si>
  <si>
    <t>Subdermal space</t>
  </si>
  <si>
    <t>Large incurrent canal</t>
  </si>
  <si>
    <t xml:space="preserve">Prosopyles </t>
  </si>
  <si>
    <t>Pre-collar space</t>
  </si>
  <si>
    <t>Glycocalyx mesh pores</t>
  </si>
  <si>
    <t>Collar slit</t>
  </si>
  <si>
    <t>Post-collar space</t>
  </si>
  <si>
    <t xml:space="preserve">Collar apertures </t>
  </si>
  <si>
    <t xml:space="preserve">Chamber </t>
  </si>
  <si>
    <t>Apopyle</t>
  </si>
  <si>
    <t>Large excurrent canals</t>
  </si>
  <si>
    <t>Subatrial space</t>
  </si>
  <si>
    <t>Atrial cavity</t>
  </si>
  <si>
    <t>diameter2</t>
  </si>
  <si>
    <t>radius2 (d/2)</t>
  </si>
  <si>
    <t>Total</t>
  </si>
  <si>
    <t>Length (taken from Leys et al)</t>
  </si>
  <si>
    <t>0.5 um</t>
  </si>
  <si>
    <t>Path Lengths</t>
  </si>
  <si>
    <t>Large</t>
  </si>
  <si>
    <t>diameter2 (um)</t>
  </si>
  <si>
    <t>radius2</t>
  </si>
  <si>
    <t>area of ostia in 1mm^3</t>
  </si>
  <si>
    <t>% of ostia in 1mm^3</t>
  </si>
  <si>
    <t>SUBDERMAL SPACE (SDS)</t>
  </si>
  <si>
    <t>Summary SDS</t>
  </si>
  <si>
    <t>height (path length; um)</t>
  </si>
  <si>
    <t>SDS</t>
  </si>
  <si>
    <t>inner subdermal space</t>
  </si>
  <si>
    <t>height  (um)</t>
  </si>
  <si>
    <t>length (um)</t>
  </si>
  <si>
    <t>area of one space (um2)</t>
  </si>
  <si>
    <t>area of all spaces (um2)</t>
  </si>
  <si>
    <t xml:space="preserve">area of spaces in 1 mm^3 </t>
  </si>
  <si>
    <t>% cover 1mm^2</t>
  </si>
  <si>
    <t>area in 100mm^3</t>
  </si>
  <si>
    <t>% cover in 1mm^3</t>
  </si>
  <si>
    <t>The region below the Dermal membrane is a space, called the Subdermal Space</t>
  </si>
  <si>
    <t>*** The height is the path length</t>
  </si>
  <si>
    <t>area of spaces in 1mm^3</t>
  </si>
  <si>
    <t>% cover in 1mm^2</t>
  </si>
  <si>
    <t>% cover in 100mm^3</t>
  </si>
  <si>
    <t>Average</t>
  </si>
  <si>
    <t>area of canals in 100mm^3</t>
  </si>
  <si>
    <t xml:space="preserve">Neopetrosia </t>
  </si>
  <si>
    <t>diameter 1 (um)</t>
  </si>
  <si>
    <t>diameter 2 (um)</t>
  </si>
  <si>
    <t>Area of one prosopyle (um)</t>
  </si>
  <si>
    <t>Incurrent canals</t>
  </si>
  <si>
    <t>Number of canals</t>
  </si>
  <si>
    <t>Large canals</t>
  </si>
  <si>
    <t>% prosopyle per area chamber</t>
  </si>
  <si>
    <t>#chambers/mm3</t>
  </si>
  <si>
    <t>SA of prosopyles/chamber</t>
  </si>
  <si>
    <t>SA of prosopyles in 1mm^3 (um^2)</t>
  </si>
  <si>
    <t>SA of prosopyles in mm^3 (mm^2)</t>
  </si>
  <si>
    <t>number of equivalent areas that fit in 1,000,000um^2</t>
  </si>
  <si>
    <t>Surface area of  chambers in 1mm^3 (mm^2)</t>
  </si>
  <si>
    <t>APOPYLES</t>
  </si>
  <si>
    <t>IMAGE NAME</t>
  </si>
  <si>
    <t>apopyle radius (um)</t>
  </si>
  <si>
    <t>apopyle area (um^2)</t>
  </si>
  <si>
    <t>xs area of apopyles in 1mm^3 (mm^2)</t>
  </si>
  <si>
    <t>Average diameter</t>
  </si>
  <si>
    <t>Apopyle - diameter1 (um)</t>
  </si>
  <si>
    <t>Apopyle - diameter2 (um)</t>
  </si>
  <si>
    <t>Method</t>
  </si>
  <si>
    <t>EXCURRENT CANALS</t>
  </si>
  <si>
    <t>diameter of all excurrent canals measured (classified as excurrent if you can see the apopyle in the canal</t>
  </si>
  <si>
    <t xml:space="preserve">Only going to capture the smallest excurrent with this method since I need to see the apopyles to know that it is excurrent </t>
  </si>
  <si>
    <t>None of the casts are clearly excurrent</t>
  </si>
  <si>
    <t>Excurrent canals</t>
  </si>
  <si>
    <t>small</t>
  </si>
  <si>
    <t>medium</t>
  </si>
  <si>
    <t>large</t>
  </si>
  <si>
    <t>height (mm)</t>
  </si>
  <si>
    <t>length (mm)</t>
  </si>
  <si>
    <t>area (um2)</t>
  </si>
  <si>
    <t>Velocity (cm/s)</t>
  </si>
  <si>
    <t>Velocity (mm/s)</t>
  </si>
  <si>
    <t>Volume Flow Rate (L/hr)</t>
  </si>
  <si>
    <t>area (cm2)</t>
  </si>
  <si>
    <t>radius (mm)</t>
  </si>
  <si>
    <t>Diameter (mm)</t>
  </si>
  <si>
    <t>radius (um)</t>
  </si>
  <si>
    <t>Sponge volume (mL)</t>
  </si>
  <si>
    <t>osculum area</t>
  </si>
  <si>
    <t>path length</t>
  </si>
  <si>
    <t>Velocity (m/s)</t>
  </si>
  <si>
    <t>Volume Flow rate (mL/s)</t>
  </si>
  <si>
    <t>Distance between centres of neighbouring cylinders</t>
  </si>
  <si>
    <t>Majority of ostia are medium-small and are probably just slightly contracted.  Will use the measurement from the large ostia for the diameter, and use the counts of all to estimate fraction of inhalent surface</t>
  </si>
  <si>
    <t>Area of apopyle in a chamber</t>
  </si>
  <si>
    <t>SA of a chamber</t>
  </si>
  <si>
    <t xml:space="preserve">** Assuming that half of the space that is not choanocyte or apopyle is prosopyle </t>
  </si>
  <si>
    <t>SA of chamber - apopyle</t>
  </si>
  <si>
    <t>estimated # spaces</t>
  </si>
  <si>
    <t>area along which spaces were counted (um2)</t>
  </si>
  <si>
    <t>Orange</t>
  </si>
  <si>
    <t>Red</t>
  </si>
  <si>
    <t>Therefore, the space for water to pass through is: (collar slit) x (height of glycocalyx mesh)</t>
  </si>
  <si>
    <t>And the number of glycocalyx slits is (height to gasket)/(height of glycocalyx mesh)</t>
  </si>
  <si>
    <t>height of glycocalyx</t>
  </si>
  <si>
    <t>Choanocyte chambers</t>
  </si>
  <si>
    <t>number of chambers in 1mm^3 (considering there are  33.33 slices 30um wide in the 1mm^3 piece of sponge</t>
  </si>
  <si>
    <t xml:space="preserve">number of chambers in one 30 um slice of the sponge 1mm^3 </t>
  </si>
  <si>
    <t>Measure diameter of all chambers - even if it fractured partially through the chamber.  These partial fractures are taken into account when calculating the number of chambers in 1mm^3</t>
  </si>
  <si>
    <t xml:space="preserve">The number of chambers in the image is then multiplied by the number of equilavent areas in a 1000000um^2 section </t>
  </si>
  <si>
    <t>To get the number of chambers in 1mm^3, the 30um wide slice needs to be multipled by 33.33 (30*33.33 = 1000um to give a cube with dimensions 1mm^2 by 1mm = 1mm^3)</t>
  </si>
  <si>
    <t>We can assume that one image that has many chambers fractured at different points is representative of each 'slice' through the sponge - (slice approximately 30um thick)</t>
  </si>
  <si>
    <r>
      <t>PRE AND POST COLLAR SPACE:</t>
    </r>
    <r>
      <rPr>
        <sz val="12"/>
        <color theme="1"/>
        <rFont val="Calibri"/>
        <family val="2"/>
        <scheme val="minor"/>
      </rPr>
      <t xml:space="preserve"> this is the 'cone' of space between the prosopyle and the collar slit, and the cone of space between the collar slit and the collar aperture.</t>
    </r>
  </si>
  <si>
    <t>average length (um)</t>
  </si>
  <si>
    <t>area per chamber (i.e. x260)</t>
  </si>
  <si>
    <t>area per 1mm^3 piece (in um^2)</t>
  </si>
  <si>
    <t>area per 1mm3 piece (in mm2)</t>
  </si>
  <si>
    <t>pre collar space</t>
  </si>
  <si>
    <t>post collar space</t>
  </si>
  <si>
    <t>cells that require data to be added</t>
  </si>
  <si>
    <t>equations (no data to be added)</t>
  </si>
  <si>
    <t>manual counts of the number of small, medium and large ostia in each SEM image using the multiple pointer selector in ImageJ (keeps track of each mouse click)</t>
  </si>
  <si>
    <t>diameter of large ostia only were measured using Image J (colored using illustrator)</t>
  </si>
  <si>
    <t>The area of large ostia was calculated, then multiplied by the total number of ostia in the image (sm med and large)</t>
  </si>
  <si>
    <t>For oval ostia - took two diameters to calculate the area</t>
  </si>
  <si>
    <t>diameter of all incurrent canals measured (classified as incurrent if it coming from the SDS or leading to prosopyles)</t>
  </si>
  <si>
    <t>cutoffs used for size classifications:</t>
  </si>
  <si>
    <t>Image Name</t>
  </si>
  <si>
    <t xml:space="preserve">Apopyles can be distinguised from prosopyles by either the flagella of the choanocytes protuding towards the apopyle or out, or by the apopylar cilia (usually two) </t>
  </si>
  <si>
    <t>Callyspongia</t>
  </si>
  <si>
    <t>Tethya leysae</t>
  </si>
  <si>
    <t>Tethya-ost-RR-01</t>
  </si>
  <si>
    <t>Tethya-ost-RR-06</t>
  </si>
  <si>
    <t>Tethya-ost-RR-05</t>
  </si>
  <si>
    <t>Incurrent Canal</t>
  </si>
  <si>
    <t>In Tethya, very difficult to get images of subdermal space.  Looks like, based on one image, that there is subdermal space under the ostia that flows into one big canal.  Will see if histology shows more.</t>
  </si>
  <si>
    <t>In Tethya, most images of the incurrent canals are contracted (had a lot of difficulty with this as Tethya is so responsive).  It looks as though they only contract in one dimension though, and so can get diameter still</t>
  </si>
  <si>
    <t>Tethya-RR-cho-C-02</t>
  </si>
  <si>
    <t>Tethya-cho-RR-09</t>
  </si>
  <si>
    <t>Tethya-ost-RR-04</t>
  </si>
  <si>
    <t>In Tethya, there are multiple distinct prosopyles for each chamber</t>
  </si>
  <si>
    <t>Estimate of # prosopyles per chamber</t>
  </si>
  <si>
    <t>Average surface area of a chamber</t>
  </si>
  <si>
    <t>Tethya-cho-RR-11</t>
  </si>
  <si>
    <t>Tethya-RR-cho-C-16</t>
  </si>
  <si>
    <t>In Tethya the glycocalyx mesh only fixed on some.</t>
  </si>
  <si>
    <t>Glycocalyx appears to be to same as in Callyspongia, where it connects each of the microvilli and connects each of the collars (like a gasket), forcing the water through very small openings</t>
  </si>
  <si>
    <t>T1-cor2-12</t>
  </si>
  <si>
    <t>Tethya-cho-RR-08</t>
  </si>
  <si>
    <t>Tethya-RR-cho-C-10</t>
  </si>
  <si>
    <t>Tethya-RR-cho-C-12</t>
  </si>
  <si>
    <t>Tethya-RR-cho-C-21</t>
  </si>
  <si>
    <t>Tethya-RR-cho-C-39</t>
  </si>
  <si>
    <t>Tethya-RR-cho-C-26</t>
  </si>
  <si>
    <t>Tethya-RR-cho-C-17</t>
  </si>
  <si>
    <t>Tethya-RR-cho-C-23</t>
  </si>
  <si>
    <t># apopyles in sieve</t>
  </si>
  <si>
    <t>xs-area apopyles in sieve</t>
  </si>
  <si>
    <t xml:space="preserve">apopyle raidus 1(um) </t>
  </si>
  <si>
    <t>apopyle radius2 (um)</t>
  </si>
  <si>
    <t># chambers in 1mm^3</t>
  </si>
  <si>
    <t>xs-area of apopyles in sieve plate</t>
  </si>
  <si>
    <t>Tethya-RR-cho-C-19</t>
  </si>
  <si>
    <t>Tethya-RR-cho-C-37</t>
  </si>
  <si>
    <r>
      <t xml:space="preserve">Measurements of </t>
    </r>
    <r>
      <rPr>
        <u/>
        <sz val="12"/>
        <color theme="1"/>
        <rFont val="Calibri"/>
        <scheme val="minor"/>
      </rPr>
      <t xml:space="preserve">       Tethya                        </t>
    </r>
    <r>
      <rPr>
        <sz val="12"/>
        <color theme="1"/>
        <rFont val="Calibri"/>
        <family val="2"/>
        <scheme val="minor"/>
      </rPr>
      <t xml:space="preserve"> ultrastructure for flow calculations</t>
    </r>
  </si>
  <si>
    <t>For Tethya, the whole surface is not incurrent.  Using photo number T3-P1060732 to estimate the proportion of the surface that is incurrent</t>
  </si>
  <si>
    <t>T3-P1060732</t>
  </si>
  <si>
    <t>Surface area of sponge measured</t>
  </si>
  <si>
    <t>Surface area of incurrent</t>
  </si>
  <si>
    <t>Fraction of incurrent</t>
  </si>
  <si>
    <t xml:space="preserve">For Tethya, the osculum is actually like a sieve plate. </t>
  </si>
  <si>
    <t>Photo</t>
  </si>
  <si>
    <t>diameter of space</t>
  </si>
  <si>
    <t>diametere of space</t>
  </si>
  <si>
    <t>radius of space</t>
  </si>
  <si>
    <t>area of space</t>
  </si>
  <si>
    <t>number of spaces in osculum</t>
  </si>
  <si>
    <t>xs area of sieve plate in osculum</t>
  </si>
  <si>
    <t>T2-P1060741</t>
  </si>
  <si>
    <t>Surface Area of the sponge (sphere):</t>
  </si>
  <si>
    <t xml:space="preserve">radius of whole sponge = </t>
  </si>
  <si>
    <t>Surface area of the sponge (cm^2)</t>
  </si>
  <si>
    <t xml:space="preserve">Excurrent velocity (m/s) </t>
  </si>
  <si>
    <t xml:space="preserve"> Osculum flow rate (mL/s) </t>
  </si>
  <si>
    <t>Surface area of the 100^3 crosswall section (mm^2)</t>
  </si>
  <si>
    <r>
      <rPr>
        <b/>
        <sz val="10"/>
        <color indexed="17"/>
        <rFont val="Arial"/>
        <family val="2"/>
      </rPr>
      <t>Density,</t>
    </r>
    <r>
      <rPr>
        <b/>
        <sz val="10"/>
        <color indexed="17"/>
        <rFont val="Symbol"/>
        <family val="1"/>
        <charset val="2"/>
      </rPr>
      <t xml:space="preserve"> r</t>
    </r>
    <r>
      <rPr>
        <b/>
        <sz val="10"/>
        <color indexed="17"/>
        <rFont val="Arial"/>
        <family val="2"/>
      </rPr>
      <t xml:space="preserve"> (kg/m^3)</t>
    </r>
  </si>
  <si>
    <r>
      <rPr>
        <b/>
        <sz val="10"/>
        <color indexed="17"/>
        <rFont val="Arial"/>
        <family val="2"/>
      </rPr>
      <t>Acceleration of gravity, g (m/s^2)</t>
    </r>
  </si>
  <si>
    <r>
      <t xml:space="preserve">Specific weight </t>
    </r>
    <r>
      <rPr>
        <b/>
        <sz val="11"/>
        <color indexed="17"/>
        <rFont val="Symbol"/>
        <family val="1"/>
        <charset val="2"/>
      </rPr>
      <t>g</t>
    </r>
  </si>
  <si>
    <t xml:space="preserve">Viscosity (Pa s) </t>
  </si>
  <si>
    <t>Alfa (Vex/U)</t>
  </si>
  <si>
    <t>Sponge Volume (cm^3)</t>
  </si>
  <si>
    <t>Specific pumping rate (mL/mLSponge/min)</t>
  </si>
  <si>
    <t>mL/mLSponge/s</t>
  </si>
  <si>
    <t>nL/collar/hr</t>
  </si>
  <si>
    <t># chambers in 1mm3</t>
  </si>
  <si>
    <t># chambers/sponge</t>
  </si>
  <si>
    <t>Est # collars per chamber</t>
  </si>
  <si>
    <t>Number of mv per collar</t>
  </si>
  <si>
    <t>names at the comparison table</t>
  </si>
  <si>
    <t>Sponge Region</t>
  </si>
  <si>
    <t>Path length of each section (um)</t>
  </si>
  <si>
    <t>Distance from inhalent surface (um)</t>
  </si>
  <si>
    <t>proportional distance from inhalent surface</t>
  </si>
  <si>
    <t>% distance from inhalent surface</t>
  </si>
  <si>
    <t>XS area (mm2) of aquiferous system in 1mm3  pieces</t>
  </si>
  <si>
    <t>XS area in 100 mm^3 pieces (mm^2)</t>
  </si>
  <si>
    <t>Fraction of inhalent surface</t>
  </si>
  <si>
    <t xml:space="preserve">Velocity (per opening, m^3/s) </t>
  </si>
  <si>
    <t>ostia</t>
  </si>
  <si>
    <t>Apertures of Inhalent canals</t>
  </si>
  <si>
    <t>lg incurrent canal</t>
  </si>
  <si>
    <t>med incurrent canal</t>
  </si>
  <si>
    <t>sm incurrent canal</t>
  </si>
  <si>
    <t>prosopyles</t>
  </si>
  <si>
    <t>Collars</t>
  </si>
  <si>
    <t>collar slit</t>
  </si>
  <si>
    <t>Chamber</t>
  </si>
  <si>
    <t>chamber</t>
  </si>
  <si>
    <t>Apopyles</t>
  </si>
  <si>
    <t>apopyle</t>
  </si>
  <si>
    <t>Apertures of exhalent canals</t>
  </si>
  <si>
    <t>sm excurrent canal</t>
  </si>
  <si>
    <t>med excurrent canal</t>
  </si>
  <si>
    <t>lg excurrent canal</t>
  </si>
  <si>
    <t>osculum</t>
  </si>
  <si>
    <t>Oxygen</t>
  </si>
  <si>
    <t>1 ml/l = 10^3/22.391 = 44.661 μmol/l</t>
  </si>
  <si>
    <t>umol/L</t>
  </si>
  <si>
    <t>1 ml/l * pumping rate (L/hr) = 1ml/hr</t>
  </si>
  <si>
    <t>ul/L</t>
  </si>
  <si>
    <t>1ul/hr *5.222 ~= uW (Riisgard 1993)</t>
  </si>
  <si>
    <t>ul/hr</t>
  </si>
  <si>
    <t>uW</t>
  </si>
  <si>
    <t>Pumping Power</t>
  </si>
  <si>
    <t>Cost of pumping (%)</t>
  </si>
  <si>
    <t>Tl-1-5um-Masson's-10x-01</t>
  </si>
  <si>
    <t>Type of opening</t>
  </si>
  <si>
    <t>Equation # in Riisgard and Larsen 1995</t>
  </si>
  <si>
    <t>Head loss (mm H20) as per Riisgard and Larsen 1995</t>
  </si>
  <si>
    <t>Head loss (um H20) as per Riisgard and Larsen 1995</t>
  </si>
  <si>
    <t>aperture</t>
  </si>
  <si>
    <t>channels/ducts</t>
  </si>
  <si>
    <t>d</t>
  </si>
  <si>
    <t>h1</t>
  </si>
  <si>
    <t>h2</t>
  </si>
  <si>
    <t>lattice - rectangular</t>
  </si>
  <si>
    <t>K</t>
  </si>
  <si>
    <t>τ</t>
  </si>
  <si>
    <t>h0</t>
  </si>
  <si>
    <t>h</t>
  </si>
  <si>
    <t>exit loss</t>
  </si>
  <si>
    <t>Using Riisgard and Larsen 1995</t>
  </si>
  <si>
    <t>Volume of a sphere:</t>
  </si>
  <si>
    <t>Tethya 6</t>
  </si>
  <si>
    <t>Tethya 2</t>
  </si>
  <si>
    <t>Tethya 3</t>
  </si>
  <si>
    <t>T6-P1060030</t>
  </si>
  <si>
    <t>cm</t>
  </si>
  <si>
    <t>V=(4/3)*PI()*r^3</t>
  </si>
  <si>
    <t>Surface Area</t>
  </si>
  <si>
    <t>cm^3</t>
  </si>
  <si>
    <t>cm^2</t>
  </si>
  <si>
    <t>Surface area of a sphere:</t>
  </si>
  <si>
    <t>SA = 4*PI()*r^2</t>
  </si>
  <si>
    <t>Surface Area1</t>
  </si>
  <si>
    <t>Total surface area</t>
  </si>
  <si>
    <t>Surface Area2</t>
  </si>
  <si>
    <t>T2-P1060048</t>
  </si>
  <si>
    <t>T3-P1060045</t>
  </si>
  <si>
    <t xml:space="preserve">r </t>
  </si>
  <si>
    <t>r 1</t>
  </si>
  <si>
    <t>r 2</t>
  </si>
  <si>
    <t>Volume and Surface Area measurements for Tethya leysae</t>
  </si>
  <si>
    <t>Images with rulers were taken for each of the three individuals</t>
  </si>
  <si>
    <t>Mean sponge volume</t>
  </si>
  <si>
    <t>Mean sponge surface area</t>
  </si>
  <si>
    <t>Volume</t>
  </si>
  <si>
    <t>Volume1</t>
  </si>
  <si>
    <t>Volume2</t>
  </si>
  <si>
    <t>where r = radius</t>
  </si>
  <si>
    <t>Oxygen drawdown (umol/L)</t>
  </si>
  <si>
    <t>Summary sheet for Tethya leysae</t>
  </si>
  <si>
    <t>Morphometric model using the methods by Reiswig (1975), Riisgard et al. (1993), and Leys et al. (2011)</t>
  </si>
  <si>
    <t>Dimensions of each region of the aquiferous canal system were measured in Image J (see tabs for each region for a breakdown of the measurement process)</t>
  </si>
  <si>
    <t xml:space="preserve">Cross-sectional area of each region was estimated as per Reiswig (1975) and Leys et al. (2011). </t>
  </si>
  <si>
    <t>A 100 uL piece was used to estimate cross-sectional area, that has the dimensions of 4.5 mm x 4.5 mm x 5 mm</t>
  </si>
  <si>
    <t>Sponge volume was estimated based on image analysis</t>
  </si>
  <si>
    <t>Velocity was estimated as per Reiswig (1975), using the relationship between cross-sectional area and velocity ((Cross-sectional area of osculum*velocity from osculum)/cross-sectional area of region)</t>
  </si>
  <si>
    <t>Head loss was calculated as per Riisgard et al. (1993), using different equations based on the region of the canal system.  This accounts for creeping flow and fluid dynamic differences when considering apertures, lattices, vs. pipes</t>
  </si>
  <si>
    <t>Pumping power and cost of filtration also estimated based on Riisgard et al. (1993)</t>
  </si>
  <si>
    <t>diameter of the collar microvilli</t>
  </si>
  <si>
    <t>height of the glycocalyx mesh</t>
  </si>
  <si>
    <t>width of the collar slit</t>
  </si>
  <si>
    <t>Head loss (mmH20) as per Leys et al 2011</t>
  </si>
  <si>
    <t>Head loss (umH20) as per Leys et al 2011</t>
  </si>
  <si>
    <t>Using Leys et al 2011</t>
  </si>
</sst>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43" formatCode="_(* #,##0.00_);_(* \(#,##0.00\);_(* &quot;-&quot;??_);_(@_)"/>
    <numFmt numFmtId="164" formatCode="0.0"/>
    <numFmt numFmtId="165" formatCode="0.0000"/>
    <numFmt numFmtId="166" formatCode="0.000"/>
    <numFmt numFmtId="167" formatCode="_(* #,##0_);_(* \(#,##0\);_(* &quot;-&quot;??_);_(@_)"/>
    <numFmt numFmtId="168" formatCode="0.000000"/>
  </numFmts>
  <fonts count="27" x14ac:knownFonts="1">
    <font>
      <sz val="12"/>
      <color theme="1"/>
      <name val="Calibri"/>
      <family val="2"/>
      <scheme val="minor"/>
    </font>
    <font>
      <u/>
      <sz val="12"/>
      <color theme="10"/>
      <name val="Calibri"/>
      <family val="2"/>
      <scheme val="minor"/>
    </font>
    <font>
      <u/>
      <sz val="12"/>
      <color theme="11"/>
      <name val="Calibri"/>
      <family val="2"/>
      <scheme val="minor"/>
    </font>
    <font>
      <sz val="12"/>
      <color rgb="FF000000"/>
      <name val="Calibri"/>
      <family val="2"/>
      <scheme val="minor"/>
    </font>
    <font>
      <sz val="10"/>
      <name val="Arial"/>
      <family val="2"/>
    </font>
    <font>
      <sz val="12"/>
      <color rgb="FFFF0000"/>
      <name val="Calibri"/>
      <family val="2"/>
      <scheme val="minor"/>
    </font>
    <font>
      <b/>
      <sz val="12"/>
      <color theme="1"/>
      <name val="Calibri"/>
      <family val="2"/>
      <scheme val="minor"/>
    </font>
    <font>
      <b/>
      <sz val="9"/>
      <color indexed="81"/>
      <name val="Tahoma"/>
      <family val="2"/>
    </font>
    <font>
      <sz val="9"/>
      <color indexed="81"/>
      <name val="Tahoma"/>
      <family val="2"/>
    </font>
    <font>
      <sz val="9"/>
      <color indexed="81"/>
      <name val="Calibri"/>
      <family val="2"/>
    </font>
    <font>
      <b/>
      <sz val="9"/>
      <color indexed="81"/>
      <name val="Calibri"/>
      <family val="2"/>
    </font>
    <font>
      <b/>
      <sz val="10"/>
      <name val="Arial"/>
      <family val="2"/>
    </font>
    <font>
      <sz val="12"/>
      <color rgb="FF000000"/>
      <name val="Calibri"/>
      <family val="2"/>
    </font>
    <font>
      <sz val="11"/>
      <color rgb="FF006100"/>
      <name val="Calibri"/>
      <family val="2"/>
      <charset val="177"/>
      <scheme val="minor"/>
    </font>
    <font>
      <u/>
      <sz val="12"/>
      <color theme="1"/>
      <name val="Calibri"/>
      <scheme val="minor"/>
    </font>
    <font>
      <sz val="12"/>
      <color theme="1"/>
      <name val="Calibri (Body)"/>
    </font>
    <font>
      <sz val="12"/>
      <color rgb="FF006100"/>
      <name val="Calibri"/>
      <family val="2"/>
      <scheme val="minor"/>
    </font>
    <font>
      <b/>
      <sz val="12"/>
      <color rgb="FFFA7D00"/>
      <name val="Calibri"/>
      <family val="2"/>
      <scheme val="minor"/>
    </font>
    <font>
      <b/>
      <sz val="11"/>
      <color rgb="FF006100"/>
      <name val="Calibri"/>
      <family val="2"/>
    </font>
    <font>
      <b/>
      <sz val="10"/>
      <color indexed="17"/>
      <name val="Calibri"/>
      <family val="2"/>
    </font>
    <font>
      <b/>
      <sz val="10"/>
      <color indexed="17"/>
      <name val="Arial"/>
      <family val="2"/>
    </font>
    <font>
      <b/>
      <sz val="10"/>
      <color indexed="17"/>
      <name val="Symbol"/>
      <family val="1"/>
      <charset val="2"/>
    </font>
    <font>
      <b/>
      <sz val="11"/>
      <color indexed="17"/>
      <name val="Symbol"/>
      <family val="1"/>
      <charset val="2"/>
    </font>
    <font>
      <sz val="11"/>
      <name val="Cambria"/>
      <family val="1"/>
      <scheme val="major"/>
    </font>
    <font>
      <sz val="14"/>
      <color theme="1"/>
      <name val="Calibri"/>
      <scheme val="minor"/>
    </font>
    <font>
      <sz val="12"/>
      <name val="Calibri"/>
      <scheme val="minor"/>
    </font>
    <font>
      <b/>
      <sz val="16"/>
      <color theme="1"/>
      <name val="Calibri"/>
      <scheme val="minor"/>
    </font>
  </fonts>
  <fills count="20">
    <fill>
      <patternFill patternType="none"/>
    </fill>
    <fill>
      <patternFill patternType="gray125"/>
    </fill>
    <fill>
      <patternFill patternType="solid">
        <fgColor theme="6" tint="0.79998168889431442"/>
        <bgColor indexed="64"/>
      </patternFill>
    </fill>
    <fill>
      <patternFill patternType="solid">
        <fgColor theme="6" tint="0.39997558519241921"/>
        <bgColor indexed="64"/>
      </patternFill>
    </fill>
    <fill>
      <patternFill patternType="solid">
        <fgColor theme="4" tint="0.79998168889431442"/>
        <bgColor indexed="64"/>
      </patternFill>
    </fill>
    <fill>
      <patternFill patternType="solid">
        <fgColor theme="6" tint="-0.249977111117893"/>
        <bgColor indexed="64"/>
      </patternFill>
    </fill>
    <fill>
      <patternFill patternType="solid">
        <fgColor theme="2"/>
        <bgColor indexed="64"/>
      </patternFill>
    </fill>
    <fill>
      <patternFill patternType="solid">
        <fgColor rgb="FFEEECE1"/>
        <bgColor rgb="FF000000"/>
      </patternFill>
    </fill>
    <fill>
      <patternFill patternType="solid">
        <fgColor theme="9" tint="0.79998168889431442"/>
        <bgColor indexed="64"/>
      </patternFill>
    </fill>
    <fill>
      <patternFill patternType="solid">
        <fgColor rgb="FFC6EFCE"/>
      </patternFill>
    </fill>
    <fill>
      <patternFill patternType="solid">
        <fgColor theme="6"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CC0DA"/>
        <bgColor rgb="FF000000"/>
      </patternFill>
    </fill>
    <fill>
      <patternFill patternType="solid">
        <fgColor rgb="FFFCD5B4"/>
        <bgColor rgb="FF000000"/>
      </patternFill>
    </fill>
    <fill>
      <patternFill patternType="solid">
        <fgColor theme="7" tint="0.79998168889431442"/>
        <bgColor indexed="64"/>
      </patternFill>
    </fill>
    <fill>
      <patternFill patternType="solid">
        <fgColor rgb="FFF2F2F2"/>
      </patternFill>
    </fill>
    <fill>
      <patternFill patternType="solid">
        <fgColor theme="0" tint="-4.9989318521683403E-2"/>
        <bgColor indexed="64"/>
      </patternFill>
    </fill>
    <fill>
      <patternFill patternType="solid">
        <fgColor theme="8" tint="0.79998168889431442"/>
        <bgColor indexed="64"/>
      </patternFill>
    </fill>
    <fill>
      <patternFill patternType="solid">
        <fgColor theme="5" tint="0.79998168889431442"/>
        <bgColor indexed="64"/>
      </patternFill>
    </fill>
  </fills>
  <borders count="29">
    <border>
      <left/>
      <right/>
      <top/>
      <bottom/>
      <diagonal/>
    </border>
    <border>
      <left/>
      <right/>
      <top style="thin">
        <color auto="1"/>
      </top>
      <bottom style="thin">
        <color auto="1"/>
      </bottom>
      <diagonal/>
    </border>
    <border>
      <left/>
      <right/>
      <top style="thin">
        <color auto="1"/>
      </top>
      <bottom style="medium">
        <color auto="1"/>
      </bottom>
      <diagonal/>
    </border>
    <border>
      <left/>
      <right/>
      <top style="thin">
        <color auto="1"/>
      </top>
      <bottom style="double">
        <color auto="1"/>
      </bottom>
      <diagonal/>
    </border>
    <border>
      <left/>
      <right/>
      <top/>
      <bottom style="thin">
        <color auto="1"/>
      </bottom>
      <diagonal/>
    </border>
    <border>
      <left/>
      <right/>
      <top style="thin">
        <color auto="1"/>
      </top>
      <bottom/>
      <diagonal/>
    </border>
    <border>
      <left/>
      <right/>
      <top/>
      <bottom style="medium">
        <color auto="1"/>
      </bottom>
      <diagonal/>
    </border>
    <border>
      <left/>
      <right/>
      <top/>
      <bottom style="double">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double">
        <color auto="1"/>
      </bottom>
      <diagonal/>
    </border>
    <border>
      <left/>
      <right style="thin">
        <color auto="1"/>
      </right>
      <top/>
      <bottom style="double">
        <color auto="1"/>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style="hair">
        <color auto="1"/>
      </left>
      <right style="hair">
        <color auto="1"/>
      </right>
      <top style="hair">
        <color auto="1"/>
      </top>
      <bottom style="hair">
        <color auto="1"/>
      </bottom>
      <diagonal/>
    </border>
    <border>
      <left style="hair">
        <color auto="1"/>
      </left>
      <right style="hair">
        <color auto="1"/>
      </right>
      <top style="thin">
        <color auto="1"/>
      </top>
      <bottom style="double">
        <color auto="1"/>
      </bottom>
      <diagonal/>
    </border>
    <border>
      <left/>
      <right style="hair">
        <color auto="1"/>
      </right>
      <top style="thin">
        <color auto="1"/>
      </top>
      <bottom style="double">
        <color auto="1"/>
      </bottom>
      <diagonal/>
    </border>
    <border>
      <left style="thin">
        <color auto="1"/>
      </left>
      <right style="thin">
        <color auto="1"/>
      </right>
      <top style="thin">
        <color auto="1"/>
      </top>
      <bottom style="thin">
        <color auto="1"/>
      </bottom>
      <diagonal/>
    </border>
    <border>
      <left style="hair">
        <color auto="1"/>
      </left>
      <right style="hair">
        <color auto="1"/>
      </right>
      <top style="hair">
        <color auto="1"/>
      </top>
      <bottom/>
      <diagonal/>
    </border>
    <border>
      <left style="hair">
        <color auto="1"/>
      </left>
      <right/>
      <top style="hair">
        <color auto="1"/>
      </top>
      <bottom style="hair">
        <color auto="1"/>
      </bottom>
      <diagonal/>
    </border>
    <border>
      <left style="hair">
        <color auto="1"/>
      </left>
      <right style="hair">
        <color auto="1"/>
      </right>
      <top/>
      <bottom/>
      <diagonal/>
    </border>
    <border>
      <left/>
      <right style="thin">
        <color auto="1"/>
      </right>
      <top style="thin">
        <color auto="1"/>
      </top>
      <bottom style="double">
        <color auto="1"/>
      </bottom>
      <diagonal/>
    </border>
    <border>
      <left style="thin">
        <color auto="1"/>
      </left>
      <right/>
      <top style="thin">
        <color auto="1"/>
      </top>
      <bottom style="double">
        <color auto="1"/>
      </bottom>
      <diagonal/>
    </border>
    <border>
      <left style="thin">
        <color rgb="FF7F7F7F"/>
      </left>
      <right style="thin">
        <color rgb="FF7F7F7F"/>
      </right>
      <top style="thin">
        <color rgb="FF7F7F7F"/>
      </top>
      <bottom style="thin">
        <color rgb="FF7F7F7F"/>
      </bottom>
      <diagonal/>
    </border>
    <border>
      <left style="thin">
        <color auto="1"/>
      </left>
      <right style="thin">
        <color rgb="FF7F7F7F"/>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s>
  <cellStyleXfs count="2625">
    <xf numFmtId="0" fontId="0" fillId="0" borderId="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3" fillId="9" borderId="0" applyNumberFormat="0" applyBorder="0" applyAlignment="0" applyProtection="0"/>
    <xf numFmtId="43" fontId="4" fillId="0" borderId="0" applyFon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6" fillId="9" borderId="0" applyNumberFormat="0" applyBorder="0" applyAlignment="0" applyProtection="0"/>
    <xf numFmtId="0" fontId="17" fillId="16" borderId="25" applyNumberFormat="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cellStyleXfs>
  <cellXfs count="245">
    <xf numFmtId="0" fontId="0" fillId="0" borderId="0" xfId="0"/>
    <xf numFmtId="0" fontId="0" fillId="0" borderId="1" xfId="0" applyBorder="1"/>
    <xf numFmtId="0" fontId="0" fillId="0" borderId="0" xfId="0" applyAlignment="1">
      <alignment wrapText="1"/>
    </xf>
    <xf numFmtId="0" fontId="3" fillId="0" borderId="0" xfId="0" applyFont="1"/>
    <xf numFmtId="0" fontId="4" fillId="0" borderId="0" xfId="0" applyFont="1" applyFill="1" applyBorder="1" applyAlignment="1">
      <alignment wrapText="1"/>
    </xf>
    <xf numFmtId="0" fontId="0" fillId="3" borderId="0" xfId="0" applyFill="1"/>
    <xf numFmtId="0" fontId="0" fillId="0" borderId="5" xfId="0" applyBorder="1"/>
    <xf numFmtId="0" fontId="0" fillId="0" borderId="0" xfId="0" applyBorder="1"/>
    <xf numFmtId="0" fontId="0" fillId="3" borderId="3" xfId="0" applyFill="1" applyBorder="1" applyAlignment="1">
      <alignment wrapText="1"/>
    </xf>
    <xf numFmtId="0" fontId="0" fillId="3" borderId="1" xfId="0" applyFill="1" applyBorder="1"/>
    <xf numFmtId="0" fontId="0" fillId="0" borderId="0" xfId="0" applyFill="1" applyBorder="1"/>
    <xf numFmtId="0" fontId="5" fillId="0" borderId="0" xfId="0" applyFont="1"/>
    <xf numFmtId="0" fontId="5" fillId="0" borderId="0" xfId="0" applyFont="1" applyFill="1" applyBorder="1"/>
    <xf numFmtId="0" fontId="5" fillId="0" borderId="0" xfId="0" applyFont="1" applyBorder="1"/>
    <xf numFmtId="0" fontId="0" fillId="3" borderId="0" xfId="0" applyFill="1" applyAlignment="1">
      <alignment wrapText="1"/>
    </xf>
    <xf numFmtId="0" fontId="0" fillId="0" borderId="3" xfId="0" applyBorder="1"/>
    <xf numFmtId="0" fontId="0" fillId="0" borderId="0" xfId="0" applyFill="1"/>
    <xf numFmtId="0" fontId="0" fillId="0" borderId="7" xfId="0" applyBorder="1" applyAlignment="1">
      <alignment wrapText="1"/>
    </xf>
    <xf numFmtId="0" fontId="0" fillId="4" borderId="10" xfId="0" applyFill="1" applyBorder="1" applyAlignment="1">
      <alignment wrapText="1"/>
    </xf>
    <xf numFmtId="0" fontId="0" fillId="4" borderId="11" xfId="0" applyFill="1" applyBorder="1" applyAlignment="1">
      <alignment wrapText="1"/>
    </xf>
    <xf numFmtId="0" fontId="0" fillId="4" borderId="12" xfId="0" applyFill="1" applyBorder="1" applyAlignment="1">
      <alignment horizontal="right"/>
    </xf>
    <xf numFmtId="0" fontId="0" fillId="4" borderId="13" xfId="0" applyFill="1" applyBorder="1"/>
    <xf numFmtId="2" fontId="0" fillId="4" borderId="12" xfId="0" applyNumberFormat="1" applyFill="1" applyBorder="1" applyAlignment="1">
      <alignment horizontal="right"/>
    </xf>
    <xf numFmtId="0" fontId="0" fillId="4" borderId="12" xfId="0" applyFill="1" applyBorder="1"/>
    <xf numFmtId="0" fontId="0" fillId="4" borderId="14" xfId="0" applyFill="1" applyBorder="1"/>
    <xf numFmtId="0" fontId="0" fillId="4" borderId="15" xfId="0" applyFill="1" applyBorder="1"/>
    <xf numFmtId="0" fontId="0" fillId="2" borderId="10" xfId="0" applyFill="1" applyBorder="1" applyAlignment="1">
      <alignment wrapText="1"/>
    </xf>
    <xf numFmtId="0" fontId="0" fillId="2" borderId="11" xfId="0" applyFill="1" applyBorder="1" applyAlignment="1">
      <alignment wrapText="1"/>
    </xf>
    <xf numFmtId="0" fontId="0" fillId="0" borderId="0" xfId="0" applyFill="1" applyBorder="1" applyAlignment="1">
      <alignment wrapText="1"/>
    </xf>
    <xf numFmtId="0" fontId="6" fillId="0" borderId="0" xfId="0" applyFont="1"/>
    <xf numFmtId="0" fontId="6" fillId="0" borderId="1" xfId="0" applyFont="1" applyBorder="1"/>
    <xf numFmtId="0" fontId="6" fillId="0" borderId="0" xfId="0" applyFont="1" applyBorder="1"/>
    <xf numFmtId="0" fontId="6" fillId="0" borderId="0" xfId="0" applyFont="1" applyFill="1" applyBorder="1"/>
    <xf numFmtId="0" fontId="11" fillId="0" borderId="0" xfId="0" applyFont="1"/>
    <xf numFmtId="2" fontId="11" fillId="0" borderId="0" xfId="0" applyNumberFormat="1" applyFont="1" applyFill="1" applyBorder="1"/>
    <xf numFmtId="2" fontId="0" fillId="0" borderId="0" xfId="0" applyNumberFormat="1" applyFill="1" applyBorder="1"/>
    <xf numFmtId="164" fontId="0" fillId="0" borderId="0" xfId="0" applyNumberFormat="1" applyFill="1" applyBorder="1"/>
    <xf numFmtId="165" fontId="11" fillId="0" borderId="0" xfId="0" applyNumberFormat="1" applyFont="1" applyFill="1" applyBorder="1"/>
    <xf numFmtId="0" fontId="0" fillId="5" borderId="0" xfId="0" applyFill="1" applyBorder="1"/>
    <xf numFmtId="0" fontId="0" fillId="5" borderId="6" xfId="0" applyFill="1" applyBorder="1"/>
    <xf numFmtId="2" fontId="0" fillId="2" borderId="12" xfId="0" applyNumberFormat="1" applyFill="1" applyBorder="1"/>
    <xf numFmtId="2" fontId="0" fillId="2" borderId="14" xfId="0" applyNumberFormat="1" applyFill="1" applyBorder="1"/>
    <xf numFmtId="0" fontId="0" fillId="6" borderId="3" xfId="0" applyFill="1" applyBorder="1"/>
    <xf numFmtId="0" fontId="0" fillId="6" borderId="3" xfId="0" applyFill="1" applyBorder="1" applyAlignment="1">
      <alignment wrapText="1"/>
    </xf>
    <xf numFmtId="0" fontId="0" fillId="6" borderId="17" xfId="0" applyFill="1" applyBorder="1" applyAlignment="1">
      <alignment wrapText="1"/>
    </xf>
    <xf numFmtId="0" fontId="0" fillId="0" borderId="0" xfId="0" applyAlignment="1">
      <alignment horizontal="left"/>
    </xf>
    <xf numFmtId="0" fontId="0" fillId="0" borderId="4" xfId="0" applyBorder="1"/>
    <xf numFmtId="0" fontId="3" fillId="7" borderId="18" xfId="0" applyFont="1" applyFill="1" applyBorder="1" applyAlignment="1">
      <alignment wrapText="1"/>
    </xf>
    <xf numFmtId="0" fontId="0" fillId="0" borderId="0" xfId="0" applyFont="1" applyFill="1" applyBorder="1"/>
    <xf numFmtId="0" fontId="0" fillId="2" borderId="2" xfId="0" applyFill="1" applyBorder="1"/>
    <xf numFmtId="0" fontId="0" fillId="2" borderId="2" xfId="0" applyFill="1" applyBorder="1" applyAlignment="1">
      <alignment wrapText="1"/>
    </xf>
    <xf numFmtId="0" fontId="0" fillId="2" borderId="0" xfId="0" applyFill="1" applyBorder="1"/>
    <xf numFmtId="0" fontId="0" fillId="2" borderId="5" xfId="0" applyFill="1" applyBorder="1"/>
    <xf numFmtId="0" fontId="0" fillId="2" borderId="19" xfId="0" applyFill="1" applyBorder="1"/>
    <xf numFmtId="0" fontId="0" fillId="2" borderId="19" xfId="0" applyFill="1" applyBorder="1" applyAlignment="1">
      <alignment wrapText="1"/>
    </xf>
    <xf numFmtId="0" fontId="0" fillId="2" borderId="3" xfId="0" applyFill="1" applyBorder="1"/>
    <xf numFmtId="0" fontId="0" fillId="2" borderId="17" xfId="0" applyFill="1" applyBorder="1" applyAlignment="1">
      <alignment wrapText="1"/>
    </xf>
    <xf numFmtId="0" fontId="11" fillId="8" borderId="16" xfId="0" applyFont="1" applyFill="1" applyBorder="1" applyAlignment="1">
      <alignment wrapText="1"/>
    </xf>
    <xf numFmtId="0" fontId="11" fillId="8" borderId="20" xfId="0" applyFont="1" applyFill="1" applyBorder="1" applyAlignment="1">
      <alignment wrapText="1"/>
    </xf>
    <xf numFmtId="0" fontId="0" fillId="0" borderId="16" xfId="0" applyFill="1" applyBorder="1"/>
    <xf numFmtId="11" fontId="0" fillId="0" borderId="0" xfId="0" applyNumberFormat="1"/>
    <xf numFmtId="11" fontId="0" fillId="0" borderId="4" xfId="0" applyNumberFormat="1" applyBorder="1"/>
    <xf numFmtId="0" fontId="0" fillId="6" borderId="0" xfId="0" applyFill="1" applyAlignment="1">
      <alignment wrapText="1"/>
    </xf>
    <xf numFmtId="0" fontId="0" fillId="2" borderId="0" xfId="0" applyFill="1" applyAlignment="1">
      <alignment wrapText="1"/>
    </xf>
    <xf numFmtId="0" fontId="4" fillId="2" borderId="0" xfId="0" applyFont="1" applyFill="1" applyAlignment="1">
      <alignment wrapText="1"/>
    </xf>
    <xf numFmtId="0" fontId="4" fillId="0" borderId="4" xfId="0" applyFont="1" applyBorder="1"/>
    <xf numFmtId="0" fontId="4" fillId="0" borderId="1" xfId="0" applyFont="1" applyBorder="1" applyAlignment="1">
      <alignment wrapText="1"/>
    </xf>
    <xf numFmtId="0" fontId="0" fillId="0" borderId="1" xfId="0" applyBorder="1" applyAlignment="1">
      <alignment wrapText="1"/>
    </xf>
    <xf numFmtId="0" fontId="0" fillId="2" borderId="5" xfId="0" applyFill="1" applyBorder="1" applyAlignment="1">
      <alignment wrapText="1"/>
    </xf>
    <xf numFmtId="0" fontId="0" fillId="0" borderId="0" xfId="0" applyFill="1" applyAlignment="1">
      <alignment wrapText="1"/>
    </xf>
    <xf numFmtId="0" fontId="3" fillId="0" borderId="0" xfId="0" applyFont="1" applyFill="1" applyBorder="1"/>
    <xf numFmtId="166" fontId="0" fillId="0" borderId="0" xfId="0" applyNumberFormat="1" applyFill="1" applyBorder="1"/>
    <xf numFmtId="0" fontId="0" fillId="6" borderId="16" xfId="0" applyFill="1" applyBorder="1"/>
    <xf numFmtId="0" fontId="0" fillId="6" borderId="16" xfId="0" applyFill="1" applyBorder="1" applyAlignment="1">
      <alignment wrapText="1"/>
    </xf>
    <xf numFmtId="0" fontId="0" fillId="6" borderId="22" xfId="0" applyFill="1" applyBorder="1" applyAlignment="1">
      <alignment wrapText="1"/>
    </xf>
    <xf numFmtId="0" fontId="11" fillId="6" borderId="4" xfId="0" applyFont="1" applyFill="1" applyBorder="1"/>
    <xf numFmtId="0" fontId="0" fillId="6" borderId="4" xfId="0" applyFill="1" applyBorder="1"/>
    <xf numFmtId="0" fontId="11" fillId="0" borderId="0" xfId="0" applyFont="1" applyAlignment="1"/>
    <xf numFmtId="0" fontId="0" fillId="10" borderId="0" xfId="0" applyFill="1"/>
    <xf numFmtId="0" fontId="0" fillId="11" borderId="0" xfId="0" applyFill="1"/>
    <xf numFmtId="2" fontId="0" fillId="11" borderId="0" xfId="0" applyNumberFormat="1" applyFill="1"/>
    <xf numFmtId="0" fontId="0" fillId="12" borderId="0" xfId="0" applyFill="1"/>
    <xf numFmtId="0" fontId="0" fillId="11" borderId="5" xfId="0" applyFill="1" applyBorder="1"/>
    <xf numFmtId="0" fontId="0" fillId="11" borderId="0" xfId="0" applyFill="1" applyBorder="1"/>
    <xf numFmtId="0" fontId="0" fillId="11" borderId="4" xfId="0" applyFill="1" applyBorder="1"/>
    <xf numFmtId="0" fontId="0" fillId="11" borderId="2" xfId="0" applyFill="1" applyBorder="1"/>
    <xf numFmtId="0" fontId="0" fillId="12" borderId="0" xfId="0" applyFill="1" applyBorder="1"/>
    <xf numFmtId="164" fontId="0" fillId="12" borderId="0" xfId="0" applyNumberFormat="1" applyFill="1" applyBorder="1"/>
    <xf numFmtId="0" fontId="0" fillId="12" borderId="0" xfId="0" applyFill="1" applyBorder="1" applyAlignment="1">
      <alignment wrapText="1"/>
    </xf>
    <xf numFmtId="0" fontId="0" fillId="12" borderId="4" xfId="0" applyFill="1" applyBorder="1"/>
    <xf numFmtId="0" fontId="0" fillId="11" borderId="1" xfId="0" applyFill="1" applyBorder="1"/>
    <xf numFmtId="164" fontId="0" fillId="11" borderId="1" xfId="0" applyNumberFormat="1" applyFill="1" applyBorder="1"/>
    <xf numFmtId="165" fontId="0" fillId="11" borderId="0" xfId="0" applyNumberFormat="1" applyFill="1" applyBorder="1"/>
    <xf numFmtId="164" fontId="0" fillId="11" borderId="0" xfId="0" applyNumberFormat="1" applyFill="1" applyBorder="1"/>
    <xf numFmtId="0" fontId="0" fillId="11" borderId="6" xfId="0" applyFill="1" applyBorder="1"/>
    <xf numFmtId="0" fontId="6" fillId="11" borderId="1" xfId="0" applyFont="1" applyFill="1" applyBorder="1"/>
    <xf numFmtId="0" fontId="6" fillId="11" borderId="5" xfId="0" applyFont="1" applyFill="1" applyBorder="1"/>
    <xf numFmtId="0" fontId="6" fillId="11" borderId="0" xfId="0" applyFont="1" applyFill="1"/>
    <xf numFmtId="0" fontId="6" fillId="11" borderId="0" xfId="0" applyFont="1" applyFill="1" applyBorder="1"/>
    <xf numFmtId="0" fontId="0" fillId="12" borderId="19" xfId="0" applyFill="1" applyBorder="1"/>
    <xf numFmtId="2" fontId="0" fillId="11" borderId="19" xfId="0" applyNumberFormat="1" applyFill="1" applyBorder="1"/>
    <xf numFmtId="2" fontId="0" fillId="12" borderId="16" xfId="0" applyNumberFormat="1" applyFill="1" applyBorder="1"/>
    <xf numFmtId="0" fontId="0" fillId="12" borderId="21" xfId="0" applyFill="1" applyBorder="1"/>
    <xf numFmtId="0" fontId="3" fillId="12" borderId="0" xfId="0" applyFont="1" applyFill="1"/>
    <xf numFmtId="0" fontId="3" fillId="12" borderId="0" xfId="0" applyFont="1" applyFill="1" applyBorder="1"/>
    <xf numFmtId="0" fontId="0" fillId="11" borderId="8" xfId="0" applyFill="1" applyBorder="1"/>
    <xf numFmtId="0" fontId="0" fillId="11" borderId="9" xfId="0" applyFill="1" applyBorder="1"/>
    <xf numFmtId="0" fontId="0" fillId="11" borderId="0" xfId="0" applyFill="1" applyAlignment="1">
      <alignment wrapText="1"/>
    </xf>
    <xf numFmtId="0" fontId="0" fillId="12" borderId="5" xfId="0" applyFill="1" applyBorder="1"/>
    <xf numFmtId="2" fontId="0" fillId="11" borderId="0" xfId="0" applyNumberFormat="1" applyFill="1" applyBorder="1"/>
    <xf numFmtId="0" fontId="0" fillId="2" borderId="7" xfId="0" applyFill="1" applyBorder="1" applyAlignment="1">
      <alignment wrapText="1"/>
    </xf>
    <xf numFmtId="2" fontId="0" fillId="2" borderId="0" xfId="0" applyNumberFormat="1" applyFill="1" applyBorder="1"/>
    <xf numFmtId="0" fontId="0" fillId="4" borderId="7" xfId="0" applyFill="1" applyBorder="1" applyAlignment="1">
      <alignment wrapText="1"/>
    </xf>
    <xf numFmtId="0" fontId="0" fillId="4" borderId="0" xfId="0" applyFill="1" applyBorder="1"/>
    <xf numFmtId="0" fontId="0" fillId="4" borderId="4" xfId="0" applyFill="1" applyBorder="1"/>
    <xf numFmtId="2" fontId="0" fillId="4" borderId="0" xfId="0" applyNumberFormat="1" applyFill="1" applyBorder="1"/>
    <xf numFmtId="2" fontId="0" fillId="4" borderId="4" xfId="0" applyNumberFormat="1" applyFill="1" applyBorder="1"/>
    <xf numFmtId="2" fontId="0" fillId="2" borderId="4" xfId="0" applyNumberFormat="1" applyFill="1" applyBorder="1"/>
    <xf numFmtId="0" fontId="0" fillId="0" borderId="12" xfId="0" applyBorder="1"/>
    <xf numFmtId="0" fontId="0" fillId="0" borderId="14" xfId="0" applyBorder="1"/>
    <xf numFmtId="0" fontId="0" fillId="0" borderId="10" xfId="0" applyBorder="1" applyAlignment="1">
      <alignment wrapText="1"/>
    </xf>
    <xf numFmtId="0" fontId="0" fillId="0" borderId="8" xfId="0" applyBorder="1"/>
    <xf numFmtId="0" fontId="0" fillId="2" borderId="23" xfId="0" applyFill="1" applyBorder="1" applyAlignment="1">
      <alignment wrapText="1"/>
    </xf>
    <xf numFmtId="0" fontId="0" fillId="4" borderId="0" xfId="0" applyNumberFormat="1" applyFill="1" applyBorder="1"/>
    <xf numFmtId="0" fontId="0" fillId="4" borderId="4" xfId="0" applyNumberFormat="1" applyFill="1" applyBorder="1"/>
    <xf numFmtId="0" fontId="0" fillId="2" borderId="13" xfId="0" applyNumberFormat="1" applyFill="1" applyBorder="1"/>
    <xf numFmtId="0" fontId="0" fillId="2" borderId="15" xfId="0" applyNumberFormat="1" applyFill="1" applyBorder="1"/>
    <xf numFmtId="0" fontId="0" fillId="11" borderId="7" xfId="0" applyFill="1" applyBorder="1" applyAlignment="1">
      <alignment wrapText="1"/>
    </xf>
    <xf numFmtId="2" fontId="0" fillId="11" borderId="12" xfId="0" applyNumberFormat="1" applyFill="1" applyBorder="1"/>
    <xf numFmtId="0" fontId="0" fillId="11" borderId="13" xfId="0" applyFill="1" applyBorder="1"/>
    <xf numFmtId="2" fontId="0" fillId="11" borderId="14" xfId="0" applyNumberFormat="1" applyFill="1" applyBorder="1"/>
    <xf numFmtId="0" fontId="0" fillId="11" borderId="15" xfId="0" applyFill="1" applyBorder="1"/>
    <xf numFmtId="0" fontId="12" fillId="11" borderId="7" xfId="0" applyFont="1" applyFill="1" applyBorder="1" applyAlignment="1">
      <alignment wrapText="1"/>
    </xf>
    <xf numFmtId="0" fontId="0" fillId="11" borderId="23" xfId="0" applyFill="1" applyBorder="1" applyAlignment="1">
      <alignment wrapText="1"/>
    </xf>
    <xf numFmtId="0" fontId="12" fillId="2" borderId="24" xfId="0" applyFont="1" applyFill="1" applyBorder="1" applyAlignment="1">
      <alignment wrapText="1"/>
    </xf>
    <xf numFmtId="0" fontId="0" fillId="2" borderId="3" xfId="0" applyFill="1" applyBorder="1" applyAlignment="1">
      <alignment wrapText="1"/>
    </xf>
    <xf numFmtId="0" fontId="0" fillId="2" borderId="12" xfId="0" applyFill="1" applyBorder="1"/>
    <xf numFmtId="0" fontId="3" fillId="13" borderId="0" xfId="0" applyFont="1" applyFill="1"/>
    <xf numFmtId="0" fontId="3" fillId="14" borderId="0" xfId="0" applyFont="1" applyFill="1"/>
    <xf numFmtId="0" fontId="15" fillId="0" borderId="0" xfId="0" applyFont="1" applyFill="1" applyBorder="1"/>
    <xf numFmtId="11" fontId="0" fillId="0" borderId="0" xfId="0" applyNumberFormat="1" applyBorder="1"/>
    <xf numFmtId="11" fontId="0" fillId="12" borderId="0" xfId="0" applyNumberFormat="1" applyFill="1" applyBorder="1"/>
    <xf numFmtId="0" fontId="0" fillId="0" borderId="0" xfId="0" applyNumberFormat="1"/>
    <xf numFmtId="0" fontId="0" fillId="0" borderId="4" xfId="0" applyNumberFormat="1" applyBorder="1"/>
    <xf numFmtId="11" fontId="0" fillId="12" borderId="4" xfId="0" applyNumberFormat="1" applyFill="1" applyBorder="1"/>
    <xf numFmtId="0" fontId="0" fillId="15" borderId="0" xfId="0" applyFill="1"/>
    <xf numFmtId="0" fontId="11" fillId="10" borderId="1" xfId="0" applyFont="1" applyFill="1" applyBorder="1"/>
    <xf numFmtId="2" fontId="11" fillId="10" borderId="1" xfId="0" applyNumberFormat="1" applyFont="1" applyFill="1" applyBorder="1"/>
    <xf numFmtId="0" fontId="0" fillId="10" borderId="1" xfId="0" applyFill="1" applyBorder="1"/>
    <xf numFmtId="2" fontId="0" fillId="10" borderId="1" xfId="0" applyNumberFormat="1" applyFill="1" applyBorder="1"/>
    <xf numFmtId="0" fontId="0" fillId="0" borderId="0" xfId="0" applyBorder="1" applyAlignment="1">
      <alignment wrapText="1"/>
    </xf>
    <xf numFmtId="166" fontId="18" fillId="17" borderId="19" xfId="2585" applyNumberFormat="1" applyFont="1" applyFill="1" applyBorder="1" applyAlignment="1">
      <alignment horizontal="right" wrapText="1"/>
    </xf>
    <xf numFmtId="0" fontId="18" fillId="17" borderId="19" xfId="2585" applyFont="1" applyFill="1" applyBorder="1" applyAlignment="1">
      <alignment horizontal="right" wrapText="1"/>
    </xf>
    <xf numFmtId="0" fontId="18" fillId="17" borderId="19" xfId="2585" applyFont="1" applyFill="1" applyBorder="1" applyAlignment="1">
      <alignment wrapText="1"/>
    </xf>
    <xf numFmtId="0" fontId="19" fillId="17" borderId="19" xfId="2585" applyFont="1" applyFill="1" applyBorder="1" applyAlignment="1">
      <alignment wrapText="1"/>
    </xf>
    <xf numFmtId="0" fontId="18" fillId="17" borderId="19" xfId="1861" applyFont="1" applyFill="1" applyBorder="1" applyAlignment="1">
      <alignment horizontal="right" wrapText="1"/>
    </xf>
    <xf numFmtId="0" fontId="11" fillId="17" borderId="19" xfId="0" applyFont="1" applyFill="1" applyBorder="1" applyAlignment="1">
      <alignment wrapText="1"/>
    </xf>
    <xf numFmtId="0" fontId="17" fillId="16" borderId="19" xfId="2586" applyBorder="1" applyAlignment="1">
      <alignment horizontal="left" wrapText="1"/>
    </xf>
    <xf numFmtId="0" fontId="17" fillId="16" borderId="19" xfId="2586" applyBorder="1" applyAlignment="1">
      <alignment horizontal="center" wrapText="1"/>
    </xf>
    <xf numFmtId="0" fontId="17" fillId="16" borderId="26" xfId="2586" applyBorder="1" applyAlignment="1">
      <alignment horizontal="center" wrapText="1"/>
    </xf>
    <xf numFmtId="0" fontId="4" fillId="0" borderId="0" xfId="0" applyFont="1" applyFill="1" applyAlignment="1">
      <alignment wrapText="1"/>
    </xf>
    <xf numFmtId="166" fontId="18" fillId="11" borderId="19" xfId="2585" applyNumberFormat="1" applyFont="1" applyFill="1" applyBorder="1" applyAlignment="1">
      <alignment horizontal="right"/>
    </xf>
    <xf numFmtId="0" fontId="18" fillId="11" borderId="19" xfId="2585" applyFont="1" applyFill="1" applyBorder="1" applyAlignment="1">
      <alignment horizontal="right" wrapText="1"/>
    </xf>
    <xf numFmtId="2" fontId="18" fillId="11" borderId="19" xfId="2585" applyNumberFormat="1" applyFont="1" applyFill="1" applyBorder="1" applyAlignment="1">
      <alignment horizontal="right" wrapText="1"/>
    </xf>
    <xf numFmtId="2" fontId="18" fillId="12" borderId="19" xfId="2585" applyNumberFormat="1" applyFont="1" applyFill="1" applyBorder="1" applyAlignment="1">
      <alignment wrapText="1"/>
    </xf>
    <xf numFmtId="1" fontId="18" fillId="12" borderId="19" xfId="2585" applyNumberFormat="1" applyFont="1" applyFill="1" applyBorder="1" applyAlignment="1">
      <alignment wrapText="1"/>
    </xf>
    <xf numFmtId="165" fontId="18" fillId="12" borderId="19" xfId="2585" applyNumberFormat="1" applyFont="1" applyFill="1" applyBorder="1" applyAlignment="1">
      <alignment wrapText="1"/>
    </xf>
    <xf numFmtId="167" fontId="18" fillId="12" borderId="19" xfId="1862" applyNumberFormat="1" applyFont="1" applyFill="1" applyBorder="1"/>
    <xf numFmtId="11" fontId="18" fillId="12" borderId="19" xfId="2585" applyNumberFormat="1" applyFont="1" applyFill="1" applyBorder="1" applyAlignment="1">
      <alignment wrapText="1"/>
    </xf>
    <xf numFmtId="11" fontId="18" fillId="17" borderId="19" xfId="2585" applyNumberFormat="1" applyFont="1" applyFill="1" applyBorder="1" applyAlignment="1">
      <alignment wrapText="1"/>
    </xf>
    <xf numFmtId="0" fontId="11" fillId="11" borderId="19" xfId="0" applyFont="1" applyFill="1" applyBorder="1"/>
    <xf numFmtId="165" fontId="17" fillId="11" borderId="19" xfId="2586" applyNumberFormat="1" applyFill="1" applyBorder="1"/>
    <xf numFmtId="168" fontId="17" fillId="11" borderId="26" xfId="2586" applyNumberFormat="1" applyFill="1" applyBorder="1"/>
    <xf numFmtId="2" fontId="0" fillId="0" borderId="0" xfId="0" applyNumberFormat="1" applyFill="1"/>
    <xf numFmtId="0" fontId="4" fillId="0" borderId="0" xfId="0" applyFont="1"/>
    <xf numFmtId="0" fontId="4" fillId="11" borderId="0" xfId="0" applyFont="1" applyFill="1"/>
    <xf numFmtId="2" fontId="4" fillId="11" borderId="0" xfId="0" applyNumberFormat="1" applyFont="1" applyFill="1"/>
    <xf numFmtId="0" fontId="4" fillId="0" borderId="0" xfId="0" applyFont="1" applyAlignment="1">
      <alignment horizontal="center"/>
    </xf>
    <xf numFmtId="0" fontId="4" fillId="17" borderId="27" xfId="0" applyFont="1" applyFill="1" applyBorder="1"/>
    <xf numFmtId="2" fontId="4" fillId="11" borderId="28" xfId="0" applyNumberFormat="1" applyFont="1" applyFill="1" applyBorder="1"/>
    <xf numFmtId="2" fontId="4" fillId="0" borderId="0" xfId="0" applyNumberFormat="1" applyFont="1"/>
    <xf numFmtId="0" fontId="4" fillId="17" borderId="12" xfId="0" applyFont="1" applyFill="1" applyBorder="1"/>
    <xf numFmtId="2" fontId="4" fillId="11" borderId="13" xfId="0" applyNumberFormat="1" applyFont="1" applyFill="1" applyBorder="1"/>
    <xf numFmtId="0" fontId="4" fillId="11" borderId="13" xfId="0" applyFont="1" applyFill="1" applyBorder="1"/>
    <xf numFmtId="0" fontId="4" fillId="0" borderId="0" xfId="0" applyFont="1" applyFill="1"/>
    <xf numFmtId="0" fontId="4" fillId="17" borderId="14" xfId="0" applyFont="1" applyFill="1" applyBorder="1"/>
    <xf numFmtId="164" fontId="4" fillId="11" borderId="15" xfId="0" applyNumberFormat="1" applyFont="1" applyFill="1" applyBorder="1"/>
    <xf numFmtId="0" fontId="11" fillId="3" borderId="4" xfId="0" applyFont="1" applyFill="1" applyBorder="1" applyAlignment="1">
      <alignment horizontal="center" wrapText="1"/>
    </xf>
    <xf numFmtId="0" fontId="4" fillId="3" borderId="4" xfId="0" applyFont="1" applyFill="1" applyBorder="1" applyAlignment="1">
      <alignment wrapText="1"/>
    </xf>
    <xf numFmtId="0" fontId="11" fillId="2" borderId="0" xfId="0" applyFont="1" applyFill="1" applyAlignment="1">
      <alignment horizontal="left"/>
    </xf>
    <xf numFmtId="0" fontId="0" fillId="2" borderId="0" xfId="0" applyFill="1"/>
    <xf numFmtId="0" fontId="4" fillId="2" borderId="0" xfId="0" applyFont="1" applyFill="1" applyAlignment="1">
      <alignment horizontal="left"/>
    </xf>
    <xf numFmtId="0" fontId="11" fillId="10" borderId="27" xfId="0" applyFont="1" applyFill="1" applyBorder="1" applyAlignment="1">
      <alignment horizontal="left"/>
    </xf>
    <xf numFmtId="0" fontId="0" fillId="10" borderId="28" xfId="0" applyFill="1" applyBorder="1"/>
    <xf numFmtId="0" fontId="0" fillId="11" borderId="27" xfId="0" applyFill="1" applyBorder="1"/>
    <xf numFmtId="2" fontId="0" fillId="11" borderId="5" xfId="0" applyNumberFormat="1" applyFill="1" applyBorder="1"/>
    <xf numFmtId="0" fontId="0" fillId="10" borderId="12" xfId="0" applyFill="1" applyBorder="1"/>
    <xf numFmtId="0" fontId="0" fillId="10" borderId="13" xfId="0" applyFill="1" applyBorder="1"/>
    <xf numFmtId="0" fontId="0" fillId="11" borderId="12" xfId="0" applyFill="1" applyBorder="1"/>
    <xf numFmtId="0" fontId="11" fillId="10" borderId="14" xfId="0" applyFont="1" applyFill="1" applyBorder="1" applyAlignment="1">
      <alignment horizontal="left"/>
    </xf>
    <xf numFmtId="0" fontId="0" fillId="10" borderId="15" xfId="0" applyFill="1" applyBorder="1"/>
    <xf numFmtId="0" fontId="0" fillId="11" borderId="14" xfId="0" applyFill="1" applyBorder="1"/>
    <xf numFmtId="2" fontId="0" fillId="11" borderId="4" xfId="0" applyNumberFormat="1" applyFill="1" applyBorder="1"/>
    <xf numFmtId="0" fontId="6" fillId="2" borderId="0" xfId="0" applyFont="1" applyFill="1"/>
    <xf numFmtId="2" fontId="0" fillId="0" borderId="0" xfId="0" applyNumberFormat="1"/>
    <xf numFmtId="1" fontId="0" fillId="11" borderId="0" xfId="0" applyNumberFormat="1" applyFill="1"/>
    <xf numFmtId="2" fontId="0" fillId="0" borderId="0" xfId="0" applyNumberFormat="1" applyBorder="1"/>
    <xf numFmtId="0" fontId="24" fillId="0" borderId="0" xfId="0" applyFont="1"/>
    <xf numFmtId="0" fontId="0" fillId="0" borderId="0" xfId="0" applyAlignment="1">
      <alignment horizontal="right"/>
    </xf>
    <xf numFmtId="0" fontId="6" fillId="0" borderId="0" xfId="0" applyFont="1" applyAlignment="1">
      <alignment horizontal="right"/>
    </xf>
    <xf numFmtId="0" fontId="6" fillId="0" borderId="5" xfId="0" applyFont="1" applyBorder="1" applyAlignment="1">
      <alignment horizontal="right"/>
    </xf>
    <xf numFmtId="0" fontId="6" fillId="0" borderId="5" xfId="0" applyFont="1" applyBorder="1"/>
    <xf numFmtId="0" fontId="6" fillId="0" borderId="0" xfId="0" applyFont="1" applyBorder="1" applyAlignment="1">
      <alignment horizontal="right"/>
    </xf>
    <xf numFmtId="0" fontId="24" fillId="2" borderId="0" xfId="0" applyFont="1" applyFill="1"/>
    <xf numFmtId="0" fontId="25" fillId="3" borderId="0" xfId="0" applyFont="1" applyFill="1"/>
    <xf numFmtId="0" fontId="26" fillId="0" borderId="0" xfId="0" applyFont="1"/>
    <xf numFmtId="0" fontId="0" fillId="0" borderId="0" xfId="0" applyFont="1"/>
    <xf numFmtId="0" fontId="0" fillId="4" borderId="8" xfId="0" applyFill="1" applyBorder="1" applyAlignment="1">
      <alignment horizontal="center"/>
    </xf>
    <xf numFmtId="0" fontId="0" fillId="4" borderId="1" xfId="0" applyFill="1" applyBorder="1" applyAlignment="1">
      <alignment horizontal="center"/>
    </xf>
    <xf numFmtId="0" fontId="0" fillId="4" borderId="9" xfId="0" applyFill="1" applyBorder="1" applyAlignment="1">
      <alignment horizontal="center"/>
    </xf>
    <xf numFmtId="0" fontId="0" fillId="2" borderId="8" xfId="0" applyFill="1" applyBorder="1" applyAlignment="1">
      <alignment horizontal="center"/>
    </xf>
    <xf numFmtId="0" fontId="0" fillId="2" borderId="1" xfId="0" applyFill="1" applyBorder="1" applyAlignment="1">
      <alignment horizontal="center"/>
    </xf>
    <xf numFmtId="0" fontId="0" fillId="2" borderId="9" xfId="0" applyFill="1" applyBorder="1" applyAlignment="1">
      <alignment horizontal="center"/>
    </xf>
    <xf numFmtId="0" fontId="0" fillId="11" borderId="8" xfId="0" applyFill="1" applyBorder="1" applyAlignment="1">
      <alignment horizontal="center"/>
    </xf>
    <xf numFmtId="0" fontId="0" fillId="11" borderId="1" xfId="0" applyFill="1" applyBorder="1" applyAlignment="1">
      <alignment horizontal="center"/>
    </xf>
    <xf numFmtId="0" fontId="0" fillId="11" borderId="9" xfId="0" applyFill="1" applyBorder="1" applyAlignment="1">
      <alignment horizontal="center"/>
    </xf>
    <xf numFmtId="0" fontId="0" fillId="18" borderId="0" xfId="0" applyFill="1" applyBorder="1"/>
    <xf numFmtId="168" fontId="23" fillId="18" borderId="0" xfId="1862" applyNumberFormat="1" applyFont="1" applyFill="1" applyBorder="1"/>
    <xf numFmtId="0" fontId="4" fillId="18" borderId="27" xfId="0" applyFont="1" applyFill="1" applyBorder="1" applyAlignment="1">
      <alignment wrapText="1"/>
    </xf>
    <xf numFmtId="0" fontId="4" fillId="18" borderId="5" xfId="0" applyFont="1" applyFill="1" applyBorder="1" applyAlignment="1">
      <alignment wrapText="1"/>
    </xf>
    <xf numFmtId="0" fontId="4" fillId="18" borderId="28" xfId="0" applyFont="1" applyFill="1" applyBorder="1" applyAlignment="1">
      <alignment wrapText="1"/>
    </xf>
    <xf numFmtId="0" fontId="0" fillId="18" borderId="12" xfId="0" applyFill="1" applyBorder="1"/>
    <xf numFmtId="11" fontId="0" fillId="18" borderId="13" xfId="0" applyNumberFormat="1" applyFill="1" applyBorder="1"/>
    <xf numFmtId="0" fontId="0" fillId="18" borderId="13" xfId="0" applyFill="1" applyBorder="1"/>
    <xf numFmtId="0" fontId="0" fillId="18" borderId="14" xfId="0" applyFill="1" applyBorder="1"/>
    <xf numFmtId="0" fontId="0" fillId="18" borderId="4" xfId="0" applyFill="1" applyBorder="1"/>
    <xf numFmtId="168" fontId="0" fillId="18" borderId="4" xfId="0" applyNumberFormat="1" applyFill="1" applyBorder="1"/>
    <xf numFmtId="0" fontId="0" fillId="18" borderId="15" xfId="0" applyFill="1" applyBorder="1"/>
    <xf numFmtId="0" fontId="4" fillId="19" borderId="27" xfId="0" applyFont="1" applyFill="1" applyBorder="1" applyAlignment="1">
      <alignment wrapText="1"/>
    </xf>
    <xf numFmtId="0" fontId="4" fillId="19" borderId="5" xfId="0" applyFont="1" applyFill="1" applyBorder="1" applyAlignment="1">
      <alignment wrapText="1"/>
    </xf>
    <xf numFmtId="0" fontId="4" fillId="19" borderId="28" xfId="0" applyFont="1" applyFill="1" applyBorder="1" applyAlignment="1">
      <alignment wrapText="1"/>
    </xf>
    <xf numFmtId="0" fontId="0" fillId="19" borderId="12" xfId="0" applyFill="1" applyBorder="1"/>
    <xf numFmtId="0" fontId="25" fillId="19" borderId="0" xfId="0" applyFont="1" applyFill="1" applyBorder="1"/>
    <xf numFmtId="0" fontId="0" fillId="19" borderId="13" xfId="0" applyFill="1" applyBorder="1"/>
    <xf numFmtId="0" fontId="0" fillId="19" borderId="15" xfId="0" applyFill="1" applyBorder="1"/>
  </cellXfs>
  <cellStyles count="2625">
    <cellStyle name="Calculation" xfId="2586" builtinId="22"/>
    <cellStyle name="Comma 2" xfId="1862"/>
    <cellStyle name="Followed Hyperlink" xfId="2" builtinId="9" hidden="1"/>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Followed Hyperlink" xfId="128" builtinId="9" hidden="1"/>
    <cellStyle name="Followed Hyperlink" xfId="130" builtinId="9" hidden="1"/>
    <cellStyle name="Followed Hyperlink" xfId="132" builtinId="9" hidden="1"/>
    <cellStyle name="Followed Hyperlink" xfId="134" builtinId="9" hidden="1"/>
    <cellStyle name="Followed Hyperlink" xfId="136" builtinId="9" hidden="1"/>
    <cellStyle name="Followed Hyperlink" xfId="138" builtinId="9" hidden="1"/>
    <cellStyle name="Followed Hyperlink" xfId="140" builtinId="9" hidden="1"/>
    <cellStyle name="Followed Hyperlink" xfId="142" builtinId="9" hidden="1"/>
    <cellStyle name="Followed Hyperlink" xfId="144" builtinId="9" hidden="1"/>
    <cellStyle name="Followed Hyperlink" xfId="146" builtinId="9" hidden="1"/>
    <cellStyle name="Followed Hyperlink" xfId="148" builtinId="9" hidden="1"/>
    <cellStyle name="Followed Hyperlink" xfId="150" builtinId="9" hidden="1"/>
    <cellStyle name="Followed Hyperlink" xfId="152" builtinId="9" hidden="1"/>
    <cellStyle name="Followed Hyperlink" xfId="154" builtinId="9" hidden="1"/>
    <cellStyle name="Followed Hyperlink" xfId="156" builtinId="9" hidden="1"/>
    <cellStyle name="Followed Hyperlink" xfId="158" builtinId="9" hidden="1"/>
    <cellStyle name="Followed Hyperlink" xfId="160" builtinId="9" hidden="1"/>
    <cellStyle name="Followed Hyperlink" xfId="162" builtinId="9" hidden="1"/>
    <cellStyle name="Followed Hyperlink" xfId="164" builtinId="9" hidden="1"/>
    <cellStyle name="Followed Hyperlink" xfId="166" builtinId="9" hidden="1"/>
    <cellStyle name="Followed Hyperlink" xfId="168" builtinId="9" hidden="1"/>
    <cellStyle name="Followed Hyperlink" xfId="170" builtinId="9" hidden="1"/>
    <cellStyle name="Followed Hyperlink" xfId="172" builtinId="9" hidden="1"/>
    <cellStyle name="Followed Hyperlink" xfId="174" builtinId="9" hidden="1"/>
    <cellStyle name="Followed Hyperlink" xfId="176" builtinId="9" hidden="1"/>
    <cellStyle name="Followed Hyperlink" xfId="178" builtinId="9" hidden="1"/>
    <cellStyle name="Followed Hyperlink" xfId="180" builtinId="9" hidden="1"/>
    <cellStyle name="Followed Hyperlink" xfId="182" builtinId="9" hidden="1"/>
    <cellStyle name="Followed Hyperlink" xfId="184" builtinId="9" hidden="1"/>
    <cellStyle name="Followed Hyperlink" xfId="186" builtinId="9" hidden="1"/>
    <cellStyle name="Followed Hyperlink" xfId="188" builtinId="9" hidden="1"/>
    <cellStyle name="Followed Hyperlink" xfId="190" builtinId="9" hidden="1"/>
    <cellStyle name="Followed Hyperlink" xfId="192" builtinId="9" hidden="1"/>
    <cellStyle name="Followed Hyperlink" xfId="194" builtinId="9" hidden="1"/>
    <cellStyle name="Followed Hyperlink" xfId="196" builtinId="9" hidden="1"/>
    <cellStyle name="Followed Hyperlink" xfId="198" builtinId="9" hidden="1"/>
    <cellStyle name="Followed Hyperlink" xfId="200" builtinId="9" hidden="1"/>
    <cellStyle name="Followed Hyperlink" xfId="202" builtinId="9" hidden="1"/>
    <cellStyle name="Followed Hyperlink" xfId="204" builtinId="9" hidden="1"/>
    <cellStyle name="Followed Hyperlink" xfId="206" builtinId="9" hidden="1"/>
    <cellStyle name="Followed Hyperlink" xfId="208" builtinId="9" hidden="1"/>
    <cellStyle name="Followed Hyperlink" xfId="210" builtinId="9" hidden="1"/>
    <cellStyle name="Followed Hyperlink" xfId="212" builtinId="9" hidden="1"/>
    <cellStyle name="Followed Hyperlink" xfId="214" builtinId="9" hidden="1"/>
    <cellStyle name="Followed Hyperlink" xfId="216" builtinId="9" hidden="1"/>
    <cellStyle name="Followed Hyperlink" xfId="218" builtinId="9" hidden="1"/>
    <cellStyle name="Followed Hyperlink" xfId="220" builtinId="9" hidden="1"/>
    <cellStyle name="Followed Hyperlink" xfId="222" builtinId="9" hidden="1"/>
    <cellStyle name="Followed Hyperlink" xfId="224" builtinId="9" hidden="1"/>
    <cellStyle name="Followed Hyperlink" xfId="226" builtinId="9" hidden="1"/>
    <cellStyle name="Followed Hyperlink" xfId="228" builtinId="9" hidden="1"/>
    <cellStyle name="Followed Hyperlink" xfId="230" builtinId="9" hidden="1"/>
    <cellStyle name="Followed Hyperlink" xfId="232" builtinId="9" hidden="1"/>
    <cellStyle name="Followed Hyperlink" xfId="234" builtinId="9" hidden="1"/>
    <cellStyle name="Followed Hyperlink" xfId="236" builtinId="9" hidden="1"/>
    <cellStyle name="Followed Hyperlink" xfId="238" builtinId="9" hidden="1"/>
    <cellStyle name="Followed Hyperlink" xfId="240" builtinId="9" hidden="1"/>
    <cellStyle name="Followed Hyperlink" xfId="242" builtinId="9" hidden="1"/>
    <cellStyle name="Followed Hyperlink" xfId="244" builtinId="9" hidden="1"/>
    <cellStyle name="Followed Hyperlink" xfId="246" builtinId="9" hidden="1"/>
    <cellStyle name="Followed Hyperlink" xfId="248" builtinId="9" hidden="1"/>
    <cellStyle name="Followed Hyperlink" xfId="250" builtinId="9" hidden="1"/>
    <cellStyle name="Followed Hyperlink" xfId="252" builtinId="9" hidden="1"/>
    <cellStyle name="Followed Hyperlink" xfId="254" builtinId="9" hidden="1"/>
    <cellStyle name="Followed Hyperlink" xfId="256" builtinId="9" hidden="1"/>
    <cellStyle name="Followed Hyperlink" xfId="258" builtinId="9" hidden="1"/>
    <cellStyle name="Followed Hyperlink" xfId="260" builtinId="9" hidden="1"/>
    <cellStyle name="Followed Hyperlink" xfId="262" builtinId="9" hidden="1"/>
    <cellStyle name="Followed Hyperlink" xfId="264" builtinId="9" hidden="1"/>
    <cellStyle name="Followed Hyperlink" xfId="266" builtinId="9" hidden="1"/>
    <cellStyle name="Followed Hyperlink" xfId="268" builtinId="9" hidden="1"/>
    <cellStyle name="Followed Hyperlink" xfId="270" builtinId="9" hidden="1"/>
    <cellStyle name="Followed Hyperlink" xfId="272" builtinId="9" hidden="1"/>
    <cellStyle name="Followed Hyperlink" xfId="274" builtinId="9" hidden="1"/>
    <cellStyle name="Followed Hyperlink" xfId="276" builtinId="9" hidden="1"/>
    <cellStyle name="Followed Hyperlink" xfId="278" builtinId="9" hidden="1"/>
    <cellStyle name="Followed Hyperlink" xfId="280" builtinId="9" hidden="1"/>
    <cellStyle name="Followed Hyperlink" xfId="282" builtinId="9" hidden="1"/>
    <cellStyle name="Followed Hyperlink" xfId="284" builtinId="9" hidden="1"/>
    <cellStyle name="Followed Hyperlink" xfId="286" builtinId="9" hidden="1"/>
    <cellStyle name="Followed Hyperlink" xfId="288" builtinId="9" hidden="1"/>
    <cellStyle name="Followed Hyperlink" xfId="290" builtinId="9" hidden="1"/>
    <cellStyle name="Followed Hyperlink" xfId="292" builtinId="9" hidden="1"/>
    <cellStyle name="Followed Hyperlink" xfId="294" builtinId="9" hidden="1"/>
    <cellStyle name="Followed Hyperlink" xfId="296" builtinId="9" hidden="1"/>
    <cellStyle name="Followed Hyperlink" xfId="298" builtinId="9" hidden="1"/>
    <cellStyle name="Followed Hyperlink" xfId="300" builtinId="9" hidden="1"/>
    <cellStyle name="Followed Hyperlink" xfId="302" builtinId="9" hidden="1"/>
    <cellStyle name="Followed Hyperlink" xfId="304" builtinId="9" hidden="1"/>
    <cellStyle name="Followed Hyperlink" xfId="306" builtinId="9" hidden="1"/>
    <cellStyle name="Followed Hyperlink" xfId="308" builtinId="9" hidden="1"/>
    <cellStyle name="Followed Hyperlink" xfId="310" builtinId="9" hidden="1"/>
    <cellStyle name="Followed Hyperlink" xfId="312" builtinId="9" hidden="1"/>
    <cellStyle name="Followed Hyperlink" xfId="314" builtinId="9" hidden="1"/>
    <cellStyle name="Followed Hyperlink" xfId="316" builtinId="9" hidden="1"/>
    <cellStyle name="Followed Hyperlink" xfId="318" builtinId="9" hidden="1"/>
    <cellStyle name="Followed Hyperlink" xfId="320" builtinId="9" hidden="1"/>
    <cellStyle name="Followed Hyperlink" xfId="322" builtinId="9" hidden="1"/>
    <cellStyle name="Followed Hyperlink" xfId="324" builtinId="9" hidden="1"/>
    <cellStyle name="Followed Hyperlink" xfId="326" builtinId="9" hidden="1"/>
    <cellStyle name="Followed Hyperlink" xfId="328" builtinId="9" hidden="1"/>
    <cellStyle name="Followed Hyperlink" xfId="330" builtinId="9" hidden="1"/>
    <cellStyle name="Followed Hyperlink" xfId="332" builtinId="9" hidden="1"/>
    <cellStyle name="Followed Hyperlink" xfId="334" builtinId="9" hidden="1"/>
    <cellStyle name="Followed Hyperlink" xfId="336" builtinId="9" hidden="1"/>
    <cellStyle name="Followed Hyperlink" xfId="338" builtinId="9" hidden="1"/>
    <cellStyle name="Followed Hyperlink" xfId="340" builtinId="9" hidden="1"/>
    <cellStyle name="Followed Hyperlink" xfId="342" builtinId="9" hidden="1"/>
    <cellStyle name="Followed Hyperlink" xfId="344" builtinId="9" hidden="1"/>
    <cellStyle name="Followed Hyperlink" xfId="346" builtinId="9" hidden="1"/>
    <cellStyle name="Followed Hyperlink" xfId="348" builtinId="9" hidden="1"/>
    <cellStyle name="Followed Hyperlink" xfId="350" builtinId="9" hidden="1"/>
    <cellStyle name="Followed Hyperlink" xfId="352" builtinId="9" hidden="1"/>
    <cellStyle name="Followed Hyperlink" xfId="354" builtinId="9" hidden="1"/>
    <cellStyle name="Followed Hyperlink" xfId="356" builtinId="9" hidden="1"/>
    <cellStyle name="Followed Hyperlink" xfId="358" builtinId="9" hidden="1"/>
    <cellStyle name="Followed Hyperlink" xfId="360" builtinId="9" hidden="1"/>
    <cellStyle name="Followed Hyperlink" xfId="362" builtinId="9" hidden="1"/>
    <cellStyle name="Followed Hyperlink" xfId="364" builtinId="9" hidden="1"/>
    <cellStyle name="Followed Hyperlink" xfId="366" builtinId="9" hidden="1"/>
    <cellStyle name="Followed Hyperlink" xfId="368" builtinId="9" hidden="1"/>
    <cellStyle name="Followed Hyperlink" xfId="370" builtinId="9" hidden="1"/>
    <cellStyle name="Followed Hyperlink" xfId="372" builtinId="9" hidden="1"/>
    <cellStyle name="Followed Hyperlink" xfId="374" builtinId="9" hidden="1"/>
    <cellStyle name="Followed Hyperlink" xfId="376" builtinId="9" hidden="1"/>
    <cellStyle name="Followed Hyperlink" xfId="378" builtinId="9" hidden="1"/>
    <cellStyle name="Followed Hyperlink" xfId="380" builtinId="9" hidden="1"/>
    <cellStyle name="Followed Hyperlink" xfId="382" builtinId="9" hidden="1"/>
    <cellStyle name="Followed Hyperlink" xfId="384" builtinId="9" hidden="1"/>
    <cellStyle name="Followed Hyperlink" xfId="386" builtinId="9" hidden="1"/>
    <cellStyle name="Followed Hyperlink" xfId="388" builtinId="9" hidden="1"/>
    <cellStyle name="Followed Hyperlink" xfId="390" builtinId="9" hidden="1"/>
    <cellStyle name="Followed Hyperlink" xfId="392" builtinId="9" hidden="1"/>
    <cellStyle name="Followed Hyperlink" xfId="394" builtinId="9" hidden="1"/>
    <cellStyle name="Followed Hyperlink" xfId="396" builtinId="9" hidden="1"/>
    <cellStyle name="Followed Hyperlink" xfId="398" builtinId="9" hidden="1"/>
    <cellStyle name="Followed Hyperlink" xfId="400" builtinId="9" hidden="1"/>
    <cellStyle name="Followed Hyperlink" xfId="402" builtinId="9" hidden="1"/>
    <cellStyle name="Followed Hyperlink" xfId="404" builtinId="9" hidden="1"/>
    <cellStyle name="Followed Hyperlink" xfId="406" builtinId="9" hidden="1"/>
    <cellStyle name="Followed Hyperlink" xfId="408" builtinId="9" hidden="1"/>
    <cellStyle name="Followed Hyperlink" xfId="410" builtinId="9" hidden="1"/>
    <cellStyle name="Followed Hyperlink" xfId="412" builtinId="9" hidden="1"/>
    <cellStyle name="Followed Hyperlink" xfId="414" builtinId="9" hidden="1"/>
    <cellStyle name="Followed Hyperlink" xfId="416" builtinId="9" hidden="1"/>
    <cellStyle name="Followed Hyperlink" xfId="418" builtinId="9" hidden="1"/>
    <cellStyle name="Followed Hyperlink" xfId="420" builtinId="9" hidden="1"/>
    <cellStyle name="Followed Hyperlink" xfId="422" builtinId="9" hidden="1"/>
    <cellStyle name="Followed Hyperlink" xfId="424" builtinId="9" hidden="1"/>
    <cellStyle name="Followed Hyperlink" xfId="426" builtinId="9" hidden="1"/>
    <cellStyle name="Followed Hyperlink" xfId="428" builtinId="9" hidden="1"/>
    <cellStyle name="Followed Hyperlink" xfId="430" builtinId="9" hidden="1"/>
    <cellStyle name="Followed Hyperlink" xfId="432" builtinId="9" hidden="1"/>
    <cellStyle name="Followed Hyperlink" xfId="434" builtinId="9" hidden="1"/>
    <cellStyle name="Followed Hyperlink" xfId="436" builtinId="9" hidden="1"/>
    <cellStyle name="Followed Hyperlink" xfId="438" builtinId="9" hidden="1"/>
    <cellStyle name="Followed Hyperlink" xfId="440" builtinId="9" hidden="1"/>
    <cellStyle name="Followed Hyperlink" xfId="442" builtinId="9" hidden="1"/>
    <cellStyle name="Followed Hyperlink" xfId="444" builtinId="9" hidden="1"/>
    <cellStyle name="Followed Hyperlink" xfId="446" builtinId="9" hidden="1"/>
    <cellStyle name="Followed Hyperlink" xfId="448" builtinId="9" hidden="1"/>
    <cellStyle name="Followed Hyperlink" xfId="450" builtinId="9" hidden="1"/>
    <cellStyle name="Followed Hyperlink" xfId="452" builtinId="9" hidden="1"/>
    <cellStyle name="Followed Hyperlink" xfId="454" builtinId="9" hidden="1"/>
    <cellStyle name="Followed Hyperlink" xfId="456" builtinId="9" hidden="1"/>
    <cellStyle name="Followed Hyperlink" xfId="458" builtinId="9" hidden="1"/>
    <cellStyle name="Followed Hyperlink" xfId="460" builtinId="9" hidden="1"/>
    <cellStyle name="Followed Hyperlink" xfId="462" builtinId="9" hidden="1"/>
    <cellStyle name="Followed Hyperlink" xfId="464" builtinId="9" hidden="1"/>
    <cellStyle name="Followed Hyperlink" xfId="466" builtinId="9" hidden="1"/>
    <cellStyle name="Followed Hyperlink" xfId="468" builtinId="9" hidden="1"/>
    <cellStyle name="Followed Hyperlink" xfId="470" builtinId="9" hidden="1"/>
    <cellStyle name="Followed Hyperlink" xfId="472" builtinId="9" hidden="1"/>
    <cellStyle name="Followed Hyperlink" xfId="474" builtinId="9" hidden="1"/>
    <cellStyle name="Followed Hyperlink" xfId="476" builtinId="9" hidden="1"/>
    <cellStyle name="Followed Hyperlink" xfId="478" builtinId="9" hidden="1"/>
    <cellStyle name="Followed Hyperlink" xfId="480" builtinId="9" hidden="1"/>
    <cellStyle name="Followed Hyperlink" xfId="482" builtinId="9" hidden="1"/>
    <cellStyle name="Followed Hyperlink" xfId="484" builtinId="9" hidden="1"/>
    <cellStyle name="Followed Hyperlink" xfId="486" builtinId="9" hidden="1"/>
    <cellStyle name="Followed Hyperlink" xfId="488" builtinId="9" hidden="1"/>
    <cellStyle name="Followed Hyperlink" xfId="490" builtinId="9" hidden="1"/>
    <cellStyle name="Followed Hyperlink" xfId="492" builtinId="9" hidden="1"/>
    <cellStyle name="Followed Hyperlink" xfId="494" builtinId="9" hidden="1"/>
    <cellStyle name="Followed Hyperlink" xfId="496" builtinId="9" hidden="1"/>
    <cellStyle name="Followed Hyperlink" xfId="498" builtinId="9" hidden="1"/>
    <cellStyle name="Followed Hyperlink" xfId="500" builtinId="9" hidden="1"/>
    <cellStyle name="Followed Hyperlink" xfId="502" builtinId="9" hidden="1"/>
    <cellStyle name="Followed Hyperlink" xfId="504" builtinId="9" hidden="1"/>
    <cellStyle name="Followed Hyperlink" xfId="506" builtinId="9" hidden="1"/>
    <cellStyle name="Followed Hyperlink" xfId="508" builtinId="9" hidden="1"/>
    <cellStyle name="Followed Hyperlink" xfId="510" builtinId="9" hidden="1"/>
    <cellStyle name="Followed Hyperlink" xfId="512" builtinId="9" hidden="1"/>
    <cellStyle name="Followed Hyperlink" xfId="514" builtinId="9" hidden="1"/>
    <cellStyle name="Followed Hyperlink" xfId="516" builtinId="9" hidden="1"/>
    <cellStyle name="Followed Hyperlink" xfId="518" builtinId="9" hidden="1"/>
    <cellStyle name="Followed Hyperlink" xfId="520" builtinId="9" hidden="1"/>
    <cellStyle name="Followed Hyperlink" xfId="522" builtinId="9" hidden="1"/>
    <cellStyle name="Followed Hyperlink" xfId="524" builtinId="9" hidden="1"/>
    <cellStyle name="Followed Hyperlink" xfId="526" builtinId="9" hidden="1"/>
    <cellStyle name="Followed Hyperlink" xfId="528" builtinId="9" hidden="1"/>
    <cellStyle name="Followed Hyperlink" xfId="530" builtinId="9" hidden="1"/>
    <cellStyle name="Followed Hyperlink" xfId="532" builtinId="9" hidden="1"/>
    <cellStyle name="Followed Hyperlink" xfId="534" builtinId="9" hidden="1"/>
    <cellStyle name="Followed Hyperlink" xfId="536" builtinId="9" hidden="1"/>
    <cellStyle name="Followed Hyperlink" xfId="538" builtinId="9" hidden="1"/>
    <cellStyle name="Followed Hyperlink" xfId="540" builtinId="9" hidden="1"/>
    <cellStyle name="Followed Hyperlink" xfId="542" builtinId="9" hidden="1"/>
    <cellStyle name="Followed Hyperlink" xfId="544" builtinId="9" hidden="1"/>
    <cellStyle name="Followed Hyperlink" xfId="546" builtinId="9" hidden="1"/>
    <cellStyle name="Followed Hyperlink" xfId="548" builtinId="9" hidden="1"/>
    <cellStyle name="Followed Hyperlink" xfId="550" builtinId="9" hidden="1"/>
    <cellStyle name="Followed Hyperlink" xfId="552" builtinId="9" hidden="1"/>
    <cellStyle name="Followed Hyperlink" xfId="554" builtinId="9" hidden="1"/>
    <cellStyle name="Followed Hyperlink" xfId="556" builtinId="9" hidden="1"/>
    <cellStyle name="Followed Hyperlink" xfId="558" builtinId="9" hidden="1"/>
    <cellStyle name="Followed Hyperlink" xfId="560" builtinId="9" hidden="1"/>
    <cellStyle name="Followed Hyperlink" xfId="562" builtinId="9" hidden="1"/>
    <cellStyle name="Followed Hyperlink" xfId="564" builtinId="9" hidden="1"/>
    <cellStyle name="Followed Hyperlink" xfId="566" builtinId="9" hidden="1"/>
    <cellStyle name="Followed Hyperlink" xfId="568" builtinId="9" hidden="1"/>
    <cellStyle name="Followed Hyperlink" xfId="570" builtinId="9" hidden="1"/>
    <cellStyle name="Followed Hyperlink" xfId="572" builtinId="9" hidden="1"/>
    <cellStyle name="Followed Hyperlink" xfId="574" builtinId="9" hidden="1"/>
    <cellStyle name="Followed Hyperlink" xfId="576" builtinId="9" hidden="1"/>
    <cellStyle name="Followed Hyperlink" xfId="578" builtinId="9" hidden="1"/>
    <cellStyle name="Followed Hyperlink" xfId="580" builtinId="9" hidden="1"/>
    <cellStyle name="Followed Hyperlink" xfId="582" builtinId="9" hidden="1"/>
    <cellStyle name="Followed Hyperlink" xfId="584" builtinId="9" hidden="1"/>
    <cellStyle name="Followed Hyperlink" xfId="586" builtinId="9" hidden="1"/>
    <cellStyle name="Followed Hyperlink" xfId="588" builtinId="9" hidden="1"/>
    <cellStyle name="Followed Hyperlink" xfId="590" builtinId="9" hidden="1"/>
    <cellStyle name="Followed Hyperlink" xfId="592" builtinId="9" hidden="1"/>
    <cellStyle name="Followed Hyperlink" xfId="594" builtinId="9" hidden="1"/>
    <cellStyle name="Followed Hyperlink" xfId="596" builtinId="9" hidden="1"/>
    <cellStyle name="Followed Hyperlink" xfId="598" builtinId="9" hidden="1"/>
    <cellStyle name="Followed Hyperlink" xfId="600" builtinId="9" hidden="1"/>
    <cellStyle name="Followed Hyperlink" xfId="602" builtinId="9" hidden="1"/>
    <cellStyle name="Followed Hyperlink" xfId="604" builtinId="9" hidden="1"/>
    <cellStyle name="Followed Hyperlink" xfId="606" builtinId="9" hidden="1"/>
    <cellStyle name="Followed Hyperlink" xfId="608" builtinId="9" hidden="1"/>
    <cellStyle name="Followed Hyperlink" xfId="610" builtinId="9" hidden="1"/>
    <cellStyle name="Followed Hyperlink" xfId="612" builtinId="9" hidden="1"/>
    <cellStyle name="Followed Hyperlink" xfId="614" builtinId="9" hidden="1"/>
    <cellStyle name="Followed Hyperlink" xfId="616" builtinId="9" hidden="1"/>
    <cellStyle name="Followed Hyperlink" xfId="618" builtinId="9" hidden="1"/>
    <cellStyle name="Followed Hyperlink" xfId="620" builtinId="9" hidden="1"/>
    <cellStyle name="Followed Hyperlink" xfId="622" builtinId="9" hidden="1"/>
    <cellStyle name="Followed Hyperlink" xfId="624" builtinId="9" hidden="1"/>
    <cellStyle name="Followed Hyperlink" xfId="626" builtinId="9" hidden="1"/>
    <cellStyle name="Followed Hyperlink" xfId="628" builtinId="9" hidden="1"/>
    <cellStyle name="Followed Hyperlink" xfId="630" builtinId="9" hidden="1"/>
    <cellStyle name="Followed Hyperlink" xfId="632" builtinId="9" hidden="1"/>
    <cellStyle name="Followed Hyperlink" xfId="634" builtinId="9" hidden="1"/>
    <cellStyle name="Followed Hyperlink" xfId="636" builtinId="9" hidden="1"/>
    <cellStyle name="Followed Hyperlink" xfId="638" builtinId="9" hidden="1"/>
    <cellStyle name="Followed Hyperlink" xfId="640" builtinId="9" hidden="1"/>
    <cellStyle name="Followed Hyperlink" xfId="642" builtinId="9" hidden="1"/>
    <cellStyle name="Followed Hyperlink" xfId="644" builtinId="9" hidden="1"/>
    <cellStyle name="Followed Hyperlink" xfId="646" builtinId="9" hidden="1"/>
    <cellStyle name="Followed Hyperlink" xfId="648" builtinId="9" hidden="1"/>
    <cellStyle name="Followed Hyperlink" xfId="650" builtinId="9" hidden="1"/>
    <cellStyle name="Followed Hyperlink" xfId="652" builtinId="9" hidden="1"/>
    <cellStyle name="Followed Hyperlink" xfId="654" builtinId="9" hidden="1"/>
    <cellStyle name="Followed Hyperlink" xfId="656" builtinId="9" hidden="1"/>
    <cellStyle name="Followed Hyperlink" xfId="658" builtinId="9" hidden="1"/>
    <cellStyle name="Followed Hyperlink" xfId="660" builtinId="9" hidden="1"/>
    <cellStyle name="Followed Hyperlink" xfId="662" builtinId="9" hidden="1"/>
    <cellStyle name="Followed Hyperlink" xfId="664" builtinId="9" hidden="1"/>
    <cellStyle name="Followed Hyperlink" xfId="666" builtinId="9" hidden="1"/>
    <cellStyle name="Followed Hyperlink" xfId="668" builtinId="9" hidden="1"/>
    <cellStyle name="Followed Hyperlink" xfId="670" builtinId="9" hidden="1"/>
    <cellStyle name="Followed Hyperlink" xfId="672" builtinId="9" hidden="1"/>
    <cellStyle name="Followed Hyperlink" xfId="674" builtinId="9" hidden="1"/>
    <cellStyle name="Followed Hyperlink" xfId="676" builtinId="9" hidden="1"/>
    <cellStyle name="Followed Hyperlink" xfId="678" builtinId="9" hidden="1"/>
    <cellStyle name="Followed Hyperlink" xfId="680" builtinId="9" hidden="1"/>
    <cellStyle name="Followed Hyperlink" xfId="682" builtinId="9" hidden="1"/>
    <cellStyle name="Followed Hyperlink" xfId="684" builtinId="9" hidden="1"/>
    <cellStyle name="Followed Hyperlink" xfId="686" builtinId="9" hidden="1"/>
    <cellStyle name="Followed Hyperlink" xfId="688" builtinId="9" hidden="1"/>
    <cellStyle name="Followed Hyperlink" xfId="690" builtinId="9" hidden="1"/>
    <cellStyle name="Followed Hyperlink" xfId="692" builtinId="9" hidden="1"/>
    <cellStyle name="Followed Hyperlink" xfId="694" builtinId="9" hidden="1"/>
    <cellStyle name="Followed Hyperlink" xfId="696" builtinId="9" hidden="1"/>
    <cellStyle name="Followed Hyperlink" xfId="698" builtinId="9" hidden="1"/>
    <cellStyle name="Followed Hyperlink" xfId="700" builtinId="9" hidden="1"/>
    <cellStyle name="Followed Hyperlink" xfId="702" builtinId="9" hidden="1"/>
    <cellStyle name="Followed Hyperlink" xfId="704" builtinId="9" hidden="1"/>
    <cellStyle name="Followed Hyperlink" xfId="706" builtinId="9" hidden="1"/>
    <cellStyle name="Followed Hyperlink" xfId="708" builtinId="9" hidden="1"/>
    <cellStyle name="Followed Hyperlink" xfId="710" builtinId="9" hidden="1"/>
    <cellStyle name="Followed Hyperlink" xfId="712" builtinId="9" hidden="1"/>
    <cellStyle name="Followed Hyperlink" xfId="714" builtinId="9" hidden="1"/>
    <cellStyle name="Followed Hyperlink" xfId="716" builtinId="9" hidden="1"/>
    <cellStyle name="Followed Hyperlink" xfId="718" builtinId="9" hidden="1"/>
    <cellStyle name="Followed Hyperlink" xfId="720" builtinId="9" hidden="1"/>
    <cellStyle name="Followed Hyperlink" xfId="722" builtinId="9" hidden="1"/>
    <cellStyle name="Followed Hyperlink" xfId="724" builtinId="9" hidden="1"/>
    <cellStyle name="Followed Hyperlink" xfId="726" builtinId="9" hidden="1"/>
    <cellStyle name="Followed Hyperlink" xfId="728" builtinId="9" hidden="1"/>
    <cellStyle name="Followed Hyperlink" xfId="730" builtinId="9" hidden="1"/>
    <cellStyle name="Followed Hyperlink" xfId="732" builtinId="9" hidden="1"/>
    <cellStyle name="Followed Hyperlink" xfId="734" builtinId="9" hidden="1"/>
    <cellStyle name="Followed Hyperlink" xfId="736" builtinId="9" hidden="1"/>
    <cellStyle name="Followed Hyperlink" xfId="738" builtinId="9" hidden="1"/>
    <cellStyle name="Followed Hyperlink" xfId="740" builtinId="9" hidden="1"/>
    <cellStyle name="Followed Hyperlink" xfId="742" builtinId="9" hidden="1"/>
    <cellStyle name="Followed Hyperlink" xfId="744" builtinId="9" hidden="1"/>
    <cellStyle name="Followed Hyperlink" xfId="746" builtinId="9" hidden="1"/>
    <cellStyle name="Followed Hyperlink" xfId="748" builtinId="9" hidden="1"/>
    <cellStyle name="Followed Hyperlink" xfId="750" builtinId="9" hidden="1"/>
    <cellStyle name="Followed Hyperlink" xfId="752" builtinId="9" hidden="1"/>
    <cellStyle name="Followed Hyperlink" xfId="754" builtinId="9" hidden="1"/>
    <cellStyle name="Followed Hyperlink" xfId="756" builtinId="9" hidden="1"/>
    <cellStyle name="Followed Hyperlink" xfId="758" builtinId="9" hidden="1"/>
    <cellStyle name="Followed Hyperlink" xfId="760" builtinId="9" hidden="1"/>
    <cellStyle name="Followed Hyperlink" xfId="762" builtinId="9" hidden="1"/>
    <cellStyle name="Followed Hyperlink" xfId="764" builtinId="9" hidden="1"/>
    <cellStyle name="Followed Hyperlink" xfId="766" builtinId="9" hidden="1"/>
    <cellStyle name="Followed Hyperlink" xfId="768" builtinId="9" hidden="1"/>
    <cellStyle name="Followed Hyperlink" xfId="770" builtinId="9" hidden="1"/>
    <cellStyle name="Followed Hyperlink" xfId="772" builtinId="9" hidden="1"/>
    <cellStyle name="Followed Hyperlink" xfId="774" builtinId="9" hidden="1"/>
    <cellStyle name="Followed Hyperlink" xfId="776" builtinId="9" hidden="1"/>
    <cellStyle name="Followed Hyperlink" xfId="778" builtinId="9" hidden="1"/>
    <cellStyle name="Followed Hyperlink" xfId="780" builtinId="9" hidden="1"/>
    <cellStyle name="Followed Hyperlink" xfId="782" builtinId="9" hidden="1"/>
    <cellStyle name="Followed Hyperlink" xfId="784" builtinId="9" hidden="1"/>
    <cellStyle name="Followed Hyperlink" xfId="786" builtinId="9" hidden="1"/>
    <cellStyle name="Followed Hyperlink" xfId="788" builtinId="9" hidden="1"/>
    <cellStyle name="Followed Hyperlink" xfId="790" builtinId="9" hidden="1"/>
    <cellStyle name="Followed Hyperlink" xfId="792" builtinId="9" hidden="1"/>
    <cellStyle name="Followed Hyperlink" xfId="794" builtinId="9" hidden="1"/>
    <cellStyle name="Followed Hyperlink" xfId="796" builtinId="9" hidden="1"/>
    <cellStyle name="Followed Hyperlink" xfId="798" builtinId="9" hidden="1"/>
    <cellStyle name="Followed Hyperlink" xfId="800" builtinId="9" hidden="1"/>
    <cellStyle name="Followed Hyperlink" xfId="802" builtinId="9" hidden="1"/>
    <cellStyle name="Followed Hyperlink" xfId="804" builtinId="9" hidden="1"/>
    <cellStyle name="Followed Hyperlink" xfId="806" builtinId="9" hidden="1"/>
    <cellStyle name="Followed Hyperlink" xfId="808" builtinId="9" hidden="1"/>
    <cellStyle name="Followed Hyperlink" xfId="810" builtinId="9" hidden="1"/>
    <cellStyle name="Followed Hyperlink" xfId="812" builtinId="9" hidden="1"/>
    <cellStyle name="Followed Hyperlink" xfId="814" builtinId="9" hidden="1"/>
    <cellStyle name="Followed Hyperlink" xfId="816" builtinId="9" hidden="1"/>
    <cellStyle name="Followed Hyperlink" xfId="818" builtinId="9" hidden="1"/>
    <cellStyle name="Followed Hyperlink" xfId="820" builtinId="9" hidden="1"/>
    <cellStyle name="Followed Hyperlink" xfId="822" builtinId="9" hidden="1"/>
    <cellStyle name="Followed Hyperlink" xfId="824" builtinId="9" hidden="1"/>
    <cellStyle name="Followed Hyperlink" xfId="826" builtinId="9" hidden="1"/>
    <cellStyle name="Followed Hyperlink" xfId="828" builtinId="9" hidden="1"/>
    <cellStyle name="Followed Hyperlink" xfId="830" builtinId="9" hidden="1"/>
    <cellStyle name="Followed Hyperlink" xfId="832" builtinId="9" hidden="1"/>
    <cellStyle name="Followed Hyperlink" xfId="834" builtinId="9" hidden="1"/>
    <cellStyle name="Followed Hyperlink" xfId="836" builtinId="9" hidden="1"/>
    <cellStyle name="Followed Hyperlink" xfId="838" builtinId="9" hidden="1"/>
    <cellStyle name="Followed Hyperlink" xfId="840" builtinId="9" hidden="1"/>
    <cellStyle name="Followed Hyperlink" xfId="842" builtinId="9" hidden="1"/>
    <cellStyle name="Followed Hyperlink" xfId="844" builtinId="9" hidden="1"/>
    <cellStyle name="Followed Hyperlink" xfId="846" builtinId="9" hidden="1"/>
    <cellStyle name="Followed Hyperlink" xfId="848" builtinId="9" hidden="1"/>
    <cellStyle name="Followed Hyperlink" xfId="850" builtinId="9" hidden="1"/>
    <cellStyle name="Followed Hyperlink" xfId="852" builtinId="9" hidden="1"/>
    <cellStyle name="Followed Hyperlink" xfId="854" builtinId="9" hidden="1"/>
    <cellStyle name="Followed Hyperlink" xfId="856" builtinId="9" hidden="1"/>
    <cellStyle name="Followed Hyperlink" xfId="858" builtinId="9" hidden="1"/>
    <cellStyle name="Followed Hyperlink" xfId="860" builtinId="9" hidden="1"/>
    <cellStyle name="Followed Hyperlink" xfId="862" builtinId="9" hidden="1"/>
    <cellStyle name="Followed Hyperlink" xfId="864" builtinId="9" hidden="1"/>
    <cellStyle name="Followed Hyperlink" xfId="866" builtinId="9" hidden="1"/>
    <cellStyle name="Followed Hyperlink" xfId="868" builtinId="9" hidden="1"/>
    <cellStyle name="Followed Hyperlink" xfId="870" builtinId="9" hidden="1"/>
    <cellStyle name="Followed Hyperlink" xfId="872" builtinId="9" hidden="1"/>
    <cellStyle name="Followed Hyperlink" xfId="874" builtinId="9" hidden="1"/>
    <cellStyle name="Followed Hyperlink" xfId="876" builtinId="9" hidden="1"/>
    <cellStyle name="Followed Hyperlink" xfId="878" builtinId="9" hidden="1"/>
    <cellStyle name="Followed Hyperlink" xfId="880" builtinId="9" hidden="1"/>
    <cellStyle name="Followed Hyperlink" xfId="882" builtinId="9" hidden="1"/>
    <cellStyle name="Followed Hyperlink" xfId="884" builtinId="9" hidden="1"/>
    <cellStyle name="Followed Hyperlink" xfId="886" builtinId="9" hidden="1"/>
    <cellStyle name="Followed Hyperlink" xfId="888" builtinId="9" hidden="1"/>
    <cellStyle name="Followed Hyperlink" xfId="890" builtinId="9" hidden="1"/>
    <cellStyle name="Followed Hyperlink" xfId="892" builtinId="9" hidden="1"/>
    <cellStyle name="Followed Hyperlink" xfId="894" builtinId="9" hidden="1"/>
    <cellStyle name="Followed Hyperlink" xfId="896" builtinId="9" hidden="1"/>
    <cellStyle name="Followed Hyperlink" xfId="898" builtinId="9" hidden="1"/>
    <cellStyle name="Followed Hyperlink" xfId="900" builtinId="9" hidden="1"/>
    <cellStyle name="Followed Hyperlink" xfId="902" builtinId="9" hidden="1"/>
    <cellStyle name="Followed Hyperlink" xfId="904" builtinId="9" hidden="1"/>
    <cellStyle name="Followed Hyperlink" xfId="906" builtinId="9" hidden="1"/>
    <cellStyle name="Followed Hyperlink" xfId="908" builtinId="9" hidden="1"/>
    <cellStyle name="Followed Hyperlink" xfId="910" builtinId="9" hidden="1"/>
    <cellStyle name="Followed Hyperlink" xfId="912" builtinId="9" hidden="1"/>
    <cellStyle name="Followed Hyperlink" xfId="914" builtinId="9" hidden="1"/>
    <cellStyle name="Followed Hyperlink" xfId="916" builtinId="9" hidden="1"/>
    <cellStyle name="Followed Hyperlink" xfId="918" builtinId="9" hidden="1"/>
    <cellStyle name="Followed Hyperlink" xfId="920" builtinId="9" hidden="1"/>
    <cellStyle name="Followed Hyperlink" xfId="922" builtinId="9" hidden="1"/>
    <cellStyle name="Followed Hyperlink" xfId="924" builtinId="9" hidden="1"/>
    <cellStyle name="Followed Hyperlink" xfId="926" builtinId="9" hidden="1"/>
    <cellStyle name="Followed Hyperlink" xfId="928" builtinId="9" hidden="1"/>
    <cellStyle name="Followed Hyperlink" xfId="930" builtinId="9" hidden="1"/>
    <cellStyle name="Followed Hyperlink" xfId="932" builtinId="9" hidden="1"/>
    <cellStyle name="Followed Hyperlink" xfId="934" builtinId="9" hidden="1"/>
    <cellStyle name="Followed Hyperlink" xfId="936" builtinId="9" hidden="1"/>
    <cellStyle name="Followed Hyperlink" xfId="938" builtinId="9" hidden="1"/>
    <cellStyle name="Followed Hyperlink" xfId="940" builtinId="9" hidden="1"/>
    <cellStyle name="Followed Hyperlink" xfId="942" builtinId="9" hidden="1"/>
    <cellStyle name="Followed Hyperlink" xfId="944" builtinId="9" hidden="1"/>
    <cellStyle name="Followed Hyperlink" xfId="946" builtinId="9" hidden="1"/>
    <cellStyle name="Followed Hyperlink" xfId="948" builtinId="9" hidden="1"/>
    <cellStyle name="Followed Hyperlink" xfId="950" builtinId="9" hidden="1"/>
    <cellStyle name="Followed Hyperlink" xfId="952" builtinId="9" hidden="1"/>
    <cellStyle name="Followed Hyperlink" xfId="954" builtinId="9" hidden="1"/>
    <cellStyle name="Followed Hyperlink" xfId="956" builtinId="9" hidden="1"/>
    <cellStyle name="Followed Hyperlink" xfId="958" builtinId="9" hidden="1"/>
    <cellStyle name="Followed Hyperlink" xfId="960" builtinId="9" hidden="1"/>
    <cellStyle name="Followed Hyperlink" xfId="962" builtinId="9" hidden="1"/>
    <cellStyle name="Followed Hyperlink" xfId="964" builtinId="9" hidden="1"/>
    <cellStyle name="Followed Hyperlink" xfId="966" builtinId="9" hidden="1"/>
    <cellStyle name="Followed Hyperlink" xfId="968" builtinId="9" hidden="1"/>
    <cellStyle name="Followed Hyperlink" xfId="970" builtinId="9" hidden="1"/>
    <cellStyle name="Followed Hyperlink" xfId="972" builtinId="9" hidden="1"/>
    <cellStyle name="Followed Hyperlink" xfId="974" builtinId="9" hidden="1"/>
    <cellStyle name="Followed Hyperlink" xfId="976" builtinId="9" hidden="1"/>
    <cellStyle name="Followed Hyperlink" xfId="978" builtinId="9" hidden="1"/>
    <cellStyle name="Followed Hyperlink" xfId="980" builtinId="9" hidden="1"/>
    <cellStyle name="Followed Hyperlink" xfId="982" builtinId="9" hidden="1"/>
    <cellStyle name="Followed Hyperlink" xfId="984" builtinId="9" hidden="1"/>
    <cellStyle name="Followed Hyperlink" xfId="986" builtinId="9" hidden="1"/>
    <cellStyle name="Followed Hyperlink" xfId="988" builtinId="9" hidden="1"/>
    <cellStyle name="Followed Hyperlink" xfId="990" builtinId="9" hidden="1"/>
    <cellStyle name="Followed Hyperlink" xfId="992" builtinId="9" hidden="1"/>
    <cellStyle name="Followed Hyperlink" xfId="994" builtinId="9" hidden="1"/>
    <cellStyle name="Followed Hyperlink" xfId="996" builtinId="9" hidden="1"/>
    <cellStyle name="Followed Hyperlink" xfId="998" builtinId="9" hidden="1"/>
    <cellStyle name="Followed Hyperlink" xfId="1000" builtinId="9" hidden="1"/>
    <cellStyle name="Followed Hyperlink" xfId="1002" builtinId="9" hidden="1"/>
    <cellStyle name="Followed Hyperlink" xfId="1004" builtinId="9" hidden="1"/>
    <cellStyle name="Followed Hyperlink" xfId="1006" builtinId="9" hidden="1"/>
    <cellStyle name="Followed Hyperlink" xfId="1008" builtinId="9" hidden="1"/>
    <cellStyle name="Followed Hyperlink" xfId="1010" builtinId="9" hidden="1"/>
    <cellStyle name="Followed Hyperlink" xfId="1012" builtinId="9" hidden="1"/>
    <cellStyle name="Followed Hyperlink" xfId="1014" builtinId="9" hidden="1"/>
    <cellStyle name="Followed Hyperlink" xfId="1016" builtinId="9" hidden="1"/>
    <cellStyle name="Followed Hyperlink" xfId="1018" builtinId="9" hidden="1"/>
    <cellStyle name="Followed Hyperlink" xfId="1020" builtinId="9" hidden="1"/>
    <cellStyle name="Followed Hyperlink" xfId="1022" builtinId="9" hidden="1"/>
    <cellStyle name="Followed Hyperlink" xfId="1024" builtinId="9" hidden="1"/>
    <cellStyle name="Followed Hyperlink" xfId="1026" builtinId="9" hidden="1"/>
    <cellStyle name="Followed Hyperlink" xfId="1028" builtinId="9" hidden="1"/>
    <cellStyle name="Followed Hyperlink" xfId="1030" builtinId="9" hidden="1"/>
    <cellStyle name="Followed Hyperlink" xfId="1032" builtinId="9" hidden="1"/>
    <cellStyle name="Followed Hyperlink" xfId="1034" builtinId="9" hidden="1"/>
    <cellStyle name="Followed Hyperlink" xfId="1036" builtinId="9" hidden="1"/>
    <cellStyle name="Followed Hyperlink" xfId="1038" builtinId="9" hidden="1"/>
    <cellStyle name="Followed Hyperlink" xfId="1040" builtinId="9" hidden="1"/>
    <cellStyle name="Followed Hyperlink" xfId="1042" builtinId="9" hidden="1"/>
    <cellStyle name="Followed Hyperlink" xfId="1044" builtinId="9" hidden="1"/>
    <cellStyle name="Followed Hyperlink" xfId="1046" builtinId="9" hidden="1"/>
    <cellStyle name="Followed Hyperlink" xfId="1048" builtinId="9" hidden="1"/>
    <cellStyle name="Followed Hyperlink" xfId="1050" builtinId="9" hidden="1"/>
    <cellStyle name="Followed Hyperlink" xfId="1052" builtinId="9" hidden="1"/>
    <cellStyle name="Followed Hyperlink" xfId="1054" builtinId="9" hidden="1"/>
    <cellStyle name="Followed Hyperlink" xfId="1056" builtinId="9" hidden="1"/>
    <cellStyle name="Followed Hyperlink" xfId="1058" builtinId="9" hidden="1"/>
    <cellStyle name="Followed Hyperlink" xfId="1060" builtinId="9" hidden="1"/>
    <cellStyle name="Followed Hyperlink" xfId="1062" builtinId="9" hidden="1"/>
    <cellStyle name="Followed Hyperlink" xfId="1064" builtinId="9" hidden="1"/>
    <cellStyle name="Followed Hyperlink" xfId="1066" builtinId="9" hidden="1"/>
    <cellStyle name="Followed Hyperlink" xfId="1068" builtinId="9" hidden="1"/>
    <cellStyle name="Followed Hyperlink" xfId="1070" builtinId="9" hidden="1"/>
    <cellStyle name="Followed Hyperlink" xfId="1072" builtinId="9" hidden="1"/>
    <cellStyle name="Followed Hyperlink" xfId="1074" builtinId="9" hidden="1"/>
    <cellStyle name="Followed Hyperlink" xfId="1076" builtinId="9" hidden="1"/>
    <cellStyle name="Followed Hyperlink" xfId="1078" builtinId="9" hidden="1"/>
    <cellStyle name="Followed Hyperlink" xfId="1080" builtinId="9" hidden="1"/>
    <cellStyle name="Followed Hyperlink" xfId="1082" builtinId="9" hidden="1"/>
    <cellStyle name="Followed Hyperlink" xfId="1084" builtinId="9" hidden="1"/>
    <cellStyle name="Followed Hyperlink" xfId="1086" builtinId="9" hidden="1"/>
    <cellStyle name="Followed Hyperlink" xfId="1088" builtinId="9" hidden="1"/>
    <cellStyle name="Followed Hyperlink" xfId="1090" builtinId="9" hidden="1"/>
    <cellStyle name="Followed Hyperlink" xfId="1092" builtinId="9" hidden="1"/>
    <cellStyle name="Followed Hyperlink" xfId="1094" builtinId="9" hidden="1"/>
    <cellStyle name="Followed Hyperlink" xfId="1096" builtinId="9" hidden="1"/>
    <cellStyle name="Followed Hyperlink" xfId="1098" builtinId="9" hidden="1"/>
    <cellStyle name="Followed Hyperlink" xfId="1100" builtinId="9" hidden="1"/>
    <cellStyle name="Followed Hyperlink" xfId="1102" builtinId="9" hidden="1"/>
    <cellStyle name="Followed Hyperlink" xfId="1104" builtinId="9" hidden="1"/>
    <cellStyle name="Followed Hyperlink" xfId="1106" builtinId="9" hidden="1"/>
    <cellStyle name="Followed Hyperlink" xfId="1108" builtinId="9" hidden="1"/>
    <cellStyle name="Followed Hyperlink" xfId="1110" builtinId="9" hidden="1"/>
    <cellStyle name="Followed Hyperlink" xfId="1112" builtinId="9" hidden="1"/>
    <cellStyle name="Followed Hyperlink" xfId="1114" builtinId="9" hidden="1"/>
    <cellStyle name="Followed Hyperlink" xfId="1116" builtinId="9" hidden="1"/>
    <cellStyle name="Followed Hyperlink" xfId="1118" builtinId="9" hidden="1"/>
    <cellStyle name="Followed Hyperlink" xfId="1120" builtinId="9" hidden="1"/>
    <cellStyle name="Followed Hyperlink" xfId="1122" builtinId="9" hidden="1"/>
    <cellStyle name="Followed Hyperlink" xfId="1124" builtinId="9" hidden="1"/>
    <cellStyle name="Followed Hyperlink" xfId="1126" builtinId="9" hidden="1"/>
    <cellStyle name="Followed Hyperlink" xfId="1128" builtinId="9" hidden="1"/>
    <cellStyle name="Followed Hyperlink" xfId="1130" builtinId="9" hidden="1"/>
    <cellStyle name="Followed Hyperlink" xfId="1132" builtinId="9" hidden="1"/>
    <cellStyle name="Followed Hyperlink" xfId="1134" builtinId="9" hidden="1"/>
    <cellStyle name="Followed Hyperlink" xfId="1136" builtinId="9" hidden="1"/>
    <cellStyle name="Followed Hyperlink" xfId="1138" builtinId="9" hidden="1"/>
    <cellStyle name="Followed Hyperlink" xfId="1140" builtinId="9" hidden="1"/>
    <cellStyle name="Followed Hyperlink" xfId="1142" builtinId="9" hidden="1"/>
    <cellStyle name="Followed Hyperlink" xfId="1144" builtinId="9" hidden="1"/>
    <cellStyle name="Followed Hyperlink" xfId="1146" builtinId="9" hidden="1"/>
    <cellStyle name="Followed Hyperlink" xfId="1148" builtinId="9" hidden="1"/>
    <cellStyle name="Followed Hyperlink" xfId="1150" builtinId="9" hidden="1"/>
    <cellStyle name="Followed Hyperlink" xfId="1152" builtinId="9" hidden="1"/>
    <cellStyle name="Followed Hyperlink" xfId="1154" builtinId="9" hidden="1"/>
    <cellStyle name="Followed Hyperlink" xfId="1156" builtinId="9" hidden="1"/>
    <cellStyle name="Followed Hyperlink" xfId="1158" builtinId="9" hidden="1"/>
    <cellStyle name="Followed Hyperlink" xfId="1160" builtinId="9" hidden="1"/>
    <cellStyle name="Followed Hyperlink" xfId="1162" builtinId="9" hidden="1"/>
    <cellStyle name="Followed Hyperlink" xfId="1164" builtinId="9" hidden="1"/>
    <cellStyle name="Followed Hyperlink" xfId="1166" builtinId="9" hidden="1"/>
    <cellStyle name="Followed Hyperlink" xfId="1168" builtinId="9" hidden="1"/>
    <cellStyle name="Followed Hyperlink" xfId="1170" builtinId="9" hidden="1"/>
    <cellStyle name="Followed Hyperlink" xfId="1172" builtinId="9" hidden="1"/>
    <cellStyle name="Followed Hyperlink" xfId="1174" builtinId="9" hidden="1"/>
    <cellStyle name="Followed Hyperlink" xfId="1176" builtinId="9" hidden="1"/>
    <cellStyle name="Followed Hyperlink" xfId="1178" builtinId="9" hidden="1"/>
    <cellStyle name="Followed Hyperlink" xfId="1180" builtinId="9" hidden="1"/>
    <cellStyle name="Followed Hyperlink" xfId="1182" builtinId="9" hidden="1"/>
    <cellStyle name="Followed Hyperlink" xfId="1184" builtinId="9" hidden="1"/>
    <cellStyle name="Followed Hyperlink" xfId="1186" builtinId="9" hidden="1"/>
    <cellStyle name="Followed Hyperlink" xfId="1188" builtinId="9" hidden="1"/>
    <cellStyle name="Followed Hyperlink" xfId="1190" builtinId="9" hidden="1"/>
    <cellStyle name="Followed Hyperlink" xfId="1192" builtinId="9" hidden="1"/>
    <cellStyle name="Followed Hyperlink" xfId="1194" builtinId="9" hidden="1"/>
    <cellStyle name="Followed Hyperlink" xfId="1196" builtinId="9" hidden="1"/>
    <cellStyle name="Followed Hyperlink" xfId="1198" builtinId="9" hidden="1"/>
    <cellStyle name="Followed Hyperlink" xfId="1200" builtinId="9" hidden="1"/>
    <cellStyle name="Followed Hyperlink" xfId="1202" builtinId="9" hidden="1"/>
    <cellStyle name="Followed Hyperlink" xfId="1204" builtinId="9" hidden="1"/>
    <cellStyle name="Followed Hyperlink" xfId="1206" builtinId="9" hidden="1"/>
    <cellStyle name="Followed Hyperlink" xfId="1208" builtinId="9" hidden="1"/>
    <cellStyle name="Followed Hyperlink" xfId="1210" builtinId="9" hidden="1"/>
    <cellStyle name="Followed Hyperlink" xfId="1212" builtinId="9" hidden="1"/>
    <cellStyle name="Followed Hyperlink" xfId="1214" builtinId="9" hidden="1"/>
    <cellStyle name="Followed Hyperlink" xfId="1216" builtinId="9" hidden="1"/>
    <cellStyle name="Followed Hyperlink" xfId="1218" builtinId="9" hidden="1"/>
    <cellStyle name="Followed Hyperlink" xfId="1220" builtinId="9" hidden="1"/>
    <cellStyle name="Followed Hyperlink" xfId="1222" builtinId="9" hidden="1"/>
    <cellStyle name="Followed Hyperlink" xfId="1224" builtinId="9" hidden="1"/>
    <cellStyle name="Followed Hyperlink" xfId="1226" builtinId="9" hidden="1"/>
    <cellStyle name="Followed Hyperlink" xfId="1228" builtinId="9" hidden="1"/>
    <cellStyle name="Followed Hyperlink" xfId="1230" builtinId="9" hidden="1"/>
    <cellStyle name="Followed Hyperlink" xfId="1232" builtinId="9" hidden="1"/>
    <cellStyle name="Followed Hyperlink" xfId="1234" builtinId="9" hidden="1"/>
    <cellStyle name="Followed Hyperlink" xfId="1236" builtinId="9" hidden="1"/>
    <cellStyle name="Followed Hyperlink" xfId="1238" builtinId="9" hidden="1"/>
    <cellStyle name="Followed Hyperlink" xfId="1240" builtinId="9" hidden="1"/>
    <cellStyle name="Followed Hyperlink" xfId="1242" builtinId="9" hidden="1"/>
    <cellStyle name="Followed Hyperlink" xfId="1244" builtinId="9" hidden="1"/>
    <cellStyle name="Followed Hyperlink" xfId="1246" builtinId="9" hidden="1"/>
    <cellStyle name="Followed Hyperlink" xfId="1248" builtinId="9" hidden="1"/>
    <cellStyle name="Followed Hyperlink" xfId="1250" builtinId="9" hidden="1"/>
    <cellStyle name="Followed Hyperlink" xfId="1252" builtinId="9" hidden="1"/>
    <cellStyle name="Followed Hyperlink" xfId="1254" builtinId="9" hidden="1"/>
    <cellStyle name="Followed Hyperlink" xfId="1256" builtinId="9" hidden="1"/>
    <cellStyle name="Followed Hyperlink" xfId="1258" builtinId="9" hidden="1"/>
    <cellStyle name="Followed Hyperlink" xfId="1260" builtinId="9" hidden="1"/>
    <cellStyle name="Followed Hyperlink" xfId="1262" builtinId="9" hidden="1"/>
    <cellStyle name="Followed Hyperlink" xfId="1264" builtinId="9" hidden="1"/>
    <cellStyle name="Followed Hyperlink" xfId="1266" builtinId="9" hidden="1"/>
    <cellStyle name="Followed Hyperlink" xfId="1268" builtinId="9" hidden="1"/>
    <cellStyle name="Followed Hyperlink" xfId="1270" builtinId="9" hidden="1"/>
    <cellStyle name="Followed Hyperlink" xfId="1272" builtinId="9" hidden="1"/>
    <cellStyle name="Followed Hyperlink" xfId="1274" builtinId="9" hidden="1"/>
    <cellStyle name="Followed Hyperlink" xfId="1276" builtinId="9" hidden="1"/>
    <cellStyle name="Followed Hyperlink" xfId="1278" builtinId="9" hidden="1"/>
    <cellStyle name="Followed Hyperlink" xfId="1280" builtinId="9" hidden="1"/>
    <cellStyle name="Followed Hyperlink" xfId="1282" builtinId="9" hidden="1"/>
    <cellStyle name="Followed Hyperlink" xfId="1284" builtinId="9" hidden="1"/>
    <cellStyle name="Followed Hyperlink" xfId="1286" builtinId="9" hidden="1"/>
    <cellStyle name="Followed Hyperlink" xfId="1288" builtinId="9" hidden="1"/>
    <cellStyle name="Followed Hyperlink" xfId="1290" builtinId="9" hidden="1"/>
    <cellStyle name="Followed Hyperlink" xfId="1292" builtinId="9" hidden="1"/>
    <cellStyle name="Followed Hyperlink" xfId="1294" builtinId="9" hidden="1"/>
    <cellStyle name="Followed Hyperlink" xfId="1296" builtinId="9" hidden="1"/>
    <cellStyle name="Followed Hyperlink" xfId="1298" builtinId="9" hidden="1"/>
    <cellStyle name="Followed Hyperlink" xfId="1300" builtinId="9" hidden="1"/>
    <cellStyle name="Followed Hyperlink" xfId="1302" builtinId="9" hidden="1"/>
    <cellStyle name="Followed Hyperlink" xfId="1304" builtinId="9" hidden="1"/>
    <cellStyle name="Followed Hyperlink" xfId="1306" builtinId="9" hidden="1"/>
    <cellStyle name="Followed Hyperlink" xfId="1308" builtinId="9" hidden="1"/>
    <cellStyle name="Followed Hyperlink" xfId="1310" builtinId="9" hidden="1"/>
    <cellStyle name="Followed Hyperlink" xfId="1312" builtinId="9" hidden="1"/>
    <cellStyle name="Followed Hyperlink" xfId="1314" builtinId="9" hidden="1"/>
    <cellStyle name="Followed Hyperlink" xfId="1316" builtinId="9" hidden="1"/>
    <cellStyle name="Followed Hyperlink" xfId="1318" builtinId="9" hidden="1"/>
    <cellStyle name="Followed Hyperlink" xfId="1320" builtinId="9" hidden="1"/>
    <cellStyle name="Followed Hyperlink" xfId="1322" builtinId="9" hidden="1"/>
    <cellStyle name="Followed Hyperlink" xfId="1324" builtinId="9" hidden="1"/>
    <cellStyle name="Followed Hyperlink" xfId="1326" builtinId="9" hidden="1"/>
    <cellStyle name="Followed Hyperlink" xfId="1328" builtinId="9" hidden="1"/>
    <cellStyle name="Followed Hyperlink" xfId="1330" builtinId="9" hidden="1"/>
    <cellStyle name="Followed Hyperlink" xfId="1332" builtinId="9" hidden="1"/>
    <cellStyle name="Followed Hyperlink" xfId="1334" builtinId="9" hidden="1"/>
    <cellStyle name="Followed Hyperlink" xfId="1336" builtinId="9" hidden="1"/>
    <cellStyle name="Followed Hyperlink" xfId="1338" builtinId="9" hidden="1"/>
    <cellStyle name="Followed Hyperlink" xfId="1340" builtinId="9" hidden="1"/>
    <cellStyle name="Followed Hyperlink" xfId="1342" builtinId="9" hidden="1"/>
    <cellStyle name="Followed Hyperlink" xfId="1344" builtinId="9" hidden="1"/>
    <cellStyle name="Followed Hyperlink" xfId="1346" builtinId="9" hidden="1"/>
    <cellStyle name="Followed Hyperlink" xfId="1348" builtinId="9" hidden="1"/>
    <cellStyle name="Followed Hyperlink" xfId="1350" builtinId="9" hidden="1"/>
    <cellStyle name="Followed Hyperlink" xfId="1352" builtinId="9" hidden="1"/>
    <cellStyle name="Followed Hyperlink" xfId="1354" builtinId="9" hidden="1"/>
    <cellStyle name="Followed Hyperlink" xfId="1356" builtinId="9" hidden="1"/>
    <cellStyle name="Followed Hyperlink" xfId="1358" builtinId="9" hidden="1"/>
    <cellStyle name="Followed Hyperlink" xfId="1360" builtinId="9" hidden="1"/>
    <cellStyle name="Followed Hyperlink" xfId="1362" builtinId="9" hidden="1"/>
    <cellStyle name="Followed Hyperlink" xfId="1364" builtinId="9" hidden="1"/>
    <cellStyle name="Followed Hyperlink" xfId="1366" builtinId="9" hidden="1"/>
    <cellStyle name="Followed Hyperlink" xfId="1368" builtinId="9" hidden="1"/>
    <cellStyle name="Followed Hyperlink" xfId="1370" builtinId="9" hidden="1"/>
    <cellStyle name="Followed Hyperlink" xfId="1372" builtinId="9" hidden="1"/>
    <cellStyle name="Followed Hyperlink" xfId="1374" builtinId="9" hidden="1"/>
    <cellStyle name="Followed Hyperlink" xfId="1376" builtinId="9" hidden="1"/>
    <cellStyle name="Followed Hyperlink" xfId="1378" builtinId="9" hidden="1"/>
    <cellStyle name="Followed Hyperlink" xfId="1380" builtinId="9" hidden="1"/>
    <cellStyle name="Followed Hyperlink" xfId="1382" builtinId="9" hidden="1"/>
    <cellStyle name="Followed Hyperlink" xfId="1384" builtinId="9" hidden="1"/>
    <cellStyle name="Followed Hyperlink" xfId="1386" builtinId="9" hidden="1"/>
    <cellStyle name="Followed Hyperlink" xfId="1388" builtinId="9" hidden="1"/>
    <cellStyle name="Followed Hyperlink" xfId="1390" builtinId="9" hidden="1"/>
    <cellStyle name="Followed Hyperlink" xfId="1392" builtinId="9" hidden="1"/>
    <cellStyle name="Followed Hyperlink" xfId="1394" builtinId="9" hidden="1"/>
    <cellStyle name="Followed Hyperlink" xfId="1396" builtinId="9" hidden="1"/>
    <cellStyle name="Followed Hyperlink" xfId="1398" builtinId="9" hidden="1"/>
    <cellStyle name="Followed Hyperlink" xfId="1400" builtinId="9" hidden="1"/>
    <cellStyle name="Followed Hyperlink" xfId="1402" builtinId="9" hidden="1"/>
    <cellStyle name="Followed Hyperlink" xfId="1404" builtinId="9" hidden="1"/>
    <cellStyle name="Followed Hyperlink" xfId="1406" builtinId="9" hidden="1"/>
    <cellStyle name="Followed Hyperlink" xfId="1408" builtinId="9" hidden="1"/>
    <cellStyle name="Followed Hyperlink" xfId="1410" builtinId="9" hidden="1"/>
    <cellStyle name="Followed Hyperlink" xfId="1412" builtinId="9" hidden="1"/>
    <cellStyle name="Followed Hyperlink" xfId="1414" builtinId="9" hidden="1"/>
    <cellStyle name="Followed Hyperlink" xfId="1416" builtinId="9" hidden="1"/>
    <cellStyle name="Followed Hyperlink" xfId="1418" builtinId="9" hidden="1"/>
    <cellStyle name="Followed Hyperlink" xfId="1420" builtinId="9" hidden="1"/>
    <cellStyle name="Followed Hyperlink" xfId="1422" builtinId="9" hidden="1"/>
    <cellStyle name="Followed Hyperlink" xfId="1424" builtinId="9" hidden="1"/>
    <cellStyle name="Followed Hyperlink" xfId="1426" builtinId="9" hidden="1"/>
    <cellStyle name="Followed Hyperlink" xfId="1428" builtinId="9" hidden="1"/>
    <cellStyle name="Followed Hyperlink" xfId="1430" builtinId="9" hidden="1"/>
    <cellStyle name="Followed Hyperlink" xfId="1432" builtinId="9" hidden="1"/>
    <cellStyle name="Followed Hyperlink" xfId="1434" builtinId="9" hidden="1"/>
    <cellStyle name="Followed Hyperlink" xfId="1436" builtinId="9" hidden="1"/>
    <cellStyle name="Followed Hyperlink" xfId="1438" builtinId="9" hidden="1"/>
    <cellStyle name="Followed Hyperlink" xfId="1440" builtinId="9" hidden="1"/>
    <cellStyle name="Followed Hyperlink" xfId="1442" builtinId="9" hidden="1"/>
    <cellStyle name="Followed Hyperlink" xfId="1444" builtinId="9" hidden="1"/>
    <cellStyle name="Followed Hyperlink" xfId="1446" builtinId="9" hidden="1"/>
    <cellStyle name="Followed Hyperlink" xfId="1448" builtinId="9" hidden="1"/>
    <cellStyle name="Followed Hyperlink" xfId="1450" builtinId="9" hidden="1"/>
    <cellStyle name="Followed Hyperlink" xfId="1452" builtinId="9" hidden="1"/>
    <cellStyle name="Followed Hyperlink" xfId="1454" builtinId="9" hidden="1"/>
    <cellStyle name="Followed Hyperlink" xfId="1456" builtinId="9" hidden="1"/>
    <cellStyle name="Followed Hyperlink" xfId="1458" builtinId="9" hidden="1"/>
    <cellStyle name="Followed Hyperlink" xfId="1460" builtinId="9" hidden="1"/>
    <cellStyle name="Followed Hyperlink" xfId="1462" builtinId="9" hidden="1"/>
    <cellStyle name="Followed Hyperlink" xfId="1464" builtinId="9" hidden="1"/>
    <cellStyle name="Followed Hyperlink" xfId="1466" builtinId="9" hidden="1"/>
    <cellStyle name="Followed Hyperlink" xfId="1468" builtinId="9" hidden="1"/>
    <cellStyle name="Followed Hyperlink" xfId="1470" builtinId="9" hidden="1"/>
    <cellStyle name="Followed Hyperlink" xfId="1472" builtinId="9" hidden="1"/>
    <cellStyle name="Followed Hyperlink" xfId="1474" builtinId="9" hidden="1"/>
    <cellStyle name="Followed Hyperlink" xfId="1476" builtinId="9" hidden="1"/>
    <cellStyle name="Followed Hyperlink" xfId="1478" builtinId="9" hidden="1"/>
    <cellStyle name="Followed Hyperlink" xfId="1480" builtinId="9" hidden="1"/>
    <cellStyle name="Followed Hyperlink" xfId="1482" builtinId="9" hidden="1"/>
    <cellStyle name="Followed Hyperlink" xfId="1484" builtinId="9" hidden="1"/>
    <cellStyle name="Followed Hyperlink" xfId="1486" builtinId="9" hidden="1"/>
    <cellStyle name="Followed Hyperlink" xfId="1488" builtinId="9" hidden="1"/>
    <cellStyle name="Followed Hyperlink" xfId="1490" builtinId="9" hidden="1"/>
    <cellStyle name="Followed Hyperlink" xfId="1492" builtinId="9" hidden="1"/>
    <cellStyle name="Followed Hyperlink" xfId="1494" builtinId="9" hidden="1"/>
    <cellStyle name="Followed Hyperlink" xfId="1496" builtinId="9" hidden="1"/>
    <cellStyle name="Followed Hyperlink" xfId="1498" builtinId="9" hidden="1"/>
    <cellStyle name="Followed Hyperlink" xfId="1500" builtinId="9" hidden="1"/>
    <cellStyle name="Followed Hyperlink" xfId="1502" builtinId="9" hidden="1"/>
    <cellStyle name="Followed Hyperlink" xfId="1504" builtinId="9" hidden="1"/>
    <cellStyle name="Followed Hyperlink" xfId="1506" builtinId="9" hidden="1"/>
    <cellStyle name="Followed Hyperlink" xfId="1508" builtinId="9" hidden="1"/>
    <cellStyle name="Followed Hyperlink" xfId="1510" builtinId="9" hidden="1"/>
    <cellStyle name="Followed Hyperlink" xfId="1512" builtinId="9" hidden="1"/>
    <cellStyle name="Followed Hyperlink" xfId="1514" builtinId="9" hidden="1"/>
    <cellStyle name="Followed Hyperlink" xfId="1516" builtinId="9" hidden="1"/>
    <cellStyle name="Followed Hyperlink" xfId="1518" builtinId="9" hidden="1"/>
    <cellStyle name="Followed Hyperlink" xfId="1520" builtinId="9" hidden="1"/>
    <cellStyle name="Followed Hyperlink" xfId="1522" builtinId="9" hidden="1"/>
    <cellStyle name="Followed Hyperlink" xfId="1524" builtinId="9" hidden="1"/>
    <cellStyle name="Followed Hyperlink" xfId="1526" builtinId="9" hidden="1"/>
    <cellStyle name="Followed Hyperlink" xfId="1528" builtinId="9" hidden="1"/>
    <cellStyle name="Followed Hyperlink" xfId="1530" builtinId="9" hidden="1"/>
    <cellStyle name="Followed Hyperlink" xfId="1532" builtinId="9" hidden="1"/>
    <cellStyle name="Followed Hyperlink" xfId="1534" builtinId="9" hidden="1"/>
    <cellStyle name="Followed Hyperlink" xfId="1536" builtinId="9" hidden="1"/>
    <cellStyle name="Followed Hyperlink" xfId="1538" builtinId="9" hidden="1"/>
    <cellStyle name="Followed Hyperlink" xfId="1540" builtinId="9" hidden="1"/>
    <cellStyle name="Followed Hyperlink" xfId="1542" builtinId="9" hidden="1"/>
    <cellStyle name="Followed Hyperlink" xfId="1544" builtinId="9" hidden="1"/>
    <cellStyle name="Followed Hyperlink" xfId="1546" builtinId="9" hidden="1"/>
    <cellStyle name="Followed Hyperlink" xfId="1548" builtinId="9" hidden="1"/>
    <cellStyle name="Followed Hyperlink" xfId="1550" builtinId="9" hidden="1"/>
    <cellStyle name="Followed Hyperlink" xfId="1552" builtinId="9" hidden="1"/>
    <cellStyle name="Followed Hyperlink" xfId="1554" builtinId="9" hidden="1"/>
    <cellStyle name="Followed Hyperlink" xfId="1556" builtinId="9" hidden="1"/>
    <cellStyle name="Followed Hyperlink" xfId="1558" builtinId="9" hidden="1"/>
    <cellStyle name="Followed Hyperlink" xfId="1560" builtinId="9" hidden="1"/>
    <cellStyle name="Followed Hyperlink" xfId="1562" builtinId="9" hidden="1"/>
    <cellStyle name="Followed Hyperlink" xfId="1564" builtinId="9" hidden="1"/>
    <cellStyle name="Followed Hyperlink" xfId="1566" builtinId="9" hidden="1"/>
    <cellStyle name="Followed Hyperlink" xfId="1568" builtinId="9" hidden="1"/>
    <cellStyle name="Followed Hyperlink" xfId="1570" builtinId="9" hidden="1"/>
    <cellStyle name="Followed Hyperlink" xfId="1572" builtinId="9" hidden="1"/>
    <cellStyle name="Followed Hyperlink" xfId="1574" builtinId="9" hidden="1"/>
    <cellStyle name="Followed Hyperlink" xfId="1576" builtinId="9" hidden="1"/>
    <cellStyle name="Followed Hyperlink" xfId="1578" builtinId="9" hidden="1"/>
    <cellStyle name="Followed Hyperlink" xfId="1580" builtinId="9" hidden="1"/>
    <cellStyle name="Followed Hyperlink" xfId="1582" builtinId="9" hidden="1"/>
    <cellStyle name="Followed Hyperlink" xfId="1584" builtinId="9" hidden="1"/>
    <cellStyle name="Followed Hyperlink" xfId="1586" builtinId="9" hidden="1"/>
    <cellStyle name="Followed Hyperlink" xfId="1588" builtinId="9" hidden="1"/>
    <cellStyle name="Followed Hyperlink" xfId="1590" builtinId="9" hidden="1"/>
    <cellStyle name="Followed Hyperlink" xfId="1592" builtinId="9" hidden="1"/>
    <cellStyle name="Followed Hyperlink" xfId="1594" builtinId="9" hidden="1"/>
    <cellStyle name="Followed Hyperlink" xfId="1596" builtinId="9" hidden="1"/>
    <cellStyle name="Followed Hyperlink" xfId="1598" builtinId="9" hidden="1"/>
    <cellStyle name="Followed Hyperlink" xfId="1600" builtinId="9" hidden="1"/>
    <cellStyle name="Followed Hyperlink" xfId="1602" builtinId="9" hidden="1"/>
    <cellStyle name="Followed Hyperlink" xfId="1604" builtinId="9" hidden="1"/>
    <cellStyle name="Followed Hyperlink" xfId="1606" builtinId="9" hidden="1"/>
    <cellStyle name="Followed Hyperlink" xfId="1608" builtinId="9" hidden="1"/>
    <cellStyle name="Followed Hyperlink" xfId="1610" builtinId="9" hidden="1"/>
    <cellStyle name="Followed Hyperlink" xfId="1612" builtinId="9" hidden="1"/>
    <cellStyle name="Followed Hyperlink" xfId="1614" builtinId="9" hidden="1"/>
    <cellStyle name="Followed Hyperlink" xfId="1616" builtinId="9" hidden="1"/>
    <cellStyle name="Followed Hyperlink" xfId="1618" builtinId="9" hidden="1"/>
    <cellStyle name="Followed Hyperlink" xfId="1620" builtinId="9" hidden="1"/>
    <cellStyle name="Followed Hyperlink" xfId="1622" builtinId="9" hidden="1"/>
    <cellStyle name="Followed Hyperlink" xfId="1624" builtinId="9" hidden="1"/>
    <cellStyle name="Followed Hyperlink" xfId="1626" builtinId="9" hidden="1"/>
    <cellStyle name="Followed Hyperlink" xfId="1628" builtinId="9" hidden="1"/>
    <cellStyle name="Followed Hyperlink" xfId="1630" builtinId="9" hidden="1"/>
    <cellStyle name="Followed Hyperlink" xfId="1632" builtinId="9" hidden="1"/>
    <cellStyle name="Followed Hyperlink" xfId="1634" builtinId="9" hidden="1"/>
    <cellStyle name="Followed Hyperlink" xfId="1636" builtinId="9" hidden="1"/>
    <cellStyle name="Followed Hyperlink" xfId="1638" builtinId="9" hidden="1"/>
    <cellStyle name="Followed Hyperlink" xfId="1640" builtinId="9" hidden="1"/>
    <cellStyle name="Followed Hyperlink" xfId="1642" builtinId="9" hidden="1"/>
    <cellStyle name="Followed Hyperlink" xfId="1644" builtinId="9" hidden="1"/>
    <cellStyle name="Followed Hyperlink" xfId="1646" builtinId="9" hidden="1"/>
    <cellStyle name="Followed Hyperlink" xfId="1648" builtinId="9" hidden="1"/>
    <cellStyle name="Followed Hyperlink" xfId="1650" builtinId="9" hidden="1"/>
    <cellStyle name="Followed Hyperlink" xfId="1652" builtinId="9" hidden="1"/>
    <cellStyle name="Followed Hyperlink" xfId="1654" builtinId="9" hidden="1"/>
    <cellStyle name="Followed Hyperlink" xfId="1656" builtinId="9" hidden="1"/>
    <cellStyle name="Followed Hyperlink" xfId="1658" builtinId="9" hidden="1"/>
    <cellStyle name="Followed Hyperlink" xfId="1660" builtinId="9" hidden="1"/>
    <cellStyle name="Followed Hyperlink" xfId="1662" builtinId="9" hidden="1"/>
    <cellStyle name="Followed Hyperlink" xfId="1664" builtinId="9" hidden="1"/>
    <cellStyle name="Followed Hyperlink" xfId="1666" builtinId="9" hidden="1"/>
    <cellStyle name="Followed Hyperlink" xfId="1668" builtinId="9" hidden="1"/>
    <cellStyle name="Followed Hyperlink" xfId="1670" builtinId="9" hidden="1"/>
    <cellStyle name="Followed Hyperlink" xfId="1672" builtinId="9" hidden="1"/>
    <cellStyle name="Followed Hyperlink" xfId="1674" builtinId="9" hidden="1"/>
    <cellStyle name="Followed Hyperlink" xfId="1676" builtinId="9" hidden="1"/>
    <cellStyle name="Followed Hyperlink" xfId="1678" builtinId="9" hidden="1"/>
    <cellStyle name="Followed Hyperlink" xfId="1680" builtinId="9" hidden="1"/>
    <cellStyle name="Followed Hyperlink" xfId="1682" builtinId="9" hidden="1"/>
    <cellStyle name="Followed Hyperlink" xfId="1684" builtinId="9" hidden="1"/>
    <cellStyle name="Followed Hyperlink" xfId="1686" builtinId="9" hidden="1"/>
    <cellStyle name="Followed Hyperlink" xfId="1688" builtinId="9" hidden="1"/>
    <cellStyle name="Followed Hyperlink" xfId="1690" builtinId="9" hidden="1"/>
    <cellStyle name="Followed Hyperlink" xfId="1692" builtinId="9" hidden="1"/>
    <cellStyle name="Followed Hyperlink" xfId="1694" builtinId="9" hidden="1"/>
    <cellStyle name="Followed Hyperlink" xfId="1696" builtinId="9" hidden="1"/>
    <cellStyle name="Followed Hyperlink" xfId="1698" builtinId="9" hidden="1"/>
    <cellStyle name="Followed Hyperlink" xfId="1700" builtinId="9" hidden="1"/>
    <cellStyle name="Followed Hyperlink" xfId="1702" builtinId="9" hidden="1"/>
    <cellStyle name="Followed Hyperlink" xfId="1704" builtinId="9" hidden="1"/>
    <cellStyle name="Followed Hyperlink" xfId="1706" builtinId="9" hidden="1"/>
    <cellStyle name="Followed Hyperlink" xfId="1708" builtinId="9" hidden="1"/>
    <cellStyle name="Followed Hyperlink" xfId="1710" builtinId="9" hidden="1"/>
    <cellStyle name="Followed Hyperlink" xfId="1712" builtinId="9" hidden="1"/>
    <cellStyle name="Followed Hyperlink" xfId="1714" builtinId="9" hidden="1"/>
    <cellStyle name="Followed Hyperlink" xfId="1716" builtinId="9" hidden="1"/>
    <cellStyle name="Followed Hyperlink" xfId="1718" builtinId="9" hidden="1"/>
    <cellStyle name="Followed Hyperlink" xfId="1720" builtinId="9" hidden="1"/>
    <cellStyle name="Followed Hyperlink" xfId="1722" builtinId="9" hidden="1"/>
    <cellStyle name="Followed Hyperlink" xfId="1724" builtinId="9" hidden="1"/>
    <cellStyle name="Followed Hyperlink" xfId="1726" builtinId="9" hidden="1"/>
    <cellStyle name="Followed Hyperlink" xfId="1728" builtinId="9" hidden="1"/>
    <cellStyle name="Followed Hyperlink" xfId="1730" builtinId="9" hidden="1"/>
    <cellStyle name="Followed Hyperlink" xfId="1732" builtinId="9" hidden="1"/>
    <cellStyle name="Followed Hyperlink" xfId="1734" builtinId="9" hidden="1"/>
    <cellStyle name="Followed Hyperlink" xfId="1736" builtinId="9" hidden="1"/>
    <cellStyle name="Followed Hyperlink" xfId="1738" builtinId="9" hidden="1"/>
    <cellStyle name="Followed Hyperlink" xfId="1740" builtinId="9" hidden="1"/>
    <cellStyle name="Followed Hyperlink" xfId="1742" builtinId="9" hidden="1"/>
    <cellStyle name="Followed Hyperlink" xfId="1744" builtinId="9" hidden="1"/>
    <cellStyle name="Followed Hyperlink" xfId="1746" builtinId="9" hidden="1"/>
    <cellStyle name="Followed Hyperlink" xfId="1748" builtinId="9" hidden="1"/>
    <cellStyle name="Followed Hyperlink" xfId="1750" builtinId="9" hidden="1"/>
    <cellStyle name="Followed Hyperlink" xfId="1752" builtinId="9" hidden="1"/>
    <cellStyle name="Followed Hyperlink" xfId="1754" builtinId="9" hidden="1"/>
    <cellStyle name="Followed Hyperlink" xfId="1756" builtinId="9" hidden="1"/>
    <cellStyle name="Followed Hyperlink" xfId="1758" builtinId="9" hidden="1"/>
    <cellStyle name="Followed Hyperlink" xfId="1760" builtinId="9" hidden="1"/>
    <cellStyle name="Followed Hyperlink" xfId="1762" builtinId="9" hidden="1"/>
    <cellStyle name="Followed Hyperlink" xfId="1764" builtinId="9" hidden="1"/>
    <cellStyle name="Followed Hyperlink" xfId="1766" builtinId="9" hidden="1"/>
    <cellStyle name="Followed Hyperlink" xfId="1768" builtinId="9" hidden="1"/>
    <cellStyle name="Followed Hyperlink" xfId="1770" builtinId="9" hidden="1"/>
    <cellStyle name="Followed Hyperlink" xfId="1772" builtinId="9" hidden="1"/>
    <cellStyle name="Followed Hyperlink" xfId="1774" builtinId="9" hidden="1"/>
    <cellStyle name="Followed Hyperlink" xfId="1776" builtinId="9" hidden="1"/>
    <cellStyle name="Followed Hyperlink" xfId="1778" builtinId="9" hidden="1"/>
    <cellStyle name="Followed Hyperlink" xfId="1780" builtinId="9" hidden="1"/>
    <cellStyle name="Followed Hyperlink" xfId="1782" builtinId="9" hidden="1"/>
    <cellStyle name="Followed Hyperlink" xfId="1784" builtinId="9" hidden="1"/>
    <cellStyle name="Followed Hyperlink" xfId="1786" builtinId="9" hidden="1"/>
    <cellStyle name="Followed Hyperlink" xfId="1788" builtinId="9" hidden="1"/>
    <cellStyle name="Followed Hyperlink" xfId="1790" builtinId="9" hidden="1"/>
    <cellStyle name="Followed Hyperlink" xfId="1792" builtinId="9" hidden="1"/>
    <cellStyle name="Followed Hyperlink" xfId="1794" builtinId="9" hidden="1"/>
    <cellStyle name="Followed Hyperlink" xfId="1796" builtinId="9" hidden="1"/>
    <cellStyle name="Followed Hyperlink" xfId="1798" builtinId="9" hidden="1"/>
    <cellStyle name="Followed Hyperlink" xfId="1800" builtinId="9" hidden="1"/>
    <cellStyle name="Followed Hyperlink" xfId="1802" builtinId="9" hidden="1"/>
    <cellStyle name="Followed Hyperlink" xfId="1804" builtinId="9" hidden="1"/>
    <cellStyle name="Followed Hyperlink" xfId="1806" builtinId="9" hidden="1"/>
    <cellStyle name="Followed Hyperlink" xfId="1808" builtinId="9" hidden="1"/>
    <cellStyle name="Followed Hyperlink" xfId="1810" builtinId="9" hidden="1"/>
    <cellStyle name="Followed Hyperlink" xfId="1812" builtinId="9" hidden="1"/>
    <cellStyle name="Followed Hyperlink" xfId="1814" builtinId="9" hidden="1"/>
    <cellStyle name="Followed Hyperlink" xfId="1816" builtinId="9" hidden="1"/>
    <cellStyle name="Followed Hyperlink" xfId="1818" builtinId="9" hidden="1"/>
    <cellStyle name="Followed Hyperlink" xfId="1820" builtinId="9" hidden="1"/>
    <cellStyle name="Followed Hyperlink" xfId="1822" builtinId="9" hidden="1"/>
    <cellStyle name="Followed Hyperlink" xfId="1824" builtinId="9" hidden="1"/>
    <cellStyle name="Followed Hyperlink" xfId="1826" builtinId="9" hidden="1"/>
    <cellStyle name="Followed Hyperlink" xfId="1828" builtinId="9" hidden="1"/>
    <cellStyle name="Followed Hyperlink" xfId="1830" builtinId="9" hidden="1"/>
    <cellStyle name="Followed Hyperlink" xfId="1832" builtinId="9" hidden="1"/>
    <cellStyle name="Followed Hyperlink" xfId="1834" builtinId="9" hidden="1"/>
    <cellStyle name="Followed Hyperlink" xfId="1836" builtinId="9" hidden="1"/>
    <cellStyle name="Followed Hyperlink" xfId="1838" builtinId="9" hidden="1"/>
    <cellStyle name="Followed Hyperlink" xfId="1840" builtinId="9" hidden="1"/>
    <cellStyle name="Followed Hyperlink" xfId="1842" builtinId="9" hidden="1"/>
    <cellStyle name="Followed Hyperlink" xfId="1844" builtinId="9" hidden="1"/>
    <cellStyle name="Followed Hyperlink" xfId="1846" builtinId="9" hidden="1"/>
    <cellStyle name="Followed Hyperlink" xfId="1848" builtinId="9" hidden="1"/>
    <cellStyle name="Followed Hyperlink" xfId="1850" builtinId="9" hidden="1"/>
    <cellStyle name="Followed Hyperlink" xfId="1852" builtinId="9" hidden="1"/>
    <cellStyle name="Followed Hyperlink" xfId="1854" builtinId="9" hidden="1"/>
    <cellStyle name="Followed Hyperlink" xfId="1856" builtinId="9" hidden="1"/>
    <cellStyle name="Followed Hyperlink" xfId="1858" builtinId="9" hidden="1"/>
    <cellStyle name="Followed Hyperlink" xfId="1860" builtinId="9" hidden="1"/>
    <cellStyle name="Followed Hyperlink" xfId="1864" builtinId="9" hidden="1"/>
    <cellStyle name="Followed Hyperlink" xfId="1866" builtinId="9" hidden="1"/>
    <cellStyle name="Followed Hyperlink" xfId="1868" builtinId="9" hidden="1"/>
    <cellStyle name="Followed Hyperlink" xfId="1870" builtinId="9" hidden="1"/>
    <cellStyle name="Followed Hyperlink" xfId="1872" builtinId="9" hidden="1"/>
    <cellStyle name="Followed Hyperlink" xfId="1874" builtinId="9" hidden="1"/>
    <cellStyle name="Followed Hyperlink" xfId="1876" builtinId="9" hidden="1"/>
    <cellStyle name="Followed Hyperlink" xfId="1878" builtinId="9" hidden="1"/>
    <cellStyle name="Followed Hyperlink" xfId="1880" builtinId="9" hidden="1"/>
    <cellStyle name="Followed Hyperlink" xfId="1882" builtinId="9" hidden="1"/>
    <cellStyle name="Followed Hyperlink" xfId="1884" builtinId="9" hidden="1"/>
    <cellStyle name="Followed Hyperlink" xfId="1886" builtinId="9" hidden="1"/>
    <cellStyle name="Followed Hyperlink" xfId="1888" builtinId="9" hidden="1"/>
    <cellStyle name="Followed Hyperlink" xfId="1890" builtinId="9" hidden="1"/>
    <cellStyle name="Followed Hyperlink" xfId="1892" builtinId="9" hidden="1"/>
    <cellStyle name="Followed Hyperlink" xfId="1894" builtinId="9" hidden="1"/>
    <cellStyle name="Followed Hyperlink" xfId="1896" builtinId="9" hidden="1"/>
    <cellStyle name="Followed Hyperlink" xfId="1898" builtinId="9" hidden="1"/>
    <cellStyle name="Followed Hyperlink" xfId="1900" builtinId="9" hidden="1"/>
    <cellStyle name="Followed Hyperlink" xfId="1902" builtinId="9" hidden="1"/>
    <cellStyle name="Followed Hyperlink" xfId="1904" builtinId="9" hidden="1"/>
    <cellStyle name="Followed Hyperlink" xfId="1906" builtinId="9" hidden="1"/>
    <cellStyle name="Followed Hyperlink" xfId="1908" builtinId="9" hidden="1"/>
    <cellStyle name="Followed Hyperlink" xfId="1910" builtinId="9" hidden="1"/>
    <cellStyle name="Followed Hyperlink" xfId="1912" builtinId="9" hidden="1"/>
    <cellStyle name="Followed Hyperlink" xfId="1914" builtinId="9" hidden="1"/>
    <cellStyle name="Followed Hyperlink" xfId="1916" builtinId="9" hidden="1"/>
    <cellStyle name="Followed Hyperlink" xfId="1918" builtinId="9" hidden="1"/>
    <cellStyle name="Followed Hyperlink" xfId="1920" builtinId="9" hidden="1"/>
    <cellStyle name="Followed Hyperlink" xfId="1922" builtinId="9" hidden="1"/>
    <cellStyle name="Followed Hyperlink" xfId="1924" builtinId="9" hidden="1"/>
    <cellStyle name="Followed Hyperlink" xfId="1926" builtinId="9" hidden="1"/>
    <cellStyle name="Followed Hyperlink" xfId="1928" builtinId="9" hidden="1"/>
    <cellStyle name="Followed Hyperlink" xfId="1930" builtinId="9" hidden="1"/>
    <cellStyle name="Followed Hyperlink" xfId="1932" builtinId="9" hidden="1"/>
    <cellStyle name="Followed Hyperlink" xfId="1934" builtinId="9" hidden="1"/>
    <cellStyle name="Followed Hyperlink" xfId="1936" builtinId="9" hidden="1"/>
    <cellStyle name="Followed Hyperlink" xfId="1938" builtinId="9" hidden="1"/>
    <cellStyle name="Followed Hyperlink" xfId="1940" builtinId="9" hidden="1"/>
    <cellStyle name="Followed Hyperlink" xfId="1942" builtinId="9" hidden="1"/>
    <cellStyle name="Followed Hyperlink" xfId="1944" builtinId="9" hidden="1"/>
    <cellStyle name="Followed Hyperlink" xfId="1946" builtinId="9" hidden="1"/>
    <cellStyle name="Followed Hyperlink" xfId="1948" builtinId="9" hidden="1"/>
    <cellStyle name="Followed Hyperlink" xfId="1950" builtinId="9" hidden="1"/>
    <cellStyle name="Followed Hyperlink" xfId="1952" builtinId="9" hidden="1"/>
    <cellStyle name="Followed Hyperlink" xfId="1954" builtinId="9" hidden="1"/>
    <cellStyle name="Followed Hyperlink" xfId="1956" builtinId="9" hidden="1"/>
    <cellStyle name="Followed Hyperlink" xfId="1958" builtinId="9" hidden="1"/>
    <cellStyle name="Followed Hyperlink" xfId="1960" builtinId="9" hidden="1"/>
    <cellStyle name="Followed Hyperlink" xfId="1962" builtinId="9" hidden="1"/>
    <cellStyle name="Followed Hyperlink" xfId="1964" builtinId="9" hidden="1"/>
    <cellStyle name="Followed Hyperlink" xfId="1966" builtinId="9" hidden="1"/>
    <cellStyle name="Followed Hyperlink" xfId="1968" builtinId="9" hidden="1"/>
    <cellStyle name="Followed Hyperlink" xfId="1970" builtinId="9" hidden="1"/>
    <cellStyle name="Followed Hyperlink" xfId="1972" builtinId="9" hidden="1"/>
    <cellStyle name="Followed Hyperlink" xfId="1974" builtinId="9" hidden="1"/>
    <cellStyle name="Followed Hyperlink" xfId="1976" builtinId="9" hidden="1"/>
    <cellStyle name="Followed Hyperlink" xfId="1978" builtinId="9" hidden="1"/>
    <cellStyle name="Followed Hyperlink" xfId="1980" builtinId="9" hidden="1"/>
    <cellStyle name="Followed Hyperlink" xfId="1982" builtinId="9" hidden="1"/>
    <cellStyle name="Followed Hyperlink" xfId="1984" builtinId="9" hidden="1"/>
    <cellStyle name="Followed Hyperlink" xfId="1986" builtinId="9" hidden="1"/>
    <cellStyle name="Followed Hyperlink" xfId="1988" builtinId="9" hidden="1"/>
    <cellStyle name="Followed Hyperlink" xfId="1990" builtinId="9" hidden="1"/>
    <cellStyle name="Followed Hyperlink" xfId="1992" builtinId="9" hidden="1"/>
    <cellStyle name="Followed Hyperlink" xfId="1994" builtinId="9" hidden="1"/>
    <cellStyle name="Followed Hyperlink" xfId="1996" builtinId="9" hidden="1"/>
    <cellStyle name="Followed Hyperlink" xfId="1998" builtinId="9" hidden="1"/>
    <cellStyle name="Followed Hyperlink" xfId="2000" builtinId="9" hidden="1"/>
    <cellStyle name="Followed Hyperlink" xfId="2002" builtinId="9" hidden="1"/>
    <cellStyle name="Followed Hyperlink" xfId="2004" builtinId="9" hidden="1"/>
    <cellStyle name="Followed Hyperlink" xfId="2006" builtinId="9" hidden="1"/>
    <cellStyle name="Followed Hyperlink" xfId="2008" builtinId="9" hidden="1"/>
    <cellStyle name="Followed Hyperlink" xfId="2010" builtinId="9" hidden="1"/>
    <cellStyle name="Followed Hyperlink" xfId="2012" builtinId="9" hidden="1"/>
    <cellStyle name="Followed Hyperlink" xfId="2014" builtinId="9" hidden="1"/>
    <cellStyle name="Followed Hyperlink" xfId="2016" builtinId="9" hidden="1"/>
    <cellStyle name="Followed Hyperlink" xfId="2018" builtinId="9" hidden="1"/>
    <cellStyle name="Followed Hyperlink" xfId="2020" builtinId="9" hidden="1"/>
    <cellStyle name="Followed Hyperlink" xfId="2022" builtinId="9" hidden="1"/>
    <cellStyle name="Followed Hyperlink" xfId="2024" builtinId="9" hidden="1"/>
    <cellStyle name="Followed Hyperlink" xfId="2026" builtinId="9" hidden="1"/>
    <cellStyle name="Followed Hyperlink" xfId="2028" builtinId="9" hidden="1"/>
    <cellStyle name="Followed Hyperlink" xfId="2030" builtinId="9" hidden="1"/>
    <cellStyle name="Followed Hyperlink" xfId="2032" builtinId="9" hidden="1"/>
    <cellStyle name="Followed Hyperlink" xfId="2034" builtinId="9" hidden="1"/>
    <cellStyle name="Followed Hyperlink" xfId="2036" builtinId="9" hidden="1"/>
    <cellStyle name="Followed Hyperlink" xfId="2038" builtinId="9" hidden="1"/>
    <cellStyle name="Followed Hyperlink" xfId="2040" builtinId="9" hidden="1"/>
    <cellStyle name="Followed Hyperlink" xfId="2042" builtinId="9" hidden="1"/>
    <cellStyle name="Followed Hyperlink" xfId="2044" builtinId="9" hidden="1"/>
    <cellStyle name="Followed Hyperlink" xfId="2046" builtinId="9" hidden="1"/>
    <cellStyle name="Followed Hyperlink" xfId="2048" builtinId="9" hidden="1"/>
    <cellStyle name="Followed Hyperlink" xfId="2050" builtinId="9" hidden="1"/>
    <cellStyle name="Followed Hyperlink" xfId="2052" builtinId="9" hidden="1"/>
    <cellStyle name="Followed Hyperlink" xfId="2054" builtinId="9" hidden="1"/>
    <cellStyle name="Followed Hyperlink" xfId="2056" builtinId="9" hidden="1"/>
    <cellStyle name="Followed Hyperlink" xfId="2058" builtinId="9" hidden="1"/>
    <cellStyle name="Followed Hyperlink" xfId="2060" builtinId="9" hidden="1"/>
    <cellStyle name="Followed Hyperlink" xfId="2062" builtinId="9" hidden="1"/>
    <cellStyle name="Followed Hyperlink" xfId="2064" builtinId="9" hidden="1"/>
    <cellStyle name="Followed Hyperlink" xfId="2066" builtinId="9" hidden="1"/>
    <cellStyle name="Followed Hyperlink" xfId="2068" builtinId="9" hidden="1"/>
    <cellStyle name="Followed Hyperlink" xfId="2070" builtinId="9" hidden="1"/>
    <cellStyle name="Followed Hyperlink" xfId="2072" builtinId="9" hidden="1"/>
    <cellStyle name="Followed Hyperlink" xfId="2074" builtinId="9" hidden="1"/>
    <cellStyle name="Followed Hyperlink" xfId="2076" builtinId="9" hidden="1"/>
    <cellStyle name="Followed Hyperlink" xfId="2078" builtinId="9" hidden="1"/>
    <cellStyle name="Followed Hyperlink" xfId="2080" builtinId="9" hidden="1"/>
    <cellStyle name="Followed Hyperlink" xfId="2082" builtinId="9" hidden="1"/>
    <cellStyle name="Followed Hyperlink" xfId="2084" builtinId="9" hidden="1"/>
    <cellStyle name="Followed Hyperlink" xfId="2086" builtinId="9" hidden="1"/>
    <cellStyle name="Followed Hyperlink" xfId="2088" builtinId="9" hidden="1"/>
    <cellStyle name="Followed Hyperlink" xfId="2090" builtinId="9" hidden="1"/>
    <cellStyle name="Followed Hyperlink" xfId="2092" builtinId="9" hidden="1"/>
    <cellStyle name="Followed Hyperlink" xfId="2094" builtinId="9" hidden="1"/>
    <cellStyle name="Followed Hyperlink" xfId="2096" builtinId="9" hidden="1"/>
    <cellStyle name="Followed Hyperlink" xfId="2098" builtinId="9" hidden="1"/>
    <cellStyle name="Followed Hyperlink" xfId="2100" builtinId="9" hidden="1"/>
    <cellStyle name="Followed Hyperlink" xfId="2102" builtinId="9" hidden="1"/>
    <cellStyle name="Followed Hyperlink" xfId="2104" builtinId="9" hidden="1"/>
    <cellStyle name="Followed Hyperlink" xfId="2106" builtinId="9" hidden="1"/>
    <cellStyle name="Followed Hyperlink" xfId="2108" builtinId="9" hidden="1"/>
    <cellStyle name="Followed Hyperlink" xfId="2110" builtinId="9" hidden="1"/>
    <cellStyle name="Followed Hyperlink" xfId="2112" builtinId="9" hidden="1"/>
    <cellStyle name="Followed Hyperlink" xfId="2114" builtinId="9" hidden="1"/>
    <cellStyle name="Followed Hyperlink" xfId="2116" builtinId="9" hidden="1"/>
    <cellStyle name="Followed Hyperlink" xfId="2118" builtinId="9" hidden="1"/>
    <cellStyle name="Followed Hyperlink" xfId="2120" builtinId="9" hidden="1"/>
    <cellStyle name="Followed Hyperlink" xfId="2122" builtinId="9" hidden="1"/>
    <cellStyle name="Followed Hyperlink" xfId="2124" builtinId="9" hidden="1"/>
    <cellStyle name="Followed Hyperlink" xfId="2126" builtinId="9" hidden="1"/>
    <cellStyle name="Followed Hyperlink" xfId="2128" builtinId="9" hidden="1"/>
    <cellStyle name="Followed Hyperlink" xfId="2130" builtinId="9" hidden="1"/>
    <cellStyle name="Followed Hyperlink" xfId="2132" builtinId="9" hidden="1"/>
    <cellStyle name="Followed Hyperlink" xfId="2134" builtinId="9" hidden="1"/>
    <cellStyle name="Followed Hyperlink" xfId="2136" builtinId="9" hidden="1"/>
    <cellStyle name="Followed Hyperlink" xfId="2138" builtinId="9" hidden="1"/>
    <cellStyle name="Followed Hyperlink" xfId="2140" builtinId="9" hidden="1"/>
    <cellStyle name="Followed Hyperlink" xfId="2142" builtinId="9" hidden="1"/>
    <cellStyle name="Followed Hyperlink" xfId="2144" builtinId="9" hidden="1"/>
    <cellStyle name="Followed Hyperlink" xfId="2146" builtinId="9" hidden="1"/>
    <cellStyle name="Followed Hyperlink" xfId="2148" builtinId="9" hidden="1"/>
    <cellStyle name="Followed Hyperlink" xfId="2150" builtinId="9" hidden="1"/>
    <cellStyle name="Followed Hyperlink" xfId="2152" builtinId="9" hidden="1"/>
    <cellStyle name="Followed Hyperlink" xfId="2154" builtinId="9" hidden="1"/>
    <cellStyle name="Followed Hyperlink" xfId="2156" builtinId="9" hidden="1"/>
    <cellStyle name="Followed Hyperlink" xfId="2158" builtinId="9" hidden="1"/>
    <cellStyle name="Followed Hyperlink" xfId="2160" builtinId="9" hidden="1"/>
    <cellStyle name="Followed Hyperlink" xfId="2162" builtinId="9" hidden="1"/>
    <cellStyle name="Followed Hyperlink" xfId="2164" builtinId="9" hidden="1"/>
    <cellStyle name="Followed Hyperlink" xfId="2166" builtinId="9" hidden="1"/>
    <cellStyle name="Followed Hyperlink" xfId="2168" builtinId="9" hidden="1"/>
    <cellStyle name="Followed Hyperlink" xfId="2170" builtinId="9" hidden="1"/>
    <cellStyle name="Followed Hyperlink" xfId="2172" builtinId="9" hidden="1"/>
    <cellStyle name="Followed Hyperlink" xfId="2174" builtinId="9" hidden="1"/>
    <cellStyle name="Followed Hyperlink" xfId="2176" builtinId="9" hidden="1"/>
    <cellStyle name="Followed Hyperlink" xfId="2178" builtinId="9" hidden="1"/>
    <cellStyle name="Followed Hyperlink" xfId="2180" builtinId="9" hidden="1"/>
    <cellStyle name="Followed Hyperlink" xfId="2182" builtinId="9" hidden="1"/>
    <cellStyle name="Followed Hyperlink" xfId="2184" builtinId="9" hidden="1"/>
    <cellStyle name="Followed Hyperlink" xfId="2186" builtinId="9" hidden="1"/>
    <cellStyle name="Followed Hyperlink" xfId="2188" builtinId="9" hidden="1"/>
    <cellStyle name="Followed Hyperlink" xfId="2190" builtinId="9" hidden="1"/>
    <cellStyle name="Followed Hyperlink" xfId="2192" builtinId="9" hidden="1"/>
    <cellStyle name="Followed Hyperlink" xfId="2194" builtinId="9" hidden="1"/>
    <cellStyle name="Followed Hyperlink" xfId="2196" builtinId="9" hidden="1"/>
    <cellStyle name="Followed Hyperlink" xfId="2198" builtinId="9" hidden="1"/>
    <cellStyle name="Followed Hyperlink" xfId="2200" builtinId="9" hidden="1"/>
    <cellStyle name="Followed Hyperlink" xfId="2202" builtinId="9" hidden="1"/>
    <cellStyle name="Followed Hyperlink" xfId="2204" builtinId="9" hidden="1"/>
    <cellStyle name="Followed Hyperlink" xfId="2206" builtinId="9" hidden="1"/>
    <cellStyle name="Followed Hyperlink" xfId="2208" builtinId="9" hidden="1"/>
    <cellStyle name="Followed Hyperlink" xfId="2210" builtinId="9" hidden="1"/>
    <cellStyle name="Followed Hyperlink" xfId="2212" builtinId="9" hidden="1"/>
    <cellStyle name="Followed Hyperlink" xfId="2214" builtinId="9" hidden="1"/>
    <cellStyle name="Followed Hyperlink" xfId="2216" builtinId="9" hidden="1"/>
    <cellStyle name="Followed Hyperlink" xfId="2218" builtinId="9" hidden="1"/>
    <cellStyle name="Followed Hyperlink" xfId="2220" builtinId="9" hidden="1"/>
    <cellStyle name="Followed Hyperlink" xfId="2222" builtinId="9" hidden="1"/>
    <cellStyle name="Followed Hyperlink" xfId="2224" builtinId="9" hidden="1"/>
    <cellStyle name="Followed Hyperlink" xfId="2226" builtinId="9" hidden="1"/>
    <cellStyle name="Followed Hyperlink" xfId="2228" builtinId="9" hidden="1"/>
    <cellStyle name="Followed Hyperlink" xfId="2230" builtinId="9" hidden="1"/>
    <cellStyle name="Followed Hyperlink" xfId="2232" builtinId="9" hidden="1"/>
    <cellStyle name="Followed Hyperlink" xfId="2234" builtinId="9" hidden="1"/>
    <cellStyle name="Followed Hyperlink" xfId="2236" builtinId="9" hidden="1"/>
    <cellStyle name="Followed Hyperlink" xfId="2238" builtinId="9" hidden="1"/>
    <cellStyle name="Followed Hyperlink" xfId="2240" builtinId="9" hidden="1"/>
    <cellStyle name="Followed Hyperlink" xfId="2242" builtinId="9" hidden="1"/>
    <cellStyle name="Followed Hyperlink" xfId="2244" builtinId="9" hidden="1"/>
    <cellStyle name="Followed Hyperlink" xfId="2246" builtinId="9" hidden="1"/>
    <cellStyle name="Followed Hyperlink" xfId="2248" builtinId="9" hidden="1"/>
    <cellStyle name="Followed Hyperlink" xfId="2250" builtinId="9" hidden="1"/>
    <cellStyle name="Followed Hyperlink" xfId="2252" builtinId="9" hidden="1"/>
    <cellStyle name="Followed Hyperlink" xfId="2254" builtinId="9" hidden="1"/>
    <cellStyle name="Followed Hyperlink" xfId="2256" builtinId="9" hidden="1"/>
    <cellStyle name="Followed Hyperlink" xfId="2258" builtinId="9" hidden="1"/>
    <cellStyle name="Followed Hyperlink" xfId="2260" builtinId="9" hidden="1"/>
    <cellStyle name="Followed Hyperlink" xfId="2262" builtinId="9" hidden="1"/>
    <cellStyle name="Followed Hyperlink" xfId="2264" builtinId="9" hidden="1"/>
    <cellStyle name="Followed Hyperlink" xfId="2266" builtinId="9" hidden="1"/>
    <cellStyle name="Followed Hyperlink" xfId="2268" builtinId="9" hidden="1"/>
    <cellStyle name="Followed Hyperlink" xfId="2270" builtinId="9" hidden="1"/>
    <cellStyle name="Followed Hyperlink" xfId="2272" builtinId="9" hidden="1"/>
    <cellStyle name="Followed Hyperlink" xfId="2274" builtinId="9" hidden="1"/>
    <cellStyle name="Followed Hyperlink" xfId="2276" builtinId="9" hidden="1"/>
    <cellStyle name="Followed Hyperlink" xfId="2278" builtinId="9" hidden="1"/>
    <cellStyle name="Followed Hyperlink" xfId="2280" builtinId="9" hidden="1"/>
    <cellStyle name="Followed Hyperlink" xfId="2282" builtinId="9" hidden="1"/>
    <cellStyle name="Followed Hyperlink" xfId="2284" builtinId="9" hidden="1"/>
    <cellStyle name="Followed Hyperlink" xfId="2286" builtinId="9" hidden="1"/>
    <cellStyle name="Followed Hyperlink" xfId="2288" builtinId="9" hidden="1"/>
    <cellStyle name="Followed Hyperlink" xfId="2290" builtinId="9" hidden="1"/>
    <cellStyle name="Followed Hyperlink" xfId="2292" builtinId="9" hidden="1"/>
    <cellStyle name="Followed Hyperlink" xfId="2294" builtinId="9" hidden="1"/>
    <cellStyle name="Followed Hyperlink" xfId="2296" builtinId="9" hidden="1"/>
    <cellStyle name="Followed Hyperlink" xfId="2298" builtinId="9" hidden="1"/>
    <cellStyle name="Followed Hyperlink" xfId="2300" builtinId="9" hidden="1"/>
    <cellStyle name="Followed Hyperlink" xfId="2302" builtinId="9" hidden="1"/>
    <cellStyle name="Followed Hyperlink" xfId="2304" builtinId="9" hidden="1"/>
    <cellStyle name="Followed Hyperlink" xfId="2306" builtinId="9" hidden="1"/>
    <cellStyle name="Followed Hyperlink" xfId="2308" builtinId="9" hidden="1"/>
    <cellStyle name="Followed Hyperlink" xfId="2310" builtinId="9" hidden="1"/>
    <cellStyle name="Followed Hyperlink" xfId="2312" builtinId="9" hidden="1"/>
    <cellStyle name="Followed Hyperlink" xfId="2314" builtinId="9" hidden="1"/>
    <cellStyle name="Followed Hyperlink" xfId="2316" builtinId="9" hidden="1"/>
    <cellStyle name="Followed Hyperlink" xfId="2318" builtinId="9" hidden="1"/>
    <cellStyle name="Followed Hyperlink" xfId="2320" builtinId="9" hidden="1"/>
    <cellStyle name="Followed Hyperlink" xfId="2322" builtinId="9" hidden="1"/>
    <cellStyle name="Followed Hyperlink" xfId="2324" builtinId="9" hidden="1"/>
    <cellStyle name="Followed Hyperlink" xfId="2326" builtinId="9" hidden="1"/>
    <cellStyle name="Followed Hyperlink" xfId="2328" builtinId="9" hidden="1"/>
    <cellStyle name="Followed Hyperlink" xfId="2330" builtinId="9" hidden="1"/>
    <cellStyle name="Followed Hyperlink" xfId="2332" builtinId="9" hidden="1"/>
    <cellStyle name="Followed Hyperlink" xfId="2334" builtinId="9" hidden="1"/>
    <cellStyle name="Followed Hyperlink" xfId="2336" builtinId="9" hidden="1"/>
    <cellStyle name="Followed Hyperlink" xfId="2338" builtinId="9" hidden="1"/>
    <cellStyle name="Followed Hyperlink" xfId="2340" builtinId="9" hidden="1"/>
    <cellStyle name="Followed Hyperlink" xfId="2342" builtinId="9" hidden="1"/>
    <cellStyle name="Followed Hyperlink" xfId="2344" builtinId="9" hidden="1"/>
    <cellStyle name="Followed Hyperlink" xfId="2346" builtinId="9" hidden="1"/>
    <cellStyle name="Followed Hyperlink" xfId="2348" builtinId="9" hidden="1"/>
    <cellStyle name="Followed Hyperlink" xfId="2350" builtinId="9" hidden="1"/>
    <cellStyle name="Followed Hyperlink" xfId="2352" builtinId="9" hidden="1"/>
    <cellStyle name="Followed Hyperlink" xfId="2354" builtinId="9" hidden="1"/>
    <cellStyle name="Followed Hyperlink" xfId="2356" builtinId="9" hidden="1"/>
    <cellStyle name="Followed Hyperlink" xfId="2358" builtinId="9" hidden="1"/>
    <cellStyle name="Followed Hyperlink" xfId="2360" builtinId="9" hidden="1"/>
    <cellStyle name="Followed Hyperlink" xfId="2362" builtinId="9" hidden="1"/>
    <cellStyle name="Followed Hyperlink" xfId="2364" builtinId="9" hidden="1"/>
    <cellStyle name="Followed Hyperlink" xfId="2366" builtinId="9" hidden="1"/>
    <cellStyle name="Followed Hyperlink" xfId="2368" builtinId="9" hidden="1"/>
    <cellStyle name="Followed Hyperlink" xfId="2370" builtinId="9" hidden="1"/>
    <cellStyle name="Followed Hyperlink" xfId="2372" builtinId="9" hidden="1"/>
    <cellStyle name="Followed Hyperlink" xfId="2374" builtinId="9" hidden="1"/>
    <cellStyle name="Followed Hyperlink" xfId="2376" builtinId="9" hidden="1"/>
    <cellStyle name="Followed Hyperlink" xfId="2378" builtinId="9" hidden="1"/>
    <cellStyle name="Followed Hyperlink" xfId="2380" builtinId="9" hidden="1"/>
    <cellStyle name="Followed Hyperlink" xfId="2382" builtinId="9" hidden="1"/>
    <cellStyle name="Followed Hyperlink" xfId="2384" builtinId="9" hidden="1"/>
    <cellStyle name="Followed Hyperlink" xfId="2386" builtinId="9" hidden="1"/>
    <cellStyle name="Followed Hyperlink" xfId="2388" builtinId="9" hidden="1"/>
    <cellStyle name="Followed Hyperlink" xfId="2390" builtinId="9" hidden="1"/>
    <cellStyle name="Followed Hyperlink" xfId="2392" builtinId="9" hidden="1"/>
    <cellStyle name="Followed Hyperlink" xfId="2394" builtinId="9" hidden="1"/>
    <cellStyle name="Followed Hyperlink" xfId="2396" builtinId="9" hidden="1"/>
    <cellStyle name="Followed Hyperlink" xfId="2398" builtinId="9" hidden="1"/>
    <cellStyle name="Followed Hyperlink" xfId="2400" builtinId="9" hidden="1"/>
    <cellStyle name="Followed Hyperlink" xfId="2402" builtinId="9" hidden="1"/>
    <cellStyle name="Followed Hyperlink" xfId="2404" builtinId="9" hidden="1"/>
    <cellStyle name="Followed Hyperlink" xfId="2406" builtinId="9" hidden="1"/>
    <cellStyle name="Followed Hyperlink" xfId="2408" builtinId="9" hidden="1"/>
    <cellStyle name="Followed Hyperlink" xfId="2410" builtinId="9" hidden="1"/>
    <cellStyle name="Followed Hyperlink" xfId="2412" builtinId="9" hidden="1"/>
    <cellStyle name="Followed Hyperlink" xfId="2414" builtinId="9" hidden="1"/>
    <cellStyle name="Followed Hyperlink" xfId="2416" builtinId="9" hidden="1"/>
    <cellStyle name="Followed Hyperlink" xfId="2418" builtinId="9" hidden="1"/>
    <cellStyle name="Followed Hyperlink" xfId="2420" builtinId="9" hidden="1"/>
    <cellStyle name="Followed Hyperlink" xfId="2422" builtinId="9" hidden="1"/>
    <cellStyle name="Followed Hyperlink" xfId="2424" builtinId="9" hidden="1"/>
    <cellStyle name="Followed Hyperlink" xfId="2426" builtinId="9" hidden="1"/>
    <cellStyle name="Followed Hyperlink" xfId="2428" builtinId="9" hidden="1"/>
    <cellStyle name="Followed Hyperlink" xfId="2430" builtinId="9" hidden="1"/>
    <cellStyle name="Followed Hyperlink" xfId="2432" builtinId="9" hidden="1"/>
    <cellStyle name="Followed Hyperlink" xfId="2434" builtinId="9" hidden="1"/>
    <cellStyle name="Followed Hyperlink" xfId="2436" builtinId="9" hidden="1"/>
    <cellStyle name="Followed Hyperlink" xfId="2438" builtinId="9" hidden="1"/>
    <cellStyle name="Followed Hyperlink" xfId="2440" builtinId="9" hidden="1"/>
    <cellStyle name="Followed Hyperlink" xfId="2442" builtinId="9" hidden="1"/>
    <cellStyle name="Followed Hyperlink" xfId="2444" builtinId="9" hidden="1"/>
    <cellStyle name="Followed Hyperlink" xfId="2446" builtinId="9" hidden="1"/>
    <cellStyle name="Followed Hyperlink" xfId="2448" builtinId="9" hidden="1"/>
    <cellStyle name="Followed Hyperlink" xfId="2450" builtinId="9" hidden="1"/>
    <cellStyle name="Followed Hyperlink" xfId="2452" builtinId="9" hidden="1"/>
    <cellStyle name="Followed Hyperlink" xfId="2454" builtinId="9" hidden="1"/>
    <cellStyle name="Followed Hyperlink" xfId="2456" builtinId="9" hidden="1"/>
    <cellStyle name="Followed Hyperlink" xfId="2458" builtinId="9" hidden="1"/>
    <cellStyle name="Followed Hyperlink" xfId="2460" builtinId="9" hidden="1"/>
    <cellStyle name="Followed Hyperlink" xfId="2462" builtinId="9" hidden="1"/>
    <cellStyle name="Followed Hyperlink" xfId="2464" builtinId="9" hidden="1"/>
    <cellStyle name="Followed Hyperlink" xfId="2466" builtinId="9" hidden="1"/>
    <cellStyle name="Followed Hyperlink" xfId="2468" builtinId="9" hidden="1"/>
    <cellStyle name="Followed Hyperlink" xfId="2470" builtinId="9" hidden="1"/>
    <cellStyle name="Followed Hyperlink" xfId="2472" builtinId="9" hidden="1"/>
    <cellStyle name="Followed Hyperlink" xfId="2474" builtinId="9" hidden="1"/>
    <cellStyle name="Followed Hyperlink" xfId="2476" builtinId="9" hidden="1"/>
    <cellStyle name="Followed Hyperlink" xfId="2478" builtinId="9" hidden="1"/>
    <cellStyle name="Followed Hyperlink" xfId="2480" builtinId="9" hidden="1"/>
    <cellStyle name="Followed Hyperlink" xfId="2482" builtinId="9" hidden="1"/>
    <cellStyle name="Followed Hyperlink" xfId="2484" builtinId="9" hidden="1"/>
    <cellStyle name="Followed Hyperlink" xfId="2486" builtinId="9" hidden="1"/>
    <cellStyle name="Followed Hyperlink" xfId="2488" builtinId="9" hidden="1"/>
    <cellStyle name="Followed Hyperlink" xfId="2490" builtinId="9" hidden="1"/>
    <cellStyle name="Followed Hyperlink" xfId="2492" builtinId="9" hidden="1"/>
    <cellStyle name="Followed Hyperlink" xfId="2494" builtinId="9" hidden="1"/>
    <cellStyle name="Followed Hyperlink" xfId="2496" builtinId="9" hidden="1"/>
    <cellStyle name="Followed Hyperlink" xfId="2498" builtinId="9" hidden="1"/>
    <cellStyle name="Followed Hyperlink" xfId="2500" builtinId="9" hidden="1"/>
    <cellStyle name="Followed Hyperlink" xfId="2502" builtinId="9" hidden="1"/>
    <cellStyle name="Followed Hyperlink" xfId="2504" builtinId="9" hidden="1"/>
    <cellStyle name="Followed Hyperlink" xfId="2506" builtinId="9" hidden="1"/>
    <cellStyle name="Followed Hyperlink" xfId="2508" builtinId="9" hidden="1"/>
    <cellStyle name="Followed Hyperlink" xfId="2510" builtinId="9" hidden="1"/>
    <cellStyle name="Followed Hyperlink" xfId="2512" builtinId="9" hidden="1"/>
    <cellStyle name="Followed Hyperlink" xfId="2514" builtinId="9" hidden="1"/>
    <cellStyle name="Followed Hyperlink" xfId="2516" builtinId="9" hidden="1"/>
    <cellStyle name="Followed Hyperlink" xfId="2518" builtinId="9" hidden="1"/>
    <cellStyle name="Followed Hyperlink" xfId="2520" builtinId="9" hidden="1"/>
    <cellStyle name="Followed Hyperlink" xfId="2522" builtinId="9" hidden="1"/>
    <cellStyle name="Followed Hyperlink" xfId="2524" builtinId="9" hidden="1"/>
    <cellStyle name="Followed Hyperlink" xfId="2526" builtinId="9" hidden="1"/>
    <cellStyle name="Followed Hyperlink" xfId="2528" builtinId="9" hidden="1"/>
    <cellStyle name="Followed Hyperlink" xfId="2530" builtinId="9" hidden="1"/>
    <cellStyle name="Followed Hyperlink" xfId="2532" builtinId="9" hidden="1"/>
    <cellStyle name="Followed Hyperlink" xfId="2534" builtinId="9" hidden="1"/>
    <cellStyle name="Followed Hyperlink" xfId="2536" builtinId="9" hidden="1"/>
    <cellStyle name="Followed Hyperlink" xfId="2538" builtinId="9" hidden="1"/>
    <cellStyle name="Followed Hyperlink" xfId="2540" builtinId="9" hidden="1"/>
    <cellStyle name="Followed Hyperlink" xfId="2542" builtinId="9" hidden="1"/>
    <cellStyle name="Followed Hyperlink" xfId="2544" builtinId="9" hidden="1"/>
    <cellStyle name="Followed Hyperlink" xfId="2546" builtinId="9" hidden="1"/>
    <cellStyle name="Followed Hyperlink" xfId="2548" builtinId="9" hidden="1"/>
    <cellStyle name="Followed Hyperlink" xfId="2550" builtinId="9" hidden="1"/>
    <cellStyle name="Followed Hyperlink" xfId="2552" builtinId="9" hidden="1"/>
    <cellStyle name="Followed Hyperlink" xfId="2554" builtinId="9" hidden="1"/>
    <cellStyle name="Followed Hyperlink" xfId="2556" builtinId="9" hidden="1"/>
    <cellStyle name="Followed Hyperlink" xfId="2558" builtinId="9" hidden="1"/>
    <cellStyle name="Followed Hyperlink" xfId="2560" builtinId="9" hidden="1"/>
    <cellStyle name="Followed Hyperlink" xfId="2562" builtinId="9" hidden="1"/>
    <cellStyle name="Followed Hyperlink" xfId="2564" builtinId="9" hidden="1"/>
    <cellStyle name="Followed Hyperlink" xfId="2566" builtinId="9" hidden="1"/>
    <cellStyle name="Followed Hyperlink" xfId="2568" builtinId="9" hidden="1"/>
    <cellStyle name="Followed Hyperlink" xfId="2570" builtinId="9" hidden="1"/>
    <cellStyle name="Followed Hyperlink" xfId="2572" builtinId="9" hidden="1"/>
    <cellStyle name="Followed Hyperlink" xfId="2574" builtinId="9" hidden="1"/>
    <cellStyle name="Followed Hyperlink" xfId="2576" builtinId="9" hidden="1"/>
    <cellStyle name="Followed Hyperlink" xfId="2578" builtinId="9" hidden="1"/>
    <cellStyle name="Followed Hyperlink" xfId="2580" builtinId="9" hidden="1"/>
    <cellStyle name="Followed Hyperlink" xfId="2582" builtinId="9" hidden="1"/>
    <cellStyle name="Followed Hyperlink" xfId="2584" builtinId="9" hidden="1"/>
    <cellStyle name="Followed Hyperlink" xfId="2588" builtinId="9" hidden="1"/>
    <cellStyle name="Followed Hyperlink" xfId="2590" builtinId="9" hidden="1"/>
    <cellStyle name="Followed Hyperlink" xfId="2592" builtinId="9" hidden="1"/>
    <cellStyle name="Followed Hyperlink" xfId="2594" builtinId="9" hidden="1"/>
    <cellStyle name="Followed Hyperlink" xfId="2596" builtinId="9" hidden="1"/>
    <cellStyle name="Followed Hyperlink" xfId="2598" builtinId="9" hidden="1"/>
    <cellStyle name="Followed Hyperlink" xfId="2600" builtinId="9" hidden="1"/>
    <cellStyle name="Followed Hyperlink" xfId="2602" builtinId="9" hidden="1"/>
    <cellStyle name="Followed Hyperlink" xfId="2604" builtinId="9" hidden="1"/>
    <cellStyle name="Followed Hyperlink" xfId="2606" builtinId="9" hidden="1"/>
    <cellStyle name="Followed Hyperlink" xfId="2608" builtinId="9" hidden="1"/>
    <cellStyle name="Followed Hyperlink" xfId="2610" builtinId="9" hidden="1"/>
    <cellStyle name="Followed Hyperlink" xfId="2612" builtinId="9" hidden="1"/>
    <cellStyle name="Followed Hyperlink" xfId="2614" builtinId="9" hidden="1"/>
    <cellStyle name="Followed Hyperlink" xfId="2616" builtinId="9" hidden="1"/>
    <cellStyle name="Followed Hyperlink" xfId="2618" builtinId="9" hidden="1"/>
    <cellStyle name="Followed Hyperlink" xfId="2620" builtinId="9" hidden="1"/>
    <cellStyle name="Followed Hyperlink" xfId="2622" builtinId="9" hidden="1"/>
    <cellStyle name="Followed Hyperlink" xfId="2624" builtinId="9" hidden="1"/>
    <cellStyle name="Good" xfId="2585" builtinId="26"/>
    <cellStyle name="Good 2" xfId="1861"/>
    <cellStyle name="Hyperlink" xfId="1" builtinId="8"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7" builtinId="8" hidden="1"/>
    <cellStyle name="Hyperlink" xfId="129" builtinId="8" hidden="1"/>
    <cellStyle name="Hyperlink" xfId="131" builtinId="8" hidden="1"/>
    <cellStyle name="Hyperlink" xfId="133" builtinId="8" hidden="1"/>
    <cellStyle name="Hyperlink" xfId="135" builtinId="8" hidden="1"/>
    <cellStyle name="Hyperlink" xfId="137" builtinId="8" hidden="1"/>
    <cellStyle name="Hyperlink" xfId="139" builtinId="8" hidden="1"/>
    <cellStyle name="Hyperlink" xfId="141" builtinId="8" hidden="1"/>
    <cellStyle name="Hyperlink" xfId="143" builtinId="8" hidden="1"/>
    <cellStyle name="Hyperlink" xfId="145" builtinId="8" hidden="1"/>
    <cellStyle name="Hyperlink" xfId="147" builtinId="8" hidden="1"/>
    <cellStyle name="Hyperlink" xfId="149" builtinId="8" hidden="1"/>
    <cellStyle name="Hyperlink" xfId="151" builtinId="8" hidden="1"/>
    <cellStyle name="Hyperlink" xfId="153" builtinId="8" hidden="1"/>
    <cellStyle name="Hyperlink" xfId="155" builtinId="8" hidden="1"/>
    <cellStyle name="Hyperlink" xfId="157" builtinId="8" hidden="1"/>
    <cellStyle name="Hyperlink" xfId="159" builtinId="8" hidden="1"/>
    <cellStyle name="Hyperlink" xfId="161" builtinId="8" hidden="1"/>
    <cellStyle name="Hyperlink" xfId="163" builtinId="8" hidden="1"/>
    <cellStyle name="Hyperlink" xfId="165" builtinId="8" hidden="1"/>
    <cellStyle name="Hyperlink" xfId="167" builtinId="8" hidden="1"/>
    <cellStyle name="Hyperlink" xfId="169" builtinId="8" hidden="1"/>
    <cellStyle name="Hyperlink" xfId="171" builtinId="8" hidden="1"/>
    <cellStyle name="Hyperlink" xfId="173" builtinId="8" hidden="1"/>
    <cellStyle name="Hyperlink" xfId="175" builtinId="8" hidden="1"/>
    <cellStyle name="Hyperlink" xfId="177" builtinId="8" hidden="1"/>
    <cellStyle name="Hyperlink" xfId="179" builtinId="8" hidden="1"/>
    <cellStyle name="Hyperlink" xfId="181" builtinId="8" hidden="1"/>
    <cellStyle name="Hyperlink" xfId="183" builtinId="8" hidden="1"/>
    <cellStyle name="Hyperlink" xfId="185" builtinId="8" hidden="1"/>
    <cellStyle name="Hyperlink" xfId="187" builtinId="8" hidden="1"/>
    <cellStyle name="Hyperlink" xfId="189" builtinId="8" hidden="1"/>
    <cellStyle name="Hyperlink" xfId="191" builtinId="8" hidden="1"/>
    <cellStyle name="Hyperlink" xfId="193" builtinId="8" hidden="1"/>
    <cellStyle name="Hyperlink" xfId="195" builtinId="8" hidden="1"/>
    <cellStyle name="Hyperlink" xfId="197" builtinId="8" hidden="1"/>
    <cellStyle name="Hyperlink" xfId="199" builtinId="8" hidden="1"/>
    <cellStyle name="Hyperlink" xfId="201" builtinId="8" hidden="1"/>
    <cellStyle name="Hyperlink" xfId="203" builtinId="8" hidden="1"/>
    <cellStyle name="Hyperlink" xfId="205" builtinId="8" hidden="1"/>
    <cellStyle name="Hyperlink" xfId="207" builtinId="8" hidden="1"/>
    <cellStyle name="Hyperlink" xfId="209" builtinId="8" hidden="1"/>
    <cellStyle name="Hyperlink" xfId="211" builtinId="8" hidden="1"/>
    <cellStyle name="Hyperlink" xfId="213" builtinId="8" hidden="1"/>
    <cellStyle name="Hyperlink" xfId="215" builtinId="8" hidden="1"/>
    <cellStyle name="Hyperlink" xfId="217" builtinId="8" hidden="1"/>
    <cellStyle name="Hyperlink" xfId="219" builtinId="8" hidden="1"/>
    <cellStyle name="Hyperlink" xfId="221" builtinId="8" hidden="1"/>
    <cellStyle name="Hyperlink" xfId="223" builtinId="8" hidden="1"/>
    <cellStyle name="Hyperlink" xfId="225" builtinId="8" hidden="1"/>
    <cellStyle name="Hyperlink" xfId="227" builtinId="8" hidden="1"/>
    <cellStyle name="Hyperlink" xfId="229" builtinId="8" hidden="1"/>
    <cellStyle name="Hyperlink" xfId="231" builtinId="8" hidden="1"/>
    <cellStyle name="Hyperlink" xfId="233" builtinId="8" hidden="1"/>
    <cellStyle name="Hyperlink" xfId="235" builtinId="8" hidden="1"/>
    <cellStyle name="Hyperlink" xfId="237" builtinId="8" hidden="1"/>
    <cellStyle name="Hyperlink" xfId="239" builtinId="8" hidden="1"/>
    <cellStyle name="Hyperlink" xfId="241" builtinId="8" hidden="1"/>
    <cellStyle name="Hyperlink" xfId="243" builtinId="8" hidden="1"/>
    <cellStyle name="Hyperlink" xfId="245" builtinId="8" hidden="1"/>
    <cellStyle name="Hyperlink" xfId="247" builtinId="8" hidden="1"/>
    <cellStyle name="Hyperlink" xfId="249" builtinId="8" hidden="1"/>
    <cellStyle name="Hyperlink" xfId="251" builtinId="8" hidden="1"/>
    <cellStyle name="Hyperlink" xfId="253" builtinId="8" hidden="1"/>
    <cellStyle name="Hyperlink" xfId="255" builtinId="8" hidden="1"/>
    <cellStyle name="Hyperlink" xfId="257" builtinId="8" hidden="1"/>
    <cellStyle name="Hyperlink" xfId="259" builtinId="8" hidden="1"/>
    <cellStyle name="Hyperlink" xfId="261" builtinId="8" hidden="1"/>
    <cellStyle name="Hyperlink" xfId="263" builtinId="8" hidden="1"/>
    <cellStyle name="Hyperlink" xfId="265" builtinId="8" hidden="1"/>
    <cellStyle name="Hyperlink" xfId="267" builtinId="8" hidden="1"/>
    <cellStyle name="Hyperlink" xfId="269" builtinId="8" hidden="1"/>
    <cellStyle name="Hyperlink" xfId="271" builtinId="8" hidden="1"/>
    <cellStyle name="Hyperlink" xfId="273" builtinId="8" hidden="1"/>
    <cellStyle name="Hyperlink" xfId="275" builtinId="8" hidden="1"/>
    <cellStyle name="Hyperlink" xfId="277" builtinId="8" hidden="1"/>
    <cellStyle name="Hyperlink" xfId="279" builtinId="8" hidden="1"/>
    <cellStyle name="Hyperlink" xfId="281" builtinId="8" hidden="1"/>
    <cellStyle name="Hyperlink" xfId="283" builtinId="8" hidden="1"/>
    <cellStyle name="Hyperlink" xfId="285" builtinId="8" hidden="1"/>
    <cellStyle name="Hyperlink" xfId="287" builtinId="8" hidden="1"/>
    <cellStyle name="Hyperlink" xfId="289" builtinId="8" hidden="1"/>
    <cellStyle name="Hyperlink" xfId="291" builtinId="8" hidden="1"/>
    <cellStyle name="Hyperlink" xfId="293" builtinId="8" hidden="1"/>
    <cellStyle name="Hyperlink" xfId="295" builtinId="8" hidden="1"/>
    <cellStyle name="Hyperlink" xfId="297" builtinId="8" hidden="1"/>
    <cellStyle name="Hyperlink" xfId="299" builtinId="8" hidden="1"/>
    <cellStyle name="Hyperlink" xfId="301" builtinId="8" hidden="1"/>
    <cellStyle name="Hyperlink" xfId="303" builtinId="8" hidden="1"/>
    <cellStyle name="Hyperlink" xfId="305" builtinId="8" hidden="1"/>
    <cellStyle name="Hyperlink" xfId="307" builtinId="8" hidden="1"/>
    <cellStyle name="Hyperlink" xfId="309" builtinId="8" hidden="1"/>
    <cellStyle name="Hyperlink" xfId="311" builtinId="8" hidden="1"/>
    <cellStyle name="Hyperlink" xfId="313" builtinId="8" hidden="1"/>
    <cellStyle name="Hyperlink" xfId="315" builtinId="8" hidden="1"/>
    <cellStyle name="Hyperlink" xfId="317" builtinId="8" hidden="1"/>
    <cellStyle name="Hyperlink" xfId="319" builtinId="8" hidden="1"/>
    <cellStyle name="Hyperlink" xfId="321" builtinId="8" hidden="1"/>
    <cellStyle name="Hyperlink" xfId="323" builtinId="8" hidden="1"/>
    <cellStyle name="Hyperlink" xfId="325" builtinId="8" hidden="1"/>
    <cellStyle name="Hyperlink" xfId="327" builtinId="8" hidden="1"/>
    <cellStyle name="Hyperlink" xfId="329" builtinId="8" hidden="1"/>
    <cellStyle name="Hyperlink" xfId="331" builtinId="8" hidden="1"/>
    <cellStyle name="Hyperlink" xfId="333" builtinId="8" hidden="1"/>
    <cellStyle name="Hyperlink" xfId="335" builtinId="8" hidden="1"/>
    <cellStyle name="Hyperlink" xfId="337" builtinId="8" hidden="1"/>
    <cellStyle name="Hyperlink" xfId="339" builtinId="8" hidden="1"/>
    <cellStyle name="Hyperlink" xfId="341" builtinId="8" hidden="1"/>
    <cellStyle name="Hyperlink" xfId="343" builtinId="8" hidden="1"/>
    <cellStyle name="Hyperlink" xfId="345" builtinId="8" hidden="1"/>
    <cellStyle name="Hyperlink" xfId="347" builtinId="8" hidden="1"/>
    <cellStyle name="Hyperlink" xfId="349" builtinId="8" hidden="1"/>
    <cellStyle name="Hyperlink" xfId="351" builtinId="8" hidden="1"/>
    <cellStyle name="Hyperlink" xfId="353" builtinId="8" hidden="1"/>
    <cellStyle name="Hyperlink" xfId="355" builtinId="8" hidden="1"/>
    <cellStyle name="Hyperlink" xfId="357" builtinId="8" hidden="1"/>
    <cellStyle name="Hyperlink" xfId="359" builtinId="8" hidden="1"/>
    <cellStyle name="Hyperlink" xfId="361" builtinId="8" hidden="1"/>
    <cellStyle name="Hyperlink" xfId="363" builtinId="8" hidden="1"/>
    <cellStyle name="Hyperlink" xfId="365" builtinId="8" hidden="1"/>
    <cellStyle name="Hyperlink" xfId="367" builtinId="8" hidden="1"/>
    <cellStyle name="Hyperlink" xfId="369" builtinId="8" hidden="1"/>
    <cellStyle name="Hyperlink" xfId="371" builtinId="8" hidden="1"/>
    <cellStyle name="Hyperlink" xfId="373" builtinId="8" hidden="1"/>
    <cellStyle name="Hyperlink" xfId="375" builtinId="8" hidden="1"/>
    <cellStyle name="Hyperlink" xfId="377" builtinId="8" hidden="1"/>
    <cellStyle name="Hyperlink" xfId="379" builtinId="8" hidden="1"/>
    <cellStyle name="Hyperlink" xfId="381" builtinId="8" hidden="1"/>
    <cellStyle name="Hyperlink" xfId="383" builtinId="8" hidden="1"/>
    <cellStyle name="Hyperlink" xfId="385" builtinId="8" hidden="1"/>
    <cellStyle name="Hyperlink" xfId="387" builtinId="8" hidden="1"/>
    <cellStyle name="Hyperlink" xfId="389" builtinId="8" hidden="1"/>
    <cellStyle name="Hyperlink" xfId="391" builtinId="8" hidden="1"/>
    <cellStyle name="Hyperlink" xfId="393" builtinId="8" hidden="1"/>
    <cellStyle name="Hyperlink" xfId="395" builtinId="8" hidden="1"/>
    <cellStyle name="Hyperlink" xfId="397" builtinId="8" hidden="1"/>
    <cellStyle name="Hyperlink" xfId="399" builtinId="8" hidden="1"/>
    <cellStyle name="Hyperlink" xfId="401" builtinId="8" hidden="1"/>
    <cellStyle name="Hyperlink" xfId="403" builtinId="8" hidden="1"/>
    <cellStyle name="Hyperlink" xfId="405" builtinId="8" hidden="1"/>
    <cellStyle name="Hyperlink" xfId="407" builtinId="8" hidden="1"/>
    <cellStyle name="Hyperlink" xfId="409" builtinId="8" hidden="1"/>
    <cellStyle name="Hyperlink" xfId="411" builtinId="8" hidden="1"/>
    <cellStyle name="Hyperlink" xfId="413" builtinId="8" hidden="1"/>
    <cellStyle name="Hyperlink" xfId="415" builtinId="8" hidden="1"/>
    <cellStyle name="Hyperlink" xfId="417" builtinId="8" hidden="1"/>
    <cellStyle name="Hyperlink" xfId="419" builtinId="8" hidden="1"/>
    <cellStyle name="Hyperlink" xfId="421" builtinId="8" hidden="1"/>
    <cellStyle name="Hyperlink" xfId="423" builtinId="8" hidden="1"/>
    <cellStyle name="Hyperlink" xfId="425" builtinId="8" hidden="1"/>
    <cellStyle name="Hyperlink" xfId="427" builtinId="8" hidden="1"/>
    <cellStyle name="Hyperlink" xfId="429" builtinId="8" hidden="1"/>
    <cellStyle name="Hyperlink" xfId="431" builtinId="8" hidden="1"/>
    <cellStyle name="Hyperlink" xfId="433" builtinId="8" hidden="1"/>
    <cellStyle name="Hyperlink" xfId="435" builtinId="8" hidden="1"/>
    <cellStyle name="Hyperlink" xfId="437" builtinId="8" hidden="1"/>
    <cellStyle name="Hyperlink" xfId="439" builtinId="8" hidden="1"/>
    <cellStyle name="Hyperlink" xfId="441" builtinId="8" hidden="1"/>
    <cellStyle name="Hyperlink" xfId="443" builtinId="8" hidden="1"/>
    <cellStyle name="Hyperlink" xfId="445" builtinId="8" hidden="1"/>
    <cellStyle name="Hyperlink" xfId="447" builtinId="8" hidden="1"/>
    <cellStyle name="Hyperlink" xfId="449" builtinId="8" hidden="1"/>
    <cellStyle name="Hyperlink" xfId="451" builtinId="8" hidden="1"/>
    <cellStyle name="Hyperlink" xfId="453" builtinId="8" hidden="1"/>
    <cellStyle name="Hyperlink" xfId="455" builtinId="8" hidden="1"/>
    <cellStyle name="Hyperlink" xfId="457" builtinId="8" hidden="1"/>
    <cellStyle name="Hyperlink" xfId="459" builtinId="8" hidden="1"/>
    <cellStyle name="Hyperlink" xfId="461" builtinId="8" hidden="1"/>
    <cellStyle name="Hyperlink" xfId="463" builtinId="8" hidden="1"/>
    <cellStyle name="Hyperlink" xfId="465" builtinId="8" hidden="1"/>
    <cellStyle name="Hyperlink" xfId="467" builtinId="8" hidden="1"/>
    <cellStyle name="Hyperlink" xfId="469" builtinId="8" hidden="1"/>
    <cellStyle name="Hyperlink" xfId="471" builtinId="8" hidden="1"/>
    <cellStyle name="Hyperlink" xfId="473" builtinId="8" hidden="1"/>
    <cellStyle name="Hyperlink" xfId="475" builtinId="8" hidden="1"/>
    <cellStyle name="Hyperlink" xfId="477" builtinId="8" hidden="1"/>
    <cellStyle name="Hyperlink" xfId="479" builtinId="8" hidden="1"/>
    <cellStyle name="Hyperlink" xfId="481" builtinId="8" hidden="1"/>
    <cellStyle name="Hyperlink" xfId="483" builtinId="8" hidden="1"/>
    <cellStyle name="Hyperlink" xfId="485" builtinId="8" hidden="1"/>
    <cellStyle name="Hyperlink" xfId="487" builtinId="8" hidden="1"/>
    <cellStyle name="Hyperlink" xfId="489" builtinId="8" hidden="1"/>
    <cellStyle name="Hyperlink" xfId="491" builtinId="8" hidden="1"/>
    <cellStyle name="Hyperlink" xfId="493" builtinId="8" hidden="1"/>
    <cellStyle name="Hyperlink" xfId="495" builtinId="8" hidden="1"/>
    <cellStyle name="Hyperlink" xfId="497" builtinId="8" hidden="1"/>
    <cellStyle name="Hyperlink" xfId="499" builtinId="8" hidden="1"/>
    <cellStyle name="Hyperlink" xfId="501" builtinId="8" hidden="1"/>
    <cellStyle name="Hyperlink" xfId="503" builtinId="8" hidden="1"/>
    <cellStyle name="Hyperlink" xfId="505" builtinId="8" hidden="1"/>
    <cellStyle name="Hyperlink" xfId="507" builtinId="8" hidden="1"/>
    <cellStyle name="Hyperlink" xfId="509" builtinId="8" hidden="1"/>
    <cellStyle name="Hyperlink" xfId="511" builtinId="8" hidden="1"/>
    <cellStyle name="Hyperlink" xfId="513" builtinId="8" hidden="1"/>
    <cellStyle name="Hyperlink" xfId="515" builtinId="8" hidden="1"/>
    <cellStyle name="Hyperlink" xfId="517" builtinId="8" hidden="1"/>
    <cellStyle name="Hyperlink" xfId="519" builtinId="8" hidden="1"/>
    <cellStyle name="Hyperlink" xfId="521" builtinId="8" hidden="1"/>
    <cellStyle name="Hyperlink" xfId="523" builtinId="8" hidden="1"/>
    <cellStyle name="Hyperlink" xfId="525" builtinId="8" hidden="1"/>
    <cellStyle name="Hyperlink" xfId="527" builtinId="8" hidden="1"/>
    <cellStyle name="Hyperlink" xfId="529" builtinId="8" hidden="1"/>
    <cellStyle name="Hyperlink" xfId="531" builtinId="8" hidden="1"/>
    <cellStyle name="Hyperlink" xfId="533" builtinId="8" hidden="1"/>
    <cellStyle name="Hyperlink" xfId="535" builtinId="8" hidden="1"/>
    <cellStyle name="Hyperlink" xfId="537" builtinId="8" hidden="1"/>
    <cellStyle name="Hyperlink" xfId="539" builtinId="8" hidden="1"/>
    <cellStyle name="Hyperlink" xfId="541" builtinId="8" hidden="1"/>
    <cellStyle name="Hyperlink" xfId="543" builtinId="8" hidden="1"/>
    <cellStyle name="Hyperlink" xfId="545" builtinId="8" hidden="1"/>
    <cellStyle name="Hyperlink" xfId="547" builtinId="8" hidden="1"/>
    <cellStyle name="Hyperlink" xfId="549" builtinId="8" hidden="1"/>
    <cellStyle name="Hyperlink" xfId="551" builtinId="8" hidden="1"/>
    <cellStyle name="Hyperlink" xfId="553" builtinId="8" hidden="1"/>
    <cellStyle name="Hyperlink" xfId="555" builtinId="8" hidden="1"/>
    <cellStyle name="Hyperlink" xfId="557" builtinId="8" hidden="1"/>
    <cellStyle name="Hyperlink" xfId="559" builtinId="8" hidden="1"/>
    <cellStyle name="Hyperlink" xfId="561" builtinId="8" hidden="1"/>
    <cellStyle name="Hyperlink" xfId="563" builtinId="8" hidden="1"/>
    <cellStyle name="Hyperlink" xfId="565" builtinId="8" hidden="1"/>
    <cellStyle name="Hyperlink" xfId="567" builtinId="8" hidden="1"/>
    <cellStyle name="Hyperlink" xfId="569" builtinId="8" hidden="1"/>
    <cellStyle name="Hyperlink" xfId="571" builtinId="8" hidden="1"/>
    <cellStyle name="Hyperlink" xfId="573" builtinId="8" hidden="1"/>
    <cellStyle name="Hyperlink" xfId="575" builtinId="8" hidden="1"/>
    <cellStyle name="Hyperlink" xfId="577" builtinId="8" hidden="1"/>
    <cellStyle name="Hyperlink" xfId="579" builtinId="8" hidden="1"/>
    <cellStyle name="Hyperlink" xfId="581" builtinId="8" hidden="1"/>
    <cellStyle name="Hyperlink" xfId="583" builtinId="8" hidden="1"/>
    <cellStyle name="Hyperlink" xfId="585" builtinId="8" hidden="1"/>
    <cellStyle name="Hyperlink" xfId="587" builtinId="8" hidden="1"/>
    <cellStyle name="Hyperlink" xfId="589" builtinId="8" hidden="1"/>
    <cellStyle name="Hyperlink" xfId="591" builtinId="8" hidden="1"/>
    <cellStyle name="Hyperlink" xfId="593" builtinId="8" hidden="1"/>
    <cellStyle name="Hyperlink" xfId="595" builtinId="8" hidden="1"/>
    <cellStyle name="Hyperlink" xfId="597" builtinId="8" hidden="1"/>
    <cellStyle name="Hyperlink" xfId="599" builtinId="8" hidden="1"/>
    <cellStyle name="Hyperlink" xfId="601" builtinId="8" hidden="1"/>
    <cellStyle name="Hyperlink" xfId="603" builtinId="8" hidden="1"/>
    <cellStyle name="Hyperlink" xfId="605" builtinId="8" hidden="1"/>
    <cellStyle name="Hyperlink" xfId="607" builtinId="8" hidden="1"/>
    <cellStyle name="Hyperlink" xfId="609" builtinId="8" hidden="1"/>
    <cellStyle name="Hyperlink" xfId="611" builtinId="8" hidden="1"/>
    <cellStyle name="Hyperlink" xfId="613" builtinId="8" hidden="1"/>
    <cellStyle name="Hyperlink" xfId="615" builtinId="8" hidden="1"/>
    <cellStyle name="Hyperlink" xfId="617" builtinId="8" hidden="1"/>
    <cellStyle name="Hyperlink" xfId="619" builtinId="8" hidden="1"/>
    <cellStyle name="Hyperlink" xfId="621" builtinId="8" hidden="1"/>
    <cellStyle name="Hyperlink" xfId="623" builtinId="8" hidden="1"/>
    <cellStyle name="Hyperlink" xfId="625" builtinId="8" hidden="1"/>
    <cellStyle name="Hyperlink" xfId="627" builtinId="8" hidden="1"/>
    <cellStyle name="Hyperlink" xfId="629" builtinId="8" hidden="1"/>
    <cellStyle name="Hyperlink" xfId="631" builtinId="8" hidden="1"/>
    <cellStyle name="Hyperlink" xfId="633" builtinId="8" hidden="1"/>
    <cellStyle name="Hyperlink" xfId="635" builtinId="8" hidden="1"/>
    <cellStyle name="Hyperlink" xfId="637" builtinId="8" hidden="1"/>
    <cellStyle name="Hyperlink" xfId="639" builtinId="8" hidden="1"/>
    <cellStyle name="Hyperlink" xfId="641" builtinId="8" hidden="1"/>
    <cellStyle name="Hyperlink" xfId="643" builtinId="8" hidden="1"/>
    <cellStyle name="Hyperlink" xfId="645" builtinId="8" hidden="1"/>
    <cellStyle name="Hyperlink" xfId="647" builtinId="8" hidden="1"/>
    <cellStyle name="Hyperlink" xfId="649" builtinId="8" hidden="1"/>
    <cellStyle name="Hyperlink" xfId="651" builtinId="8" hidden="1"/>
    <cellStyle name="Hyperlink" xfId="653" builtinId="8" hidden="1"/>
    <cellStyle name="Hyperlink" xfId="655" builtinId="8" hidden="1"/>
    <cellStyle name="Hyperlink" xfId="657" builtinId="8" hidden="1"/>
    <cellStyle name="Hyperlink" xfId="659" builtinId="8" hidden="1"/>
    <cellStyle name="Hyperlink" xfId="661" builtinId="8" hidden="1"/>
    <cellStyle name="Hyperlink" xfId="663" builtinId="8" hidden="1"/>
    <cellStyle name="Hyperlink" xfId="665" builtinId="8" hidden="1"/>
    <cellStyle name="Hyperlink" xfId="667" builtinId="8" hidden="1"/>
    <cellStyle name="Hyperlink" xfId="669" builtinId="8" hidden="1"/>
    <cellStyle name="Hyperlink" xfId="671" builtinId="8" hidden="1"/>
    <cellStyle name="Hyperlink" xfId="673" builtinId="8" hidden="1"/>
    <cellStyle name="Hyperlink" xfId="675" builtinId="8" hidden="1"/>
    <cellStyle name="Hyperlink" xfId="677" builtinId="8" hidden="1"/>
    <cellStyle name="Hyperlink" xfId="679" builtinId="8" hidden="1"/>
    <cellStyle name="Hyperlink" xfId="681" builtinId="8" hidden="1"/>
    <cellStyle name="Hyperlink" xfId="683" builtinId="8" hidden="1"/>
    <cellStyle name="Hyperlink" xfId="685" builtinId="8" hidden="1"/>
    <cellStyle name="Hyperlink" xfId="687" builtinId="8" hidden="1"/>
    <cellStyle name="Hyperlink" xfId="689" builtinId="8" hidden="1"/>
    <cellStyle name="Hyperlink" xfId="691" builtinId="8" hidden="1"/>
    <cellStyle name="Hyperlink" xfId="693" builtinId="8" hidden="1"/>
    <cellStyle name="Hyperlink" xfId="695" builtinId="8" hidden="1"/>
    <cellStyle name="Hyperlink" xfId="697" builtinId="8" hidden="1"/>
    <cellStyle name="Hyperlink" xfId="699" builtinId="8" hidden="1"/>
    <cellStyle name="Hyperlink" xfId="701" builtinId="8" hidden="1"/>
    <cellStyle name="Hyperlink" xfId="703" builtinId="8" hidden="1"/>
    <cellStyle name="Hyperlink" xfId="705" builtinId="8" hidden="1"/>
    <cellStyle name="Hyperlink" xfId="707" builtinId="8" hidden="1"/>
    <cellStyle name="Hyperlink" xfId="709" builtinId="8" hidden="1"/>
    <cellStyle name="Hyperlink" xfId="711" builtinId="8" hidden="1"/>
    <cellStyle name="Hyperlink" xfId="713" builtinId="8" hidden="1"/>
    <cellStyle name="Hyperlink" xfId="715" builtinId="8" hidden="1"/>
    <cellStyle name="Hyperlink" xfId="717" builtinId="8" hidden="1"/>
    <cellStyle name="Hyperlink" xfId="719" builtinId="8" hidden="1"/>
    <cellStyle name="Hyperlink" xfId="721" builtinId="8" hidden="1"/>
    <cellStyle name="Hyperlink" xfId="723" builtinId="8" hidden="1"/>
    <cellStyle name="Hyperlink" xfId="725" builtinId="8" hidden="1"/>
    <cellStyle name="Hyperlink" xfId="727" builtinId="8" hidden="1"/>
    <cellStyle name="Hyperlink" xfId="729" builtinId="8" hidden="1"/>
    <cellStyle name="Hyperlink" xfId="731" builtinId="8" hidden="1"/>
    <cellStyle name="Hyperlink" xfId="733" builtinId="8" hidden="1"/>
    <cellStyle name="Hyperlink" xfId="735" builtinId="8" hidden="1"/>
    <cellStyle name="Hyperlink" xfId="737" builtinId="8" hidden="1"/>
    <cellStyle name="Hyperlink" xfId="739" builtinId="8" hidden="1"/>
    <cellStyle name="Hyperlink" xfId="741" builtinId="8" hidden="1"/>
    <cellStyle name="Hyperlink" xfId="743" builtinId="8" hidden="1"/>
    <cellStyle name="Hyperlink" xfId="745" builtinId="8" hidden="1"/>
    <cellStyle name="Hyperlink" xfId="747" builtinId="8" hidden="1"/>
    <cellStyle name="Hyperlink" xfId="749" builtinId="8" hidden="1"/>
    <cellStyle name="Hyperlink" xfId="751" builtinId="8" hidden="1"/>
    <cellStyle name="Hyperlink" xfId="753" builtinId="8" hidden="1"/>
    <cellStyle name="Hyperlink" xfId="755" builtinId="8" hidden="1"/>
    <cellStyle name="Hyperlink" xfId="757" builtinId="8" hidden="1"/>
    <cellStyle name="Hyperlink" xfId="759" builtinId="8" hidden="1"/>
    <cellStyle name="Hyperlink" xfId="761" builtinId="8" hidden="1"/>
    <cellStyle name="Hyperlink" xfId="763" builtinId="8" hidden="1"/>
    <cellStyle name="Hyperlink" xfId="765" builtinId="8" hidden="1"/>
    <cellStyle name="Hyperlink" xfId="767" builtinId="8" hidden="1"/>
    <cellStyle name="Hyperlink" xfId="769" builtinId="8" hidden="1"/>
    <cellStyle name="Hyperlink" xfId="771" builtinId="8" hidden="1"/>
    <cellStyle name="Hyperlink" xfId="773" builtinId="8" hidden="1"/>
    <cellStyle name="Hyperlink" xfId="775" builtinId="8" hidden="1"/>
    <cellStyle name="Hyperlink" xfId="777" builtinId="8" hidden="1"/>
    <cellStyle name="Hyperlink" xfId="779" builtinId="8" hidden="1"/>
    <cellStyle name="Hyperlink" xfId="781" builtinId="8" hidden="1"/>
    <cellStyle name="Hyperlink" xfId="783" builtinId="8" hidden="1"/>
    <cellStyle name="Hyperlink" xfId="785" builtinId="8" hidden="1"/>
    <cellStyle name="Hyperlink" xfId="787" builtinId="8" hidden="1"/>
    <cellStyle name="Hyperlink" xfId="789" builtinId="8" hidden="1"/>
    <cellStyle name="Hyperlink" xfId="791" builtinId="8" hidden="1"/>
    <cellStyle name="Hyperlink" xfId="793" builtinId="8" hidden="1"/>
    <cellStyle name="Hyperlink" xfId="795" builtinId="8" hidden="1"/>
    <cellStyle name="Hyperlink" xfId="797" builtinId="8" hidden="1"/>
    <cellStyle name="Hyperlink" xfId="799" builtinId="8" hidden="1"/>
    <cellStyle name="Hyperlink" xfId="801" builtinId="8" hidden="1"/>
    <cellStyle name="Hyperlink" xfId="803" builtinId="8" hidden="1"/>
    <cellStyle name="Hyperlink" xfId="805" builtinId="8" hidden="1"/>
    <cellStyle name="Hyperlink" xfId="807" builtinId="8" hidden="1"/>
    <cellStyle name="Hyperlink" xfId="809" builtinId="8" hidden="1"/>
    <cellStyle name="Hyperlink" xfId="811" builtinId="8" hidden="1"/>
    <cellStyle name="Hyperlink" xfId="813" builtinId="8" hidden="1"/>
    <cellStyle name="Hyperlink" xfId="815" builtinId="8" hidden="1"/>
    <cellStyle name="Hyperlink" xfId="817" builtinId="8" hidden="1"/>
    <cellStyle name="Hyperlink" xfId="819" builtinId="8" hidden="1"/>
    <cellStyle name="Hyperlink" xfId="821" builtinId="8" hidden="1"/>
    <cellStyle name="Hyperlink" xfId="823" builtinId="8" hidden="1"/>
    <cellStyle name="Hyperlink" xfId="825" builtinId="8" hidden="1"/>
    <cellStyle name="Hyperlink" xfId="827" builtinId="8" hidden="1"/>
    <cellStyle name="Hyperlink" xfId="829" builtinId="8" hidden="1"/>
    <cellStyle name="Hyperlink" xfId="831" builtinId="8" hidden="1"/>
    <cellStyle name="Hyperlink" xfId="833" builtinId="8" hidden="1"/>
    <cellStyle name="Hyperlink" xfId="835" builtinId="8" hidden="1"/>
    <cellStyle name="Hyperlink" xfId="837" builtinId="8" hidden="1"/>
    <cellStyle name="Hyperlink" xfId="839" builtinId="8" hidden="1"/>
    <cellStyle name="Hyperlink" xfId="841" builtinId="8" hidden="1"/>
    <cellStyle name="Hyperlink" xfId="843" builtinId="8" hidden="1"/>
    <cellStyle name="Hyperlink" xfId="845" builtinId="8" hidden="1"/>
    <cellStyle name="Hyperlink" xfId="847" builtinId="8" hidden="1"/>
    <cellStyle name="Hyperlink" xfId="849" builtinId="8" hidden="1"/>
    <cellStyle name="Hyperlink" xfId="851" builtinId="8" hidden="1"/>
    <cellStyle name="Hyperlink" xfId="853" builtinId="8" hidden="1"/>
    <cellStyle name="Hyperlink" xfId="855" builtinId="8" hidden="1"/>
    <cellStyle name="Hyperlink" xfId="857" builtinId="8" hidden="1"/>
    <cellStyle name="Hyperlink" xfId="859" builtinId="8" hidden="1"/>
    <cellStyle name="Hyperlink" xfId="861" builtinId="8" hidden="1"/>
    <cellStyle name="Hyperlink" xfId="863" builtinId="8" hidden="1"/>
    <cellStyle name="Hyperlink" xfId="865" builtinId="8" hidden="1"/>
    <cellStyle name="Hyperlink" xfId="867" builtinId="8" hidden="1"/>
    <cellStyle name="Hyperlink" xfId="869" builtinId="8" hidden="1"/>
    <cellStyle name="Hyperlink" xfId="871" builtinId="8" hidden="1"/>
    <cellStyle name="Hyperlink" xfId="873" builtinId="8" hidden="1"/>
    <cellStyle name="Hyperlink" xfId="875" builtinId="8" hidden="1"/>
    <cellStyle name="Hyperlink" xfId="877" builtinId="8" hidden="1"/>
    <cellStyle name="Hyperlink" xfId="879" builtinId="8" hidden="1"/>
    <cellStyle name="Hyperlink" xfId="881" builtinId="8" hidden="1"/>
    <cellStyle name="Hyperlink" xfId="883" builtinId="8" hidden="1"/>
    <cellStyle name="Hyperlink" xfId="885" builtinId="8" hidden="1"/>
    <cellStyle name="Hyperlink" xfId="887" builtinId="8" hidden="1"/>
    <cellStyle name="Hyperlink" xfId="889" builtinId="8" hidden="1"/>
    <cellStyle name="Hyperlink" xfId="891" builtinId="8" hidden="1"/>
    <cellStyle name="Hyperlink" xfId="893" builtinId="8" hidden="1"/>
    <cellStyle name="Hyperlink" xfId="895" builtinId="8" hidden="1"/>
    <cellStyle name="Hyperlink" xfId="897" builtinId="8" hidden="1"/>
    <cellStyle name="Hyperlink" xfId="899" builtinId="8" hidden="1"/>
    <cellStyle name="Hyperlink" xfId="901" builtinId="8" hidden="1"/>
    <cellStyle name="Hyperlink" xfId="903" builtinId="8" hidden="1"/>
    <cellStyle name="Hyperlink" xfId="905" builtinId="8" hidden="1"/>
    <cellStyle name="Hyperlink" xfId="907" builtinId="8" hidden="1"/>
    <cellStyle name="Hyperlink" xfId="909" builtinId="8" hidden="1"/>
    <cellStyle name="Hyperlink" xfId="911" builtinId="8" hidden="1"/>
    <cellStyle name="Hyperlink" xfId="913" builtinId="8" hidden="1"/>
    <cellStyle name="Hyperlink" xfId="915" builtinId="8" hidden="1"/>
    <cellStyle name="Hyperlink" xfId="917" builtinId="8" hidden="1"/>
    <cellStyle name="Hyperlink" xfId="919" builtinId="8" hidden="1"/>
    <cellStyle name="Hyperlink" xfId="921" builtinId="8" hidden="1"/>
    <cellStyle name="Hyperlink" xfId="923" builtinId="8" hidden="1"/>
    <cellStyle name="Hyperlink" xfId="925" builtinId="8" hidden="1"/>
    <cellStyle name="Hyperlink" xfId="927" builtinId="8" hidden="1"/>
    <cellStyle name="Hyperlink" xfId="929" builtinId="8" hidden="1"/>
    <cellStyle name="Hyperlink" xfId="931" builtinId="8" hidden="1"/>
    <cellStyle name="Hyperlink" xfId="933" builtinId="8" hidden="1"/>
    <cellStyle name="Hyperlink" xfId="935" builtinId="8" hidden="1"/>
    <cellStyle name="Hyperlink" xfId="937" builtinId="8" hidden="1"/>
    <cellStyle name="Hyperlink" xfId="939" builtinId="8" hidden="1"/>
    <cellStyle name="Hyperlink" xfId="941" builtinId="8" hidden="1"/>
    <cellStyle name="Hyperlink" xfId="943" builtinId="8" hidden="1"/>
    <cellStyle name="Hyperlink" xfId="945" builtinId="8" hidden="1"/>
    <cellStyle name="Hyperlink" xfId="947" builtinId="8" hidden="1"/>
    <cellStyle name="Hyperlink" xfId="949" builtinId="8" hidden="1"/>
    <cellStyle name="Hyperlink" xfId="951" builtinId="8" hidden="1"/>
    <cellStyle name="Hyperlink" xfId="953" builtinId="8" hidden="1"/>
    <cellStyle name="Hyperlink" xfId="955" builtinId="8" hidden="1"/>
    <cellStyle name="Hyperlink" xfId="957" builtinId="8" hidden="1"/>
    <cellStyle name="Hyperlink" xfId="959" builtinId="8" hidden="1"/>
    <cellStyle name="Hyperlink" xfId="961" builtinId="8" hidden="1"/>
    <cellStyle name="Hyperlink" xfId="963" builtinId="8" hidden="1"/>
    <cellStyle name="Hyperlink" xfId="965" builtinId="8" hidden="1"/>
    <cellStyle name="Hyperlink" xfId="967" builtinId="8" hidden="1"/>
    <cellStyle name="Hyperlink" xfId="969" builtinId="8" hidden="1"/>
    <cellStyle name="Hyperlink" xfId="971" builtinId="8" hidden="1"/>
    <cellStyle name="Hyperlink" xfId="973" builtinId="8" hidden="1"/>
    <cellStyle name="Hyperlink" xfId="975" builtinId="8" hidden="1"/>
    <cellStyle name="Hyperlink" xfId="977" builtinId="8" hidden="1"/>
    <cellStyle name="Hyperlink" xfId="979" builtinId="8" hidden="1"/>
    <cellStyle name="Hyperlink" xfId="981" builtinId="8" hidden="1"/>
    <cellStyle name="Hyperlink" xfId="983" builtinId="8" hidden="1"/>
    <cellStyle name="Hyperlink" xfId="985" builtinId="8" hidden="1"/>
    <cellStyle name="Hyperlink" xfId="987" builtinId="8" hidden="1"/>
    <cellStyle name="Hyperlink" xfId="989" builtinId="8" hidden="1"/>
    <cellStyle name="Hyperlink" xfId="991" builtinId="8" hidden="1"/>
    <cellStyle name="Hyperlink" xfId="993" builtinId="8" hidden="1"/>
    <cellStyle name="Hyperlink" xfId="995" builtinId="8" hidden="1"/>
    <cellStyle name="Hyperlink" xfId="997" builtinId="8" hidden="1"/>
    <cellStyle name="Hyperlink" xfId="999" builtinId="8" hidden="1"/>
    <cellStyle name="Hyperlink" xfId="1001" builtinId="8" hidden="1"/>
    <cellStyle name="Hyperlink" xfId="1003" builtinId="8" hidden="1"/>
    <cellStyle name="Hyperlink" xfId="1005" builtinId="8" hidden="1"/>
    <cellStyle name="Hyperlink" xfId="1007" builtinId="8" hidden="1"/>
    <cellStyle name="Hyperlink" xfId="1009" builtinId="8" hidden="1"/>
    <cellStyle name="Hyperlink" xfId="1011" builtinId="8" hidden="1"/>
    <cellStyle name="Hyperlink" xfId="1013" builtinId="8" hidden="1"/>
    <cellStyle name="Hyperlink" xfId="1015" builtinId="8" hidden="1"/>
    <cellStyle name="Hyperlink" xfId="1017" builtinId="8" hidden="1"/>
    <cellStyle name="Hyperlink" xfId="1019" builtinId="8" hidden="1"/>
    <cellStyle name="Hyperlink" xfId="1021" builtinId="8" hidden="1"/>
    <cellStyle name="Hyperlink" xfId="1023" builtinId="8" hidden="1"/>
    <cellStyle name="Hyperlink" xfId="1025" builtinId="8" hidden="1"/>
    <cellStyle name="Hyperlink" xfId="1027" builtinId="8" hidden="1"/>
    <cellStyle name="Hyperlink" xfId="1029" builtinId="8" hidden="1"/>
    <cellStyle name="Hyperlink" xfId="1031" builtinId="8" hidden="1"/>
    <cellStyle name="Hyperlink" xfId="1033" builtinId="8" hidden="1"/>
    <cellStyle name="Hyperlink" xfId="1035" builtinId="8" hidden="1"/>
    <cellStyle name="Hyperlink" xfId="1037" builtinId="8" hidden="1"/>
    <cellStyle name="Hyperlink" xfId="1039" builtinId="8" hidden="1"/>
    <cellStyle name="Hyperlink" xfId="1041" builtinId="8" hidden="1"/>
    <cellStyle name="Hyperlink" xfId="1043" builtinId="8" hidden="1"/>
    <cellStyle name="Hyperlink" xfId="1045" builtinId="8" hidden="1"/>
    <cellStyle name="Hyperlink" xfId="1047" builtinId="8" hidden="1"/>
    <cellStyle name="Hyperlink" xfId="1049" builtinId="8" hidden="1"/>
    <cellStyle name="Hyperlink" xfId="1051" builtinId="8" hidden="1"/>
    <cellStyle name="Hyperlink" xfId="1053" builtinId="8" hidden="1"/>
    <cellStyle name="Hyperlink" xfId="1055" builtinId="8" hidden="1"/>
    <cellStyle name="Hyperlink" xfId="1057" builtinId="8" hidden="1"/>
    <cellStyle name="Hyperlink" xfId="1059" builtinId="8" hidden="1"/>
    <cellStyle name="Hyperlink" xfId="1061" builtinId="8" hidden="1"/>
    <cellStyle name="Hyperlink" xfId="1063" builtinId="8" hidden="1"/>
    <cellStyle name="Hyperlink" xfId="1065" builtinId="8" hidden="1"/>
    <cellStyle name="Hyperlink" xfId="1067" builtinId="8" hidden="1"/>
    <cellStyle name="Hyperlink" xfId="1069" builtinId="8" hidden="1"/>
    <cellStyle name="Hyperlink" xfId="1071" builtinId="8" hidden="1"/>
    <cellStyle name="Hyperlink" xfId="1073" builtinId="8" hidden="1"/>
    <cellStyle name="Hyperlink" xfId="1075" builtinId="8" hidden="1"/>
    <cellStyle name="Hyperlink" xfId="1077" builtinId="8" hidden="1"/>
    <cellStyle name="Hyperlink" xfId="1079" builtinId="8" hidden="1"/>
    <cellStyle name="Hyperlink" xfId="1081" builtinId="8" hidden="1"/>
    <cellStyle name="Hyperlink" xfId="1083" builtinId="8" hidden="1"/>
    <cellStyle name="Hyperlink" xfId="1085" builtinId="8" hidden="1"/>
    <cellStyle name="Hyperlink" xfId="1087" builtinId="8" hidden="1"/>
    <cellStyle name="Hyperlink" xfId="1089" builtinId="8" hidden="1"/>
    <cellStyle name="Hyperlink" xfId="1091" builtinId="8" hidden="1"/>
    <cellStyle name="Hyperlink" xfId="1093" builtinId="8" hidden="1"/>
    <cellStyle name="Hyperlink" xfId="1095" builtinId="8" hidden="1"/>
    <cellStyle name="Hyperlink" xfId="1097" builtinId="8" hidden="1"/>
    <cellStyle name="Hyperlink" xfId="1099" builtinId="8" hidden="1"/>
    <cellStyle name="Hyperlink" xfId="1101" builtinId="8" hidden="1"/>
    <cellStyle name="Hyperlink" xfId="1103" builtinId="8" hidden="1"/>
    <cellStyle name="Hyperlink" xfId="1105" builtinId="8" hidden="1"/>
    <cellStyle name="Hyperlink" xfId="1107" builtinId="8" hidden="1"/>
    <cellStyle name="Hyperlink" xfId="1109" builtinId="8" hidden="1"/>
    <cellStyle name="Hyperlink" xfId="1111" builtinId="8" hidden="1"/>
    <cellStyle name="Hyperlink" xfId="1113" builtinId="8" hidden="1"/>
    <cellStyle name="Hyperlink" xfId="1115" builtinId="8" hidden="1"/>
    <cellStyle name="Hyperlink" xfId="1117" builtinId="8" hidden="1"/>
    <cellStyle name="Hyperlink" xfId="1119" builtinId="8" hidden="1"/>
    <cellStyle name="Hyperlink" xfId="1121" builtinId="8" hidden="1"/>
    <cellStyle name="Hyperlink" xfId="1123" builtinId="8" hidden="1"/>
    <cellStyle name="Hyperlink" xfId="1125" builtinId="8" hidden="1"/>
    <cellStyle name="Hyperlink" xfId="1127" builtinId="8" hidden="1"/>
    <cellStyle name="Hyperlink" xfId="1129" builtinId="8" hidden="1"/>
    <cellStyle name="Hyperlink" xfId="1131" builtinId="8" hidden="1"/>
    <cellStyle name="Hyperlink" xfId="1133" builtinId="8" hidden="1"/>
    <cellStyle name="Hyperlink" xfId="1135" builtinId="8" hidden="1"/>
    <cellStyle name="Hyperlink" xfId="1137" builtinId="8" hidden="1"/>
    <cellStyle name="Hyperlink" xfId="1139" builtinId="8" hidden="1"/>
    <cellStyle name="Hyperlink" xfId="1141" builtinId="8" hidden="1"/>
    <cellStyle name="Hyperlink" xfId="1143" builtinId="8" hidden="1"/>
    <cellStyle name="Hyperlink" xfId="1145" builtinId="8" hidden="1"/>
    <cellStyle name="Hyperlink" xfId="1147" builtinId="8" hidden="1"/>
    <cellStyle name="Hyperlink" xfId="1149" builtinId="8" hidden="1"/>
    <cellStyle name="Hyperlink" xfId="1151" builtinId="8" hidden="1"/>
    <cellStyle name="Hyperlink" xfId="1153" builtinId="8" hidden="1"/>
    <cellStyle name="Hyperlink" xfId="1155" builtinId="8" hidden="1"/>
    <cellStyle name="Hyperlink" xfId="1157" builtinId="8" hidden="1"/>
    <cellStyle name="Hyperlink" xfId="1159" builtinId="8" hidden="1"/>
    <cellStyle name="Hyperlink" xfId="1161" builtinId="8" hidden="1"/>
    <cellStyle name="Hyperlink" xfId="1163" builtinId="8" hidden="1"/>
    <cellStyle name="Hyperlink" xfId="1165" builtinId="8" hidden="1"/>
    <cellStyle name="Hyperlink" xfId="1167" builtinId="8" hidden="1"/>
    <cellStyle name="Hyperlink" xfId="1169" builtinId="8" hidden="1"/>
    <cellStyle name="Hyperlink" xfId="1171" builtinId="8" hidden="1"/>
    <cellStyle name="Hyperlink" xfId="1173" builtinId="8" hidden="1"/>
    <cellStyle name="Hyperlink" xfId="1175" builtinId="8" hidden="1"/>
    <cellStyle name="Hyperlink" xfId="1177" builtinId="8" hidden="1"/>
    <cellStyle name="Hyperlink" xfId="1179" builtinId="8" hidden="1"/>
    <cellStyle name="Hyperlink" xfId="1181" builtinId="8" hidden="1"/>
    <cellStyle name="Hyperlink" xfId="1183" builtinId="8" hidden="1"/>
    <cellStyle name="Hyperlink" xfId="1185" builtinId="8" hidden="1"/>
    <cellStyle name="Hyperlink" xfId="1187" builtinId="8" hidden="1"/>
    <cellStyle name="Hyperlink" xfId="1189" builtinId="8" hidden="1"/>
    <cellStyle name="Hyperlink" xfId="1191" builtinId="8" hidden="1"/>
    <cellStyle name="Hyperlink" xfId="1193" builtinId="8" hidden="1"/>
    <cellStyle name="Hyperlink" xfId="1195" builtinId="8" hidden="1"/>
    <cellStyle name="Hyperlink" xfId="1197" builtinId="8" hidden="1"/>
    <cellStyle name="Hyperlink" xfId="1199" builtinId="8" hidden="1"/>
    <cellStyle name="Hyperlink" xfId="1201" builtinId="8" hidden="1"/>
    <cellStyle name="Hyperlink" xfId="1203" builtinId="8" hidden="1"/>
    <cellStyle name="Hyperlink" xfId="1205" builtinId="8" hidden="1"/>
    <cellStyle name="Hyperlink" xfId="1207" builtinId="8" hidden="1"/>
    <cellStyle name="Hyperlink" xfId="1209" builtinId="8" hidden="1"/>
    <cellStyle name="Hyperlink" xfId="1211" builtinId="8" hidden="1"/>
    <cellStyle name="Hyperlink" xfId="1213" builtinId="8" hidden="1"/>
    <cellStyle name="Hyperlink" xfId="1215" builtinId="8" hidden="1"/>
    <cellStyle name="Hyperlink" xfId="1217" builtinId="8" hidden="1"/>
    <cellStyle name="Hyperlink" xfId="1219" builtinId="8" hidden="1"/>
    <cellStyle name="Hyperlink" xfId="1221" builtinId="8" hidden="1"/>
    <cellStyle name="Hyperlink" xfId="1223" builtinId="8" hidden="1"/>
    <cellStyle name="Hyperlink" xfId="1225" builtinId="8" hidden="1"/>
    <cellStyle name="Hyperlink" xfId="1227" builtinId="8" hidden="1"/>
    <cellStyle name="Hyperlink" xfId="1229" builtinId="8" hidden="1"/>
    <cellStyle name="Hyperlink" xfId="1231" builtinId="8" hidden="1"/>
    <cellStyle name="Hyperlink" xfId="1233" builtinId="8" hidden="1"/>
    <cellStyle name="Hyperlink" xfId="1235" builtinId="8" hidden="1"/>
    <cellStyle name="Hyperlink" xfId="1237" builtinId="8" hidden="1"/>
    <cellStyle name="Hyperlink" xfId="1239" builtinId="8" hidden="1"/>
    <cellStyle name="Hyperlink" xfId="1241" builtinId="8" hidden="1"/>
    <cellStyle name="Hyperlink" xfId="1243" builtinId="8" hidden="1"/>
    <cellStyle name="Hyperlink" xfId="1245" builtinId="8" hidden="1"/>
    <cellStyle name="Hyperlink" xfId="1247" builtinId="8" hidden="1"/>
    <cellStyle name="Hyperlink" xfId="1249" builtinId="8" hidden="1"/>
    <cellStyle name="Hyperlink" xfId="1251" builtinId="8" hidden="1"/>
    <cellStyle name="Hyperlink" xfId="1253" builtinId="8" hidden="1"/>
    <cellStyle name="Hyperlink" xfId="1255" builtinId="8" hidden="1"/>
    <cellStyle name="Hyperlink" xfId="1257" builtinId="8" hidden="1"/>
    <cellStyle name="Hyperlink" xfId="1259" builtinId="8" hidden="1"/>
    <cellStyle name="Hyperlink" xfId="1261" builtinId="8" hidden="1"/>
    <cellStyle name="Hyperlink" xfId="1263" builtinId="8" hidden="1"/>
    <cellStyle name="Hyperlink" xfId="1265" builtinId="8" hidden="1"/>
    <cellStyle name="Hyperlink" xfId="1267" builtinId="8" hidden="1"/>
    <cellStyle name="Hyperlink" xfId="1269" builtinId="8" hidden="1"/>
    <cellStyle name="Hyperlink" xfId="1271" builtinId="8" hidden="1"/>
    <cellStyle name="Hyperlink" xfId="1273" builtinId="8" hidden="1"/>
    <cellStyle name="Hyperlink" xfId="1275" builtinId="8" hidden="1"/>
    <cellStyle name="Hyperlink" xfId="1277" builtinId="8" hidden="1"/>
    <cellStyle name="Hyperlink" xfId="1279" builtinId="8" hidden="1"/>
    <cellStyle name="Hyperlink" xfId="1281" builtinId="8" hidden="1"/>
    <cellStyle name="Hyperlink" xfId="1283" builtinId="8" hidden="1"/>
    <cellStyle name="Hyperlink" xfId="1285" builtinId="8" hidden="1"/>
    <cellStyle name="Hyperlink" xfId="1287" builtinId="8" hidden="1"/>
    <cellStyle name="Hyperlink" xfId="1289" builtinId="8" hidden="1"/>
    <cellStyle name="Hyperlink" xfId="1291" builtinId="8" hidden="1"/>
    <cellStyle name="Hyperlink" xfId="1293" builtinId="8" hidden="1"/>
    <cellStyle name="Hyperlink" xfId="1295" builtinId="8" hidden="1"/>
    <cellStyle name="Hyperlink" xfId="1297" builtinId="8" hidden="1"/>
    <cellStyle name="Hyperlink" xfId="1299" builtinId="8" hidden="1"/>
    <cellStyle name="Hyperlink" xfId="1301" builtinId="8" hidden="1"/>
    <cellStyle name="Hyperlink" xfId="1303" builtinId="8" hidden="1"/>
    <cellStyle name="Hyperlink" xfId="1305" builtinId="8" hidden="1"/>
    <cellStyle name="Hyperlink" xfId="1307" builtinId="8" hidden="1"/>
    <cellStyle name="Hyperlink" xfId="1309" builtinId="8" hidden="1"/>
    <cellStyle name="Hyperlink" xfId="1311" builtinId="8" hidden="1"/>
    <cellStyle name="Hyperlink" xfId="1313" builtinId="8" hidden="1"/>
    <cellStyle name="Hyperlink" xfId="1315" builtinId="8" hidden="1"/>
    <cellStyle name="Hyperlink" xfId="1317" builtinId="8" hidden="1"/>
    <cellStyle name="Hyperlink" xfId="1319" builtinId="8" hidden="1"/>
    <cellStyle name="Hyperlink" xfId="1321" builtinId="8" hidden="1"/>
    <cellStyle name="Hyperlink" xfId="1323" builtinId="8" hidden="1"/>
    <cellStyle name="Hyperlink" xfId="1325" builtinId="8" hidden="1"/>
    <cellStyle name="Hyperlink" xfId="1327" builtinId="8" hidden="1"/>
    <cellStyle name="Hyperlink" xfId="1329" builtinId="8" hidden="1"/>
    <cellStyle name="Hyperlink" xfId="1331" builtinId="8" hidden="1"/>
    <cellStyle name="Hyperlink" xfId="1333" builtinId="8" hidden="1"/>
    <cellStyle name="Hyperlink" xfId="1335" builtinId="8" hidden="1"/>
    <cellStyle name="Hyperlink" xfId="1337" builtinId="8" hidden="1"/>
    <cellStyle name="Hyperlink" xfId="1339" builtinId="8" hidden="1"/>
    <cellStyle name="Hyperlink" xfId="1341" builtinId="8" hidden="1"/>
    <cellStyle name="Hyperlink" xfId="1343" builtinId="8" hidden="1"/>
    <cellStyle name="Hyperlink" xfId="1345" builtinId="8" hidden="1"/>
    <cellStyle name="Hyperlink" xfId="1347" builtinId="8" hidden="1"/>
    <cellStyle name="Hyperlink" xfId="1349" builtinId="8" hidden="1"/>
    <cellStyle name="Hyperlink" xfId="1351" builtinId="8" hidden="1"/>
    <cellStyle name="Hyperlink" xfId="1353" builtinId="8" hidden="1"/>
    <cellStyle name="Hyperlink" xfId="1355" builtinId="8" hidden="1"/>
    <cellStyle name="Hyperlink" xfId="1357" builtinId="8" hidden="1"/>
    <cellStyle name="Hyperlink" xfId="1359" builtinId="8" hidden="1"/>
    <cellStyle name="Hyperlink" xfId="1361" builtinId="8" hidden="1"/>
    <cellStyle name="Hyperlink" xfId="1363" builtinId="8" hidden="1"/>
    <cellStyle name="Hyperlink" xfId="1365" builtinId="8" hidden="1"/>
    <cellStyle name="Hyperlink" xfId="1367" builtinId="8" hidden="1"/>
    <cellStyle name="Hyperlink" xfId="1369" builtinId="8" hidden="1"/>
    <cellStyle name="Hyperlink" xfId="1371" builtinId="8" hidden="1"/>
    <cellStyle name="Hyperlink" xfId="1373" builtinId="8" hidden="1"/>
    <cellStyle name="Hyperlink" xfId="1375" builtinId="8" hidden="1"/>
    <cellStyle name="Hyperlink" xfId="1377" builtinId="8" hidden="1"/>
    <cellStyle name="Hyperlink" xfId="1379" builtinId="8" hidden="1"/>
    <cellStyle name="Hyperlink" xfId="1381" builtinId="8" hidden="1"/>
    <cellStyle name="Hyperlink" xfId="1383" builtinId="8" hidden="1"/>
    <cellStyle name="Hyperlink" xfId="1385" builtinId="8" hidden="1"/>
    <cellStyle name="Hyperlink" xfId="1387" builtinId="8" hidden="1"/>
    <cellStyle name="Hyperlink" xfId="1389" builtinId="8" hidden="1"/>
    <cellStyle name="Hyperlink" xfId="1391" builtinId="8" hidden="1"/>
    <cellStyle name="Hyperlink" xfId="1393" builtinId="8" hidden="1"/>
    <cellStyle name="Hyperlink" xfId="1395" builtinId="8" hidden="1"/>
    <cellStyle name="Hyperlink" xfId="1397" builtinId="8" hidden="1"/>
    <cellStyle name="Hyperlink" xfId="1399" builtinId="8" hidden="1"/>
    <cellStyle name="Hyperlink" xfId="1401" builtinId="8" hidden="1"/>
    <cellStyle name="Hyperlink" xfId="1403" builtinId="8" hidden="1"/>
    <cellStyle name="Hyperlink" xfId="1405" builtinId="8" hidden="1"/>
    <cellStyle name="Hyperlink" xfId="1407" builtinId="8" hidden="1"/>
    <cellStyle name="Hyperlink" xfId="1409" builtinId="8" hidden="1"/>
    <cellStyle name="Hyperlink" xfId="1411" builtinId="8" hidden="1"/>
    <cellStyle name="Hyperlink" xfId="1413" builtinId="8" hidden="1"/>
    <cellStyle name="Hyperlink" xfId="1415" builtinId="8" hidden="1"/>
    <cellStyle name="Hyperlink" xfId="1417" builtinId="8" hidden="1"/>
    <cellStyle name="Hyperlink" xfId="1419" builtinId="8" hidden="1"/>
    <cellStyle name="Hyperlink" xfId="1421" builtinId="8" hidden="1"/>
    <cellStyle name="Hyperlink" xfId="1423" builtinId="8" hidden="1"/>
    <cellStyle name="Hyperlink" xfId="1425" builtinId="8" hidden="1"/>
    <cellStyle name="Hyperlink" xfId="1427" builtinId="8" hidden="1"/>
    <cellStyle name="Hyperlink" xfId="1429" builtinId="8" hidden="1"/>
    <cellStyle name="Hyperlink" xfId="1431" builtinId="8" hidden="1"/>
    <cellStyle name="Hyperlink" xfId="1433" builtinId="8" hidden="1"/>
    <cellStyle name="Hyperlink" xfId="1435" builtinId="8" hidden="1"/>
    <cellStyle name="Hyperlink" xfId="1437" builtinId="8" hidden="1"/>
    <cellStyle name="Hyperlink" xfId="1439" builtinId="8" hidden="1"/>
    <cellStyle name="Hyperlink" xfId="1441" builtinId="8" hidden="1"/>
    <cellStyle name="Hyperlink" xfId="1443" builtinId="8" hidden="1"/>
    <cellStyle name="Hyperlink" xfId="1445" builtinId="8" hidden="1"/>
    <cellStyle name="Hyperlink" xfId="1447" builtinId="8" hidden="1"/>
    <cellStyle name="Hyperlink" xfId="1449" builtinId="8" hidden="1"/>
    <cellStyle name="Hyperlink" xfId="1451" builtinId="8" hidden="1"/>
    <cellStyle name="Hyperlink" xfId="1453" builtinId="8" hidden="1"/>
    <cellStyle name="Hyperlink" xfId="1455" builtinId="8" hidden="1"/>
    <cellStyle name="Hyperlink" xfId="1457" builtinId="8" hidden="1"/>
    <cellStyle name="Hyperlink" xfId="1459" builtinId="8" hidden="1"/>
    <cellStyle name="Hyperlink" xfId="1461" builtinId="8" hidden="1"/>
    <cellStyle name="Hyperlink" xfId="1463" builtinId="8" hidden="1"/>
    <cellStyle name="Hyperlink" xfId="1465" builtinId="8" hidden="1"/>
    <cellStyle name="Hyperlink" xfId="1467" builtinId="8" hidden="1"/>
    <cellStyle name="Hyperlink" xfId="1469" builtinId="8" hidden="1"/>
    <cellStyle name="Hyperlink" xfId="1471" builtinId="8" hidden="1"/>
    <cellStyle name="Hyperlink" xfId="1473" builtinId="8" hidden="1"/>
    <cellStyle name="Hyperlink" xfId="1475" builtinId="8" hidden="1"/>
    <cellStyle name="Hyperlink" xfId="1477" builtinId="8" hidden="1"/>
    <cellStyle name="Hyperlink" xfId="1479" builtinId="8" hidden="1"/>
    <cellStyle name="Hyperlink" xfId="1481" builtinId="8" hidden="1"/>
    <cellStyle name="Hyperlink" xfId="1483" builtinId="8" hidden="1"/>
    <cellStyle name="Hyperlink" xfId="1485" builtinId="8" hidden="1"/>
    <cellStyle name="Hyperlink" xfId="1487" builtinId="8" hidden="1"/>
    <cellStyle name="Hyperlink" xfId="1489" builtinId="8" hidden="1"/>
    <cellStyle name="Hyperlink" xfId="1491" builtinId="8" hidden="1"/>
    <cellStyle name="Hyperlink" xfId="1493" builtinId="8" hidden="1"/>
    <cellStyle name="Hyperlink" xfId="1495" builtinId="8" hidden="1"/>
    <cellStyle name="Hyperlink" xfId="1497" builtinId="8" hidden="1"/>
    <cellStyle name="Hyperlink" xfId="1499" builtinId="8" hidden="1"/>
    <cellStyle name="Hyperlink" xfId="1501" builtinId="8" hidden="1"/>
    <cellStyle name="Hyperlink" xfId="1503" builtinId="8" hidden="1"/>
    <cellStyle name="Hyperlink" xfId="1505" builtinId="8" hidden="1"/>
    <cellStyle name="Hyperlink" xfId="1507" builtinId="8" hidden="1"/>
    <cellStyle name="Hyperlink" xfId="1509" builtinId="8" hidden="1"/>
    <cellStyle name="Hyperlink" xfId="1511" builtinId="8" hidden="1"/>
    <cellStyle name="Hyperlink" xfId="1513" builtinId="8" hidden="1"/>
    <cellStyle name="Hyperlink" xfId="1515" builtinId="8" hidden="1"/>
    <cellStyle name="Hyperlink" xfId="1517" builtinId="8" hidden="1"/>
    <cellStyle name="Hyperlink" xfId="1519" builtinId="8" hidden="1"/>
    <cellStyle name="Hyperlink" xfId="1521" builtinId="8" hidden="1"/>
    <cellStyle name="Hyperlink" xfId="1523" builtinId="8" hidden="1"/>
    <cellStyle name="Hyperlink" xfId="1525" builtinId="8" hidden="1"/>
    <cellStyle name="Hyperlink" xfId="1527" builtinId="8" hidden="1"/>
    <cellStyle name="Hyperlink" xfId="1529" builtinId="8" hidden="1"/>
    <cellStyle name="Hyperlink" xfId="1531" builtinId="8" hidden="1"/>
    <cellStyle name="Hyperlink" xfId="1533" builtinId="8" hidden="1"/>
    <cellStyle name="Hyperlink" xfId="1535" builtinId="8" hidden="1"/>
    <cellStyle name="Hyperlink" xfId="1537" builtinId="8" hidden="1"/>
    <cellStyle name="Hyperlink" xfId="1539" builtinId="8" hidden="1"/>
    <cellStyle name="Hyperlink" xfId="1541" builtinId="8" hidden="1"/>
    <cellStyle name="Hyperlink" xfId="1543" builtinId="8" hidden="1"/>
    <cellStyle name="Hyperlink" xfId="1545" builtinId="8" hidden="1"/>
    <cellStyle name="Hyperlink" xfId="1547" builtinId="8" hidden="1"/>
    <cellStyle name="Hyperlink" xfId="1549" builtinId="8" hidden="1"/>
    <cellStyle name="Hyperlink" xfId="1551" builtinId="8" hidden="1"/>
    <cellStyle name="Hyperlink" xfId="1553" builtinId="8" hidden="1"/>
    <cellStyle name="Hyperlink" xfId="1555" builtinId="8" hidden="1"/>
    <cellStyle name="Hyperlink" xfId="1557" builtinId="8" hidden="1"/>
    <cellStyle name="Hyperlink" xfId="1559" builtinId="8" hidden="1"/>
    <cellStyle name="Hyperlink" xfId="1561" builtinId="8" hidden="1"/>
    <cellStyle name="Hyperlink" xfId="1563" builtinId="8" hidden="1"/>
    <cellStyle name="Hyperlink" xfId="1565" builtinId="8" hidden="1"/>
    <cellStyle name="Hyperlink" xfId="1567" builtinId="8" hidden="1"/>
    <cellStyle name="Hyperlink" xfId="1569" builtinId="8" hidden="1"/>
    <cellStyle name="Hyperlink" xfId="1571" builtinId="8" hidden="1"/>
    <cellStyle name="Hyperlink" xfId="1573" builtinId="8" hidden="1"/>
    <cellStyle name="Hyperlink" xfId="1575" builtinId="8" hidden="1"/>
    <cellStyle name="Hyperlink" xfId="1577" builtinId="8" hidden="1"/>
    <cellStyle name="Hyperlink" xfId="1579" builtinId="8" hidden="1"/>
    <cellStyle name="Hyperlink" xfId="1581" builtinId="8" hidden="1"/>
    <cellStyle name="Hyperlink" xfId="1583" builtinId="8" hidden="1"/>
    <cellStyle name="Hyperlink" xfId="1585" builtinId="8" hidden="1"/>
    <cellStyle name="Hyperlink" xfId="1587" builtinId="8" hidden="1"/>
    <cellStyle name="Hyperlink" xfId="1589" builtinId="8" hidden="1"/>
    <cellStyle name="Hyperlink" xfId="1591" builtinId="8" hidden="1"/>
    <cellStyle name="Hyperlink" xfId="1593" builtinId="8" hidden="1"/>
    <cellStyle name="Hyperlink" xfId="1595" builtinId="8" hidden="1"/>
    <cellStyle name="Hyperlink" xfId="1597" builtinId="8" hidden="1"/>
    <cellStyle name="Hyperlink" xfId="1599" builtinId="8" hidden="1"/>
    <cellStyle name="Hyperlink" xfId="1601" builtinId="8" hidden="1"/>
    <cellStyle name="Hyperlink" xfId="1603" builtinId="8" hidden="1"/>
    <cellStyle name="Hyperlink" xfId="1605" builtinId="8" hidden="1"/>
    <cellStyle name="Hyperlink" xfId="1607" builtinId="8" hidden="1"/>
    <cellStyle name="Hyperlink" xfId="1609" builtinId="8" hidden="1"/>
    <cellStyle name="Hyperlink" xfId="1611" builtinId="8" hidden="1"/>
    <cellStyle name="Hyperlink" xfId="1613" builtinId="8" hidden="1"/>
    <cellStyle name="Hyperlink" xfId="1615" builtinId="8" hidden="1"/>
    <cellStyle name="Hyperlink" xfId="1617" builtinId="8" hidden="1"/>
    <cellStyle name="Hyperlink" xfId="1619" builtinId="8" hidden="1"/>
    <cellStyle name="Hyperlink" xfId="1621" builtinId="8" hidden="1"/>
    <cellStyle name="Hyperlink" xfId="1623" builtinId="8" hidden="1"/>
    <cellStyle name="Hyperlink" xfId="1625" builtinId="8" hidden="1"/>
    <cellStyle name="Hyperlink" xfId="1627" builtinId="8" hidden="1"/>
    <cellStyle name="Hyperlink" xfId="1629" builtinId="8" hidden="1"/>
    <cellStyle name="Hyperlink" xfId="1631" builtinId="8" hidden="1"/>
    <cellStyle name="Hyperlink" xfId="1633" builtinId="8" hidden="1"/>
    <cellStyle name="Hyperlink" xfId="1635" builtinId="8" hidden="1"/>
    <cellStyle name="Hyperlink" xfId="1637" builtinId="8" hidden="1"/>
    <cellStyle name="Hyperlink" xfId="1639" builtinId="8" hidden="1"/>
    <cellStyle name="Hyperlink" xfId="1641" builtinId="8" hidden="1"/>
    <cellStyle name="Hyperlink" xfId="1643" builtinId="8" hidden="1"/>
    <cellStyle name="Hyperlink" xfId="1645" builtinId="8" hidden="1"/>
    <cellStyle name="Hyperlink" xfId="1647" builtinId="8" hidden="1"/>
    <cellStyle name="Hyperlink" xfId="1649" builtinId="8" hidden="1"/>
    <cellStyle name="Hyperlink" xfId="1651" builtinId="8" hidden="1"/>
    <cellStyle name="Hyperlink" xfId="1653" builtinId="8" hidden="1"/>
    <cellStyle name="Hyperlink" xfId="1655" builtinId="8" hidden="1"/>
    <cellStyle name="Hyperlink" xfId="1657" builtinId="8" hidden="1"/>
    <cellStyle name="Hyperlink" xfId="1659" builtinId="8" hidden="1"/>
    <cellStyle name="Hyperlink" xfId="1661" builtinId="8" hidden="1"/>
    <cellStyle name="Hyperlink" xfId="1663" builtinId="8" hidden="1"/>
    <cellStyle name="Hyperlink" xfId="1665" builtinId="8" hidden="1"/>
    <cellStyle name="Hyperlink" xfId="1667" builtinId="8" hidden="1"/>
    <cellStyle name="Hyperlink" xfId="1669" builtinId="8" hidden="1"/>
    <cellStyle name="Hyperlink" xfId="1671" builtinId="8" hidden="1"/>
    <cellStyle name="Hyperlink" xfId="1673" builtinId="8" hidden="1"/>
    <cellStyle name="Hyperlink" xfId="1675" builtinId="8" hidden="1"/>
    <cellStyle name="Hyperlink" xfId="1677" builtinId="8" hidden="1"/>
    <cellStyle name="Hyperlink" xfId="1679" builtinId="8" hidden="1"/>
    <cellStyle name="Hyperlink" xfId="1681" builtinId="8" hidden="1"/>
    <cellStyle name="Hyperlink" xfId="1683" builtinId="8" hidden="1"/>
    <cellStyle name="Hyperlink" xfId="1685" builtinId="8" hidden="1"/>
    <cellStyle name="Hyperlink" xfId="1687" builtinId="8" hidden="1"/>
    <cellStyle name="Hyperlink" xfId="1689" builtinId="8" hidden="1"/>
    <cellStyle name="Hyperlink" xfId="1691" builtinId="8" hidden="1"/>
    <cellStyle name="Hyperlink" xfId="1693" builtinId="8" hidden="1"/>
    <cellStyle name="Hyperlink" xfId="1695" builtinId="8" hidden="1"/>
    <cellStyle name="Hyperlink" xfId="1697" builtinId="8" hidden="1"/>
    <cellStyle name="Hyperlink" xfId="1699" builtinId="8" hidden="1"/>
    <cellStyle name="Hyperlink" xfId="1701" builtinId="8" hidden="1"/>
    <cellStyle name="Hyperlink" xfId="1703" builtinId="8" hidden="1"/>
    <cellStyle name="Hyperlink" xfId="1705" builtinId="8" hidden="1"/>
    <cellStyle name="Hyperlink" xfId="1707" builtinId="8" hidden="1"/>
    <cellStyle name="Hyperlink" xfId="1709" builtinId="8" hidden="1"/>
    <cellStyle name="Hyperlink" xfId="1711" builtinId="8" hidden="1"/>
    <cellStyle name="Hyperlink" xfId="1713" builtinId="8" hidden="1"/>
    <cellStyle name="Hyperlink" xfId="1715" builtinId="8" hidden="1"/>
    <cellStyle name="Hyperlink" xfId="1717" builtinId="8" hidden="1"/>
    <cellStyle name="Hyperlink" xfId="1719" builtinId="8" hidden="1"/>
    <cellStyle name="Hyperlink" xfId="1721" builtinId="8" hidden="1"/>
    <cellStyle name="Hyperlink" xfId="1723" builtinId="8" hidden="1"/>
    <cellStyle name="Hyperlink" xfId="1725" builtinId="8" hidden="1"/>
    <cellStyle name="Hyperlink" xfId="1727" builtinId="8" hidden="1"/>
    <cellStyle name="Hyperlink" xfId="1729" builtinId="8" hidden="1"/>
    <cellStyle name="Hyperlink" xfId="1731" builtinId="8" hidden="1"/>
    <cellStyle name="Hyperlink" xfId="1733" builtinId="8" hidden="1"/>
    <cellStyle name="Hyperlink" xfId="1735" builtinId="8" hidden="1"/>
    <cellStyle name="Hyperlink" xfId="1737" builtinId="8" hidden="1"/>
    <cellStyle name="Hyperlink" xfId="1739" builtinId="8" hidden="1"/>
    <cellStyle name="Hyperlink" xfId="1741" builtinId="8" hidden="1"/>
    <cellStyle name="Hyperlink" xfId="1743" builtinId="8" hidden="1"/>
    <cellStyle name="Hyperlink" xfId="1745" builtinId="8" hidden="1"/>
    <cellStyle name="Hyperlink" xfId="1747" builtinId="8" hidden="1"/>
    <cellStyle name="Hyperlink" xfId="1749" builtinId="8" hidden="1"/>
    <cellStyle name="Hyperlink" xfId="1751" builtinId="8" hidden="1"/>
    <cellStyle name="Hyperlink" xfId="1753" builtinId="8" hidden="1"/>
    <cellStyle name="Hyperlink" xfId="1755" builtinId="8" hidden="1"/>
    <cellStyle name="Hyperlink" xfId="1757" builtinId="8" hidden="1"/>
    <cellStyle name="Hyperlink" xfId="1759" builtinId="8" hidden="1"/>
    <cellStyle name="Hyperlink" xfId="1761" builtinId="8" hidden="1"/>
    <cellStyle name="Hyperlink" xfId="1763" builtinId="8" hidden="1"/>
    <cellStyle name="Hyperlink" xfId="1765" builtinId="8" hidden="1"/>
    <cellStyle name="Hyperlink" xfId="1767" builtinId="8" hidden="1"/>
    <cellStyle name="Hyperlink" xfId="1769" builtinId="8" hidden="1"/>
    <cellStyle name="Hyperlink" xfId="1771" builtinId="8" hidden="1"/>
    <cellStyle name="Hyperlink" xfId="1773" builtinId="8" hidden="1"/>
    <cellStyle name="Hyperlink" xfId="1775" builtinId="8" hidden="1"/>
    <cellStyle name="Hyperlink" xfId="1777" builtinId="8" hidden="1"/>
    <cellStyle name="Hyperlink" xfId="1779" builtinId="8" hidden="1"/>
    <cellStyle name="Hyperlink" xfId="1781" builtinId="8" hidden="1"/>
    <cellStyle name="Hyperlink" xfId="1783" builtinId="8" hidden="1"/>
    <cellStyle name="Hyperlink" xfId="1785" builtinId="8" hidden="1"/>
    <cellStyle name="Hyperlink" xfId="1787" builtinId="8" hidden="1"/>
    <cellStyle name="Hyperlink" xfId="1789" builtinId="8" hidden="1"/>
    <cellStyle name="Hyperlink" xfId="1791" builtinId="8" hidden="1"/>
    <cellStyle name="Hyperlink" xfId="1793" builtinId="8" hidden="1"/>
    <cellStyle name="Hyperlink" xfId="1795" builtinId="8" hidden="1"/>
    <cellStyle name="Hyperlink" xfId="1797" builtinId="8" hidden="1"/>
    <cellStyle name="Hyperlink" xfId="1799" builtinId="8" hidden="1"/>
    <cellStyle name="Hyperlink" xfId="1801" builtinId="8" hidden="1"/>
    <cellStyle name="Hyperlink" xfId="1803" builtinId="8" hidden="1"/>
    <cellStyle name="Hyperlink" xfId="1805" builtinId="8" hidden="1"/>
    <cellStyle name="Hyperlink" xfId="1807" builtinId="8" hidden="1"/>
    <cellStyle name="Hyperlink" xfId="1809" builtinId="8" hidden="1"/>
    <cellStyle name="Hyperlink" xfId="1811" builtinId="8" hidden="1"/>
    <cellStyle name="Hyperlink" xfId="1813" builtinId="8" hidden="1"/>
    <cellStyle name="Hyperlink" xfId="1815" builtinId="8" hidden="1"/>
    <cellStyle name="Hyperlink" xfId="1817" builtinId="8" hidden="1"/>
    <cellStyle name="Hyperlink" xfId="1819" builtinId="8" hidden="1"/>
    <cellStyle name="Hyperlink" xfId="1821" builtinId="8" hidden="1"/>
    <cellStyle name="Hyperlink" xfId="1823" builtinId="8" hidden="1"/>
    <cellStyle name="Hyperlink" xfId="1825" builtinId="8" hidden="1"/>
    <cellStyle name="Hyperlink" xfId="1827" builtinId="8" hidden="1"/>
    <cellStyle name="Hyperlink" xfId="1829" builtinId="8" hidden="1"/>
    <cellStyle name="Hyperlink" xfId="1831" builtinId="8" hidden="1"/>
    <cellStyle name="Hyperlink" xfId="1833" builtinId="8" hidden="1"/>
    <cellStyle name="Hyperlink" xfId="1835" builtinId="8" hidden="1"/>
    <cellStyle name="Hyperlink" xfId="1837" builtinId="8" hidden="1"/>
    <cellStyle name="Hyperlink" xfId="1839" builtinId="8" hidden="1"/>
    <cellStyle name="Hyperlink" xfId="1841" builtinId="8" hidden="1"/>
    <cellStyle name="Hyperlink" xfId="1843" builtinId="8" hidden="1"/>
    <cellStyle name="Hyperlink" xfId="1845" builtinId="8" hidden="1"/>
    <cellStyle name="Hyperlink" xfId="1847" builtinId="8" hidden="1"/>
    <cellStyle name="Hyperlink" xfId="1849" builtinId="8" hidden="1"/>
    <cellStyle name="Hyperlink" xfId="1851" builtinId="8" hidden="1"/>
    <cellStyle name="Hyperlink" xfId="1853" builtinId="8" hidden="1"/>
    <cellStyle name="Hyperlink" xfId="1855" builtinId="8" hidden="1"/>
    <cellStyle name="Hyperlink" xfId="1857" builtinId="8" hidden="1"/>
    <cellStyle name="Hyperlink" xfId="1859" builtinId="8" hidden="1"/>
    <cellStyle name="Hyperlink" xfId="1863" builtinId="8" hidden="1"/>
    <cellStyle name="Hyperlink" xfId="1865" builtinId="8" hidden="1"/>
    <cellStyle name="Hyperlink" xfId="1867" builtinId="8" hidden="1"/>
    <cellStyle name="Hyperlink" xfId="1869" builtinId="8" hidden="1"/>
    <cellStyle name="Hyperlink" xfId="1871" builtinId="8" hidden="1"/>
    <cellStyle name="Hyperlink" xfId="1873" builtinId="8" hidden="1"/>
    <cellStyle name="Hyperlink" xfId="1875" builtinId="8" hidden="1"/>
    <cellStyle name="Hyperlink" xfId="1877" builtinId="8" hidden="1"/>
    <cellStyle name="Hyperlink" xfId="1879" builtinId="8" hidden="1"/>
    <cellStyle name="Hyperlink" xfId="1881" builtinId="8" hidden="1"/>
    <cellStyle name="Hyperlink" xfId="1883" builtinId="8" hidden="1"/>
    <cellStyle name="Hyperlink" xfId="1885" builtinId="8" hidden="1"/>
    <cellStyle name="Hyperlink" xfId="1887" builtinId="8" hidden="1"/>
    <cellStyle name="Hyperlink" xfId="1889" builtinId="8" hidden="1"/>
    <cellStyle name="Hyperlink" xfId="1891" builtinId="8" hidden="1"/>
    <cellStyle name="Hyperlink" xfId="1893" builtinId="8" hidden="1"/>
    <cellStyle name="Hyperlink" xfId="1895" builtinId="8" hidden="1"/>
    <cellStyle name="Hyperlink" xfId="1897" builtinId="8" hidden="1"/>
    <cellStyle name="Hyperlink" xfId="1899" builtinId="8" hidden="1"/>
    <cellStyle name="Hyperlink" xfId="1901" builtinId="8" hidden="1"/>
    <cellStyle name="Hyperlink" xfId="1903" builtinId="8" hidden="1"/>
    <cellStyle name="Hyperlink" xfId="1905" builtinId="8" hidden="1"/>
    <cellStyle name="Hyperlink" xfId="1907" builtinId="8" hidden="1"/>
    <cellStyle name="Hyperlink" xfId="1909" builtinId="8" hidden="1"/>
    <cellStyle name="Hyperlink" xfId="1911" builtinId="8" hidden="1"/>
    <cellStyle name="Hyperlink" xfId="1913" builtinId="8" hidden="1"/>
    <cellStyle name="Hyperlink" xfId="1915" builtinId="8" hidden="1"/>
    <cellStyle name="Hyperlink" xfId="1917" builtinId="8" hidden="1"/>
    <cellStyle name="Hyperlink" xfId="1919" builtinId="8" hidden="1"/>
    <cellStyle name="Hyperlink" xfId="1921" builtinId="8" hidden="1"/>
    <cellStyle name="Hyperlink" xfId="1923" builtinId="8" hidden="1"/>
    <cellStyle name="Hyperlink" xfId="1925" builtinId="8" hidden="1"/>
    <cellStyle name="Hyperlink" xfId="1927" builtinId="8" hidden="1"/>
    <cellStyle name="Hyperlink" xfId="1929" builtinId="8" hidden="1"/>
    <cellStyle name="Hyperlink" xfId="1931" builtinId="8" hidden="1"/>
    <cellStyle name="Hyperlink" xfId="1933" builtinId="8" hidden="1"/>
    <cellStyle name="Hyperlink" xfId="1935" builtinId="8" hidden="1"/>
    <cellStyle name="Hyperlink" xfId="1937" builtinId="8" hidden="1"/>
    <cellStyle name="Hyperlink" xfId="1939" builtinId="8" hidden="1"/>
    <cellStyle name="Hyperlink" xfId="1941" builtinId="8" hidden="1"/>
    <cellStyle name="Hyperlink" xfId="1943" builtinId="8" hidden="1"/>
    <cellStyle name="Hyperlink" xfId="1945" builtinId="8" hidden="1"/>
    <cellStyle name="Hyperlink" xfId="1947" builtinId="8" hidden="1"/>
    <cellStyle name="Hyperlink" xfId="1949" builtinId="8" hidden="1"/>
    <cellStyle name="Hyperlink" xfId="1951" builtinId="8" hidden="1"/>
    <cellStyle name="Hyperlink" xfId="1953" builtinId="8" hidden="1"/>
    <cellStyle name="Hyperlink" xfId="1955" builtinId="8" hidden="1"/>
    <cellStyle name="Hyperlink" xfId="1957" builtinId="8" hidden="1"/>
    <cellStyle name="Hyperlink" xfId="1959" builtinId="8" hidden="1"/>
    <cellStyle name="Hyperlink" xfId="1961" builtinId="8" hidden="1"/>
    <cellStyle name="Hyperlink" xfId="1963" builtinId="8" hidden="1"/>
    <cellStyle name="Hyperlink" xfId="1965" builtinId="8" hidden="1"/>
    <cellStyle name="Hyperlink" xfId="1967" builtinId="8" hidden="1"/>
    <cellStyle name="Hyperlink" xfId="1969" builtinId="8" hidden="1"/>
    <cellStyle name="Hyperlink" xfId="1971" builtinId="8" hidden="1"/>
    <cellStyle name="Hyperlink" xfId="1973" builtinId="8" hidden="1"/>
    <cellStyle name="Hyperlink" xfId="1975" builtinId="8" hidden="1"/>
    <cellStyle name="Hyperlink" xfId="1977" builtinId="8" hidden="1"/>
    <cellStyle name="Hyperlink" xfId="1979" builtinId="8" hidden="1"/>
    <cellStyle name="Hyperlink" xfId="1981" builtinId="8" hidden="1"/>
    <cellStyle name="Hyperlink" xfId="1983" builtinId="8" hidden="1"/>
    <cellStyle name="Hyperlink" xfId="1985" builtinId="8" hidden="1"/>
    <cellStyle name="Hyperlink" xfId="1987" builtinId="8" hidden="1"/>
    <cellStyle name="Hyperlink" xfId="1989" builtinId="8" hidden="1"/>
    <cellStyle name="Hyperlink" xfId="1991" builtinId="8" hidden="1"/>
    <cellStyle name="Hyperlink" xfId="1993" builtinId="8" hidden="1"/>
    <cellStyle name="Hyperlink" xfId="1995" builtinId="8" hidden="1"/>
    <cellStyle name="Hyperlink" xfId="1997" builtinId="8" hidden="1"/>
    <cellStyle name="Hyperlink" xfId="1999" builtinId="8" hidden="1"/>
    <cellStyle name="Hyperlink" xfId="2001" builtinId="8" hidden="1"/>
    <cellStyle name="Hyperlink" xfId="2003" builtinId="8" hidden="1"/>
    <cellStyle name="Hyperlink" xfId="2005" builtinId="8" hidden="1"/>
    <cellStyle name="Hyperlink" xfId="2007" builtinId="8" hidden="1"/>
    <cellStyle name="Hyperlink" xfId="2009" builtinId="8" hidden="1"/>
    <cellStyle name="Hyperlink" xfId="2011" builtinId="8" hidden="1"/>
    <cellStyle name="Hyperlink" xfId="2013" builtinId="8" hidden="1"/>
    <cellStyle name="Hyperlink" xfId="2015" builtinId="8" hidden="1"/>
    <cellStyle name="Hyperlink" xfId="2017" builtinId="8" hidden="1"/>
    <cellStyle name="Hyperlink" xfId="2019" builtinId="8" hidden="1"/>
    <cellStyle name="Hyperlink" xfId="2021" builtinId="8" hidden="1"/>
    <cellStyle name="Hyperlink" xfId="2023" builtinId="8" hidden="1"/>
    <cellStyle name="Hyperlink" xfId="2025" builtinId="8" hidden="1"/>
    <cellStyle name="Hyperlink" xfId="2027" builtinId="8" hidden="1"/>
    <cellStyle name="Hyperlink" xfId="2029" builtinId="8" hidden="1"/>
    <cellStyle name="Hyperlink" xfId="2031" builtinId="8" hidden="1"/>
    <cellStyle name="Hyperlink" xfId="2033" builtinId="8" hidden="1"/>
    <cellStyle name="Hyperlink" xfId="2035" builtinId="8" hidden="1"/>
    <cellStyle name="Hyperlink" xfId="2037" builtinId="8" hidden="1"/>
    <cellStyle name="Hyperlink" xfId="2039" builtinId="8" hidden="1"/>
    <cellStyle name="Hyperlink" xfId="2041" builtinId="8" hidden="1"/>
    <cellStyle name="Hyperlink" xfId="2043" builtinId="8" hidden="1"/>
    <cellStyle name="Hyperlink" xfId="2045" builtinId="8" hidden="1"/>
    <cellStyle name="Hyperlink" xfId="2047" builtinId="8" hidden="1"/>
    <cellStyle name="Hyperlink" xfId="2049" builtinId="8" hidden="1"/>
    <cellStyle name="Hyperlink" xfId="2051" builtinId="8" hidden="1"/>
    <cellStyle name="Hyperlink" xfId="2053" builtinId="8" hidden="1"/>
    <cellStyle name="Hyperlink" xfId="2055" builtinId="8" hidden="1"/>
    <cellStyle name="Hyperlink" xfId="2057" builtinId="8" hidden="1"/>
    <cellStyle name="Hyperlink" xfId="2059" builtinId="8" hidden="1"/>
    <cellStyle name="Hyperlink" xfId="2061" builtinId="8" hidden="1"/>
    <cellStyle name="Hyperlink" xfId="2063" builtinId="8" hidden="1"/>
    <cellStyle name="Hyperlink" xfId="2065" builtinId="8" hidden="1"/>
    <cellStyle name="Hyperlink" xfId="2067" builtinId="8" hidden="1"/>
    <cellStyle name="Hyperlink" xfId="2069" builtinId="8" hidden="1"/>
    <cellStyle name="Hyperlink" xfId="2071" builtinId="8" hidden="1"/>
    <cellStyle name="Hyperlink" xfId="2073" builtinId="8" hidden="1"/>
    <cellStyle name="Hyperlink" xfId="2075" builtinId="8" hidden="1"/>
    <cellStyle name="Hyperlink" xfId="2077" builtinId="8" hidden="1"/>
    <cellStyle name="Hyperlink" xfId="2079" builtinId="8" hidden="1"/>
    <cellStyle name="Hyperlink" xfId="2081" builtinId="8" hidden="1"/>
    <cellStyle name="Hyperlink" xfId="2083" builtinId="8" hidden="1"/>
    <cellStyle name="Hyperlink" xfId="2085" builtinId="8" hidden="1"/>
    <cellStyle name="Hyperlink" xfId="2087" builtinId="8" hidden="1"/>
    <cellStyle name="Hyperlink" xfId="2089" builtinId="8" hidden="1"/>
    <cellStyle name="Hyperlink" xfId="2091" builtinId="8" hidden="1"/>
    <cellStyle name="Hyperlink" xfId="2093" builtinId="8" hidden="1"/>
    <cellStyle name="Hyperlink" xfId="2095" builtinId="8" hidden="1"/>
    <cellStyle name="Hyperlink" xfId="2097" builtinId="8" hidden="1"/>
    <cellStyle name="Hyperlink" xfId="2099" builtinId="8" hidden="1"/>
    <cellStyle name="Hyperlink" xfId="2101" builtinId="8" hidden="1"/>
    <cellStyle name="Hyperlink" xfId="2103" builtinId="8" hidden="1"/>
    <cellStyle name="Hyperlink" xfId="2105" builtinId="8" hidden="1"/>
    <cellStyle name="Hyperlink" xfId="2107" builtinId="8" hidden="1"/>
    <cellStyle name="Hyperlink" xfId="2109" builtinId="8" hidden="1"/>
    <cellStyle name="Hyperlink" xfId="2111" builtinId="8" hidden="1"/>
    <cellStyle name="Hyperlink" xfId="2113" builtinId="8" hidden="1"/>
    <cellStyle name="Hyperlink" xfId="2115" builtinId="8" hidden="1"/>
    <cellStyle name="Hyperlink" xfId="2117" builtinId="8" hidden="1"/>
    <cellStyle name="Hyperlink" xfId="2119" builtinId="8" hidden="1"/>
    <cellStyle name="Hyperlink" xfId="2121" builtinId="8" hidden="1"/>
    <cellStyle name="Hyperlink" xfId="2123" builtinId="8" hidden="1"/>
    <cellStyle name="Hyperlink" xfId="2125" builtinId="8" hidden="1"/>
    <cellStyle name="Hyperlink" xfId="2127" builtinId="8" hidden="1"/>
    <cellStyle name="Hyperlink" xfId="2129" builtinId="8" hidden="1"/>
    <cellStyle name="Hyperlink" xfId="2131" builtinId="8" hidden="1"/>
    <cellStyle name="Hyperlink" xfId="2133" builtinId="8" hidden="1"/>
    <cellStyle name="Hyperlink" xfId="2135" builtinId="8" hidden="1"/>
    <cellStyle name="Hyperlink" xfId="2137" builtinId="8" hidden="1"/>
    <cellStyle name="Hyperlink" xfId="2139" builtinId="8" hidden="1"/>
    <cellStyle name="Hyperlink" xfId="2141" builtinId="8" hidden="1"/>
    <cellStyle name="Hyperlink" xfId="2143" builtinId="8" hidden="1"/>
    <cellStyle name="Hyperlink" xfId="2145" builtinId="8" hidden="1"/>
    <cellStyle name="Hyperlink" xfId="2147" builtinId="8" hidden="1"/>
    <cellStyle name="Hyperlink" xfId="2149" builtinId="8" hidden="1"/>
    <cellStyle name="Hyperlink" xfId="2151" builtinId="8" hidden="1"/>
    <cellStyle name="Hyperlink" xfId="2153" builtinId="8" hidden="1"/>
    <cellStyle name="Hyperlink" xfId="2155" builtinId="8" hidden="1"/>
    <cellStyle name="Hyperlink" xfId="2157" builtinId="8" hidden="1"/>
    <cellStyle name="Hyperlink" xfId="2159" builtinId="8" hidden="1"/>
    <cellStyle name="Hyperlink" xfId="2161" builtinId="8" hidden="1"/>
    <cellStyle name="Hyperlink" xfId="2163" builtinId="8" hidden="1"/>
    <cellStyle name="Hyperlink" xfId="2165" builtinId="8" hidden="1"/>
    <cellStyle name="Hyperlink" xfId="2167" builtinId="8" hidden="1"/>
    <cellStyle name="Hyperlink" xfId="2169" builtinId="8" hidden="1"/>
    <cellStyle name="Hyperlink" xfId="2171" builtinId="8" hidden="1"/>
    <cellStyle name="Hyperlink" xfId="2173" builtinId="8" hidden="1"/>
    <cellStyle name="Hyperlink" xfId="2175" builtinId="8" hidden="1"/>
    <cellStyle name="Hyperlink" xfId="2177" builtinId="8" hidden="1"/>
    <cellStyle name="Hyperlink" xfId="2179" builtinId="8" hidden="1"/>
    <cellStyle name="Hyperlink" xfId="2181" builtinId="8" hidden="1"/>
    <cellStyle name="Hyperlink" xfId="2183" builtinId="8" hidden="1"/>
    <cellStyle name="Hyperlink" xfId="2185" builtinId="8" hidden="1"/>
    <cellStyle name="Hyperlink" xfId="2187" builtinId="8" hidden="1"/>
    <cellStyle name="Hyperlink" xfId="2189" builtinId="8" hidden="1"/>
    <cellStyle name="Hyperlink" xfId="2191" builtinId="8" hidden="1"/>
    <cellStyle name="Hyperlink" xfId="2193" builtinId="8" hidden="1"/>
    <cellStyle name="Hyperlink" xfId="2195" builtinId="8" hidden="1"/>
    <cellStyle name="Hyperlink" xfId="2197" builtinId="8" hidden="1"/>
    <cellStyle name="Hyperlink" xfId="2199" builtinId="8" hidden="1"/>
    <cellStyle name="Hyperlink" xfId="2201" builtinId="8" hidden="1"/>
    <cellStyle name="Hyperlink" xfId="2203" builtinId="8" hidden="1"/>
    <cellStyle name="Hyperlink" xfId="2205" builtinId="8" hidden="1"/>
    <cellStyle name="Hyperlink" xfId="2207" builtinId="8" hidden="1"/>
    <cellStyle name="Hyperlink" xfId="2209" builtinId="8" hidden="1"/>
    <cellStyle name="Hyperlink" xfId="2211" builtinId="8" hidden="1"/>
    <cellStyle name="Hyperlink" xfId="2213" builtinId="8" hidden="1"/>
    <cellStyle name="Hyperlink" xfId="2215" builtinId="8" hidden="1"/>
    <cellStyle name="Hyperlink" xfId="2217" builtinId="8" hidden="1"/>
    <cellStyle name="Hyperlink" xfId="2219" builtinId="8" hidden="1"/>
    <cellStyle name="Hyperlink" xfId="2221" builtinId="8" hidden="1"/>
    <cellStyle name="Hyperlink" xfId="2223" builtinId="8" hidden="1"/>
    <cellStyle name="Hyperlink" xfId="2225" builtinId="8" hidden="1"/>
    <cellStyle name="Hyperlink" xfId="2227" builtinId="8" hidden="1"/>
    <cellStyle name="Hyperlink" xfId="2229" builtinId="8" hidden="1"/>
    <cellStyle name="Hyperlink" xfId="2231" builtinId="8" hidden="1"/>
    <cellStyle name="Hyperlink" xfId="2233" builtinId="8" hidden="1"/>
    <cellStyle name="Hyperlink" xfId="2235" builtinId="8" hidden="1"/>
    <cellStyle name="Hyperlink" xfId="2237" builtinId="8" hidden="1"/>
    <cellStyle name="Hyperlink" xfId="2239" builtinId="8" hidden="1"/>
    <cellStyle name="Hyperlink" xfId="2241" builtinId="8" hidden="1"/>
    <cellStyle name="Hyperlink" xfId="2243" builtinId="8" hidden="1"/>
    <cellStyle name="Hyperlink" xfId="2245" builtinId="8" hidden="1"/>
    <cellStyle name="Hyperlink" xfId="2247" builtinId="8" hidden="1"/>
    <cellStyle name="Hyperlink" xfId="2249" builtinId="8" hidden="1"/>
    <cellStyle name="Hyperlink" xfId="2251" builtinId="8" hidden="1"/>
    <cellStyle name="Hyperlink" xfId="2253" builtinId="8" hidden="1"/>
    <cellStyle name="Hyperlink" xfId="2255" builtinId="8" hidden="1"/>
    <cellStyle name="Hyperlink" xfId="2257" builtinId="8" hidden="1"/>
    <cellStyle name="Hyperlink" xfId="2259" builtinId="8" hidden="1"/>
    <cellStyle name="Hyperlink" xfId="2261" builtinId="8" hidden="1"/>
    <cellStyle name="Hyperlink" xfId="2263" builtinId="8" hidden="1"/>
    <cellStyle name="Hyperlink" xfId="2265" builtinId="8" hidden="1"/>
    <cellStyle name="Hyperlink" xfId="2267" builtinId="8" hidden="1"/>
    <cellStyle name="Hyperlink" xfId="2269" builtinId="8" hidden="1"/>
    <cellStyle name="Hyperlink" xfId="2271" builtinId="8" hidden="1"/>
    <cellStyle name="Hyperlink" xfId="2273" builtinId="8" hidden="1"/>
    <cellStyle name="Hyperlink" xfId="2275" builtinId="8" hidden="1"/>
    <cellStyle name="Hyperlink" xfId="2277" builtinId="8" hidden="1"/>
    <cellStyle name="Hyperlink" xfId="2279" builtinId="8" hidden="1"/>
    <cellStyle name="Hyperlink" xfId="2281" builtinId="8" hidden="1"/>
    <cellStyle name="Hyperlink" xfId="2283" builtinId="8" hidden="1"/>
    <cellStyle name="Hyperlink" xfId="2285" builtinId="8" hidden="1"/>
    <cellStyle name="Hyperlink" xfId="2287" builtinId="8" hidden="1"/>
    <cellStyle name="Hyperlink" xfId="2289" builtinId="8" hidden="1"/>
    <cellStyle name="Hyperlink" xfId="2291" builtinId="8" hidden="1"/>
    <cellStyle name="Hyperlink" xfId="2293" builtinId="8" hidden="1"/>
    <cellStyle name="Hyperlink" xfId="2295" builtinId="8" hidden="1"/>
    <cellStyle name="Hyperlink" xfId="2297" builtinId="8" hidden="1"/>
    <cellStyle name="Hyperlink" xfId="2299" builtinId="8" hidden="1"/>
    <cellStyle name="Hyperlink" xfId="2301" builtinId="8" hidden="1"/>
    <cellStyle name="Hyperlink" xfId="2303" builtinId="8" hidden="1"/>
    <cellStyle name="Hyperlink" xfId="2305" builtinId="8" hidden="1"/>
    <cellStyle name="Hyperlink" xfId="2307" builtinId="8" hidden="1"/>
    <cellStyle name="Hyperlink" xfId="2309" builtinId="8" hidden="1"/>
    <cellStyle name="Hyperlink" xfId="2311" builtinId="8" hidden="1"/>
    <cellStyle name="Hyperlink" xfId="2313" builtinId="8" hidden="1"/>
    <cellStyle name="Hyperlink" xfId="2315" builtinId="8" hidden="1"/>
    <cellStyle name="Hyperlink" xfId="2317" builtinId="8" hidden="1"/>
    <cellStyle name="Hyperlink" xfId="2319" builtinId="8" hidden="1"/>
    <cellStyle name="Hyperlink" xfId="2321" builtinId="8" hidden="1"/>
    <cellStyle name="Hyperlink" xfId="2323" builtinId="8" hidden="1"/>
    <cellStyle name="Hyperlink" xfId="2325" builtinId="8" hidden="1"/>
    <cellStyle name="Hyperlink" xfId="2327" builtinId="8" hidden="1"/>
    <cellStyle name="Hyperlink" xfId="2329" builtinId="8" hidden="1"/>
    <cellStyle name="Hyperlink" xfId="2331" builtinId="8" hidden="1"/>
    <cellStyle name="Hyperlink" xfId="2333" builtinId="8" hidden="1"/>
    <cellStyle name="Hyperlink" xfId="2335" builtinId="8" hidden="1"/>
    <cellStyle name="Hyperlink" xfId="2337" builtinId="8" hidden="1"/>
    <cellStyle name="Hyperlink" xfId="2339" builtinId="8" hidden="1"/>
    <cellStyle name="Hyperlink" xfId="2341" builtinId="8" hidden="1"/>
    <cellStyle name="Hyperlink" xfId="2343" builtinId="8" hidden="1"/>
    <cellStyle name="Hyperlink" xfId="2345" builtinId="8" hidden="1"/>
    <cellStyle name="Hyperlink" xfId="2347" builtinId="8" hidden="1"/>
    <cellStyle name="Hyperlink" xfId="2349" builtinId="8" hidden="1"/>
    <cellStyle name="Hyperlink" xfId="2351" builtinId="8" hidden="1"/>
    <cellStyle name="Hyperlink" xfId="2353" builtinId="8" hidden="1"/>
    <cellStyle name="Hyperlink" xfId="2355" builtinId="8" hidden="1"/>
    <cellStyle name="Hyperlink" xfId="2357" builtinId="8" hidden="1"/>
    <cellStyle name="Hyperlink" xfId="2359" builtinId="8" hidden="1"/>
    <cellStyle name="Hyperlink" xfId="2361" builtinId="8" hidden="1"/>
    <cellStyle name="Hyperlink" xfId="2363" builtinId="8" hidden="1"/>
    <cellStyle name="Hyperlink" xfId="2365" builtinId="8" hidden="1"/>
    <cellStyle name="Hyperlink" xfId="2367" builtinId="8" hidden="1"/>
    <cellStyle name="Hyperlink" xfId="2369" builtinId="8" hidden="1"/>
    <cellStyle name="Hyperlink" xfId="2371" builtinId="8" hidden="1"/>
    <cellStyle name="Hyperlink" xfId="2373" builtinId="8" hidden="1"/>
    <cellStyle name="Hyperlink" xfId="2375" builtinId="8" hidden="1"/>
    <cellStyle name="Hyperlink" xfId="2377" builtinId="8" hidden="1"/>
    <cellStyle name="Hyperlink" xfId="2379" builtinId="8" hidden="1"/>
    <cellStyle name="Hyperlink" xfId="2381" builtinId="8" hidden="1"/>
    <cellStyle name="Hyperlink" xfId="2383" builtinId="8" hidden="1"/>
    <cellStyle name="Hyperlink" xfId="2385" builtinId="8" hidden="1"/>
    <cellStyle name="Hyperlink" xfId="2387" builtinId="8" hidden="1"/>
    <cellStyle name="Hyperlink" xfId="2389" builtinId="8" hidden="1"/>
    <cellStyle name="Hyperlink" xfId="2391" builtinId="8" hidden="1"/>
    <cellStyle name="Hyperlink" xfId="2393" builtinId="8" hidden="1"/>
    <cellStyle name="Hyperlink" xfId="2395" builtinId="8" hidden="1"/>
    <cellStyle name="Hyperlink" xfId="2397" builtinId="8" hidden="1"/>
    <cellStyle name="Hyperlink" xfId="2399" builtinId="8" hidden="1"/>
    <cellStyle name="Hyperlink" xfId="2401" builtinId="8" hidden="1"/>
    <cellStyle name="Hyperlink" xfId="2403" builtinId="8" hidden="1"/>
    <cellStyle name="Hyperlink" xfId="2405" builtinId="8" hidden="1"/>
    <cellStyle name="Hyperlink" xfId="2407" builtinId="8" hidden="1"/>
    <cellStyle name="Hyperlink" xfId="2409" builtinId="8" hidden="1"/>
    <cellStyle name="Hyperlink" xfId="2411" builtinId="8" hidden="1"/>
    <cellStyle name="Hyperlink" xfId="2413" builtinId="8" hidden="1"/>
    <cellStyle name="Hyperlink" xfId="2415" builtinId="8" hidden="1"/>
    <cellStyle name="Hyperlink" xfId="2417" builtinId="8" hidden="1"/>
    <cellStyle name="Hyperlink" xfId="2419" builtinId="8" hidden="1"/>
    <cellStyle name="Hyperlink" xfId="2421" builtinId="8" hidden="1"/>
    <cellStyle name="Hyperlink" xfId="2423" builtinId="8" hidden="1"/>
    <cellStyle name="Hyperlink" xfId="2425" builtinId="8" hidden="1"/>
    <cellStyle name="Hyperlink" xfId="2427" builtinId="8" hidden="1"/>
    <cellStyle name="Hyperlink" xfId="2429" builtinId="8" hidden="1"/>
    <cellStyle name="Hyperlink" xfId="2431" builtinId="8" hidden="1"/>
    <cellStyle name="Hyperlink" xfId="2433" builtinId="8" hidden="1"/>
    <cellStyle name="Hyperlink" xfId="2435" builtinId="8" hidden="1"/>
    <cellStyle name="Hyperlink" xfId="2437" builtinId="8" hidden="1"/>
    <cellStyle name="Hyperlink" xfId="2439" builtinId="8" hidden="1"/>
    <cellStyle name="Hyperlink" xfId="2441" builtinId="8" hidden="1"/>
    <cellStyle name="Hyperlink" xfId="2443" builtinId="8" hidden="1"/>
    <cellStyle name="Hyperlink" xfId="2445" builtinId="8" hidden="1"/>
    <cellStyle name="Hyperlink" xfId="2447" builtinId="8" hidden="1"/>
    <cellStyle name="Hyperlink" xfId="2449" builtinId="8" hidden="1"/>
    <cellStyle name="Hyperlink" xfId="2451" builtinId="8" hidden="1"/>
    <cellStyle name="Hyperlink" xfId="2453" builtinId="8" hidden="1"/>
    <cellStyle name="Hyperlink" xfId="2455" builtinId="8" hidden="1"/>
    <cellStyle name="Hyperlink" xfId="2457" builtinId="8" hidden="1"/>
    <cellStyle name="Hyperlink" xfId="2459" builtinId="8" hidden="1"/>
    <cellStyle name="Hyperlink" xfId="2461" builtinId="8" hidden="1"/>
    <cellStyle name="Hyperlink" xfId="2463" builtinId="8" hidden="1"/>
    <cellStyle name="Hyperlink" xfId="2465" builtinId="8" hidden="1"/>
    <cellStyle name="Hyperlink" xfId="2467" builtinId="8" hidden="1"/>
    <cellStyle name="Hyperlink" xfId="2469" builtinId="8" hidden="1"/>
    <cellStyle name="Hyperlink" xfId="2471" builtinId="8" hidden="1"/>
    <cellStyle name="Hyperlink" xfId="2473" builtinId="8" hidden="1"/>
    <cellStyle name="Hyperlink" xfId="2475" builtinId="8" hidden="1"/>
    <cellStyle name="Hyperlink" xfId="2477" builtinId="8" hidden="1"/>
    <cellStyle name="Hyperlink" xfId="2479" builtinId="8" hidden="1"/>
    <cellStyle name="Hyperlink" xfId="2481" builtinId="8" hidden="1"/>
    <cellStyle name="Hyperlink" xfId="2483" builtinId="8" hidden="1"/>
    <cellStyle name="Hyperlink" xfId="2485" builtinId="8" hidden="1"/>
    <cellStyle name="Hyperlink" xfId="2487" builtinId="8" hidden="1"/>
    <cellStyle name="Hyperlink" xfId="2489" builtinId="8" hidden="1"/>
    <cellStyle name="Hyperlink" xfId="2491" builtinId="8" hidden="1"/>
    <cellStyle name="Hyperlink" xfId="2493" builtinId="8" hidden="1"/>
    <cellStyle name="Hyperlink" xfId="2495" builtinId="8" hidden="1"/>
    <cellStyle name="Hyperlink" xfId="2497" builtinId="8" hidden="1"/>
    <cellStyle name="Hyperlink" xfId="2499" builtinId="8" hidden="1"/>
    <cellStyle name="Hyperlink" xfId="2501" builtinId="8" hidden="1"/>
    <cellStyle name="Hyperlink" xfId="2503" builtinId="8" hidden="1"/>
    <cellStyle name="Hyperlink" xfId="2505" builtinId="8" hidden="1"/>
    <cellStyle name="Hyperlink" xfId="2507" builtinId="8" hidden="1"/>
    <cellStyle name="Hyperlink" xfId="2509" builtinId="8" hidden="1"/>
    <cellStyle name="Hyperlink" xfId="2511" builtinId="8" hidden="1"/>
    <cellStyle name="Hyperlink" xfId="2513" builtinId="8" hidden="1"/>
    <cellStyle name="Hyperlink" xfId="2515" builtinId="8" hidden="1"/>
    <cellStyle name="Hyperlink" xfId="2517" builtinId="8" hidden="1"/>
    <cellStyle name="Hyperlink" xfId="2519" builtinId="8" hidden="1"/>
    <cellStyle name="Hyperlink" xfId="2521" builtinId="8" hidden="1"/>
    <cellStyle name="Hyperlink" xfId="2523" builtinId="8" hidden="1"/>
    <cellStyle name="Hyperlink" xfId="2525" builtinId="8" hidden="1"/>
    <cellStyle name="Hyperlink" xfId="2527" builtinId="8" hidden="1"/>
    <cellStyle name="Hyperlink" xfId="2529" builtinId="8" hidden="1"/>
    <cellStyle name="Hyperlink" xfId="2531" builtinId="8" hidden="1"/>
    <cellStyle name="Hyperlink" xfId="2533" builtinId="8" hidden="1"/>
    <cellStyle name="Hyperlink" xfId="2535" builtinId="8" hidden="1"/>
    <cellStyle name="Hyperlink" xfId="2537" builtinId="8" hidden="1"/>
    <cellStyle name="Hyperlink" xfId="2539" builtinId="8" hidden="1"/>
    <cellStyle name="Hyperlink" xfId="2541" builtinId="8" hidden="1"/>
    <cellStyle name="Hyperlink" xfId="2543" builtinId="8" hidden="1"/>
    <cellStyle name="Hyperlink" xfId="2545" builtinId="8" hidden="1"/>
    <cellStyle name="Hyperlink" xfId="2547" builtinId="8" hidden="1"/>
    <cellStyle name="Hyperlink" xfId="2549" builtinId="8" hidden="1"/>
    <cellStyle name="Hyperlink" xfId="2551" builtinId="8" hidden="1"/>
    <cellStyle name="Hyperlink" xfId="2553" builtinId="8" hidden="1"/>
    <cellStyle name="Hyperlink" xfId="2555" builtinId="8" hidden="1"/>
    <cellStyle name="Hyperlink" xfId="2557" builtinId="8" hidden="1"/>
    <cellStyle name="Hyperlink" xfId="2559" builtinId="8" hidden="1"/>
    <cellStyle name="Hyperlink" xfId="2561" builtinId="8" hidden="1"/>
    <cellStyle name="Hyperlink" xfId="2563" builtinId="8" hidden="1"/>
    <cellStyle name="Hyperlink" xfId="2565" builtinId="8" hidden="1"/>
    <cellStyle name="Hyperlink" xfId="2567" builtinId="8" hidden="1"/>
    <cellStyle name="Hyperlink" xfId="2569" builtinId="8" hidden="1"/>
    <cellStyle name="Hyperlink" xfId="2571" builtinId="8" hidden="1"/>
    <cellStyle name="Hyperlink" xfId="2573" builtinId="8" hidden="1"/>
    <cellStyle name="Hyperlink" xfId="2575" builtinId="8" hidden="1"/>
    <cellStyle name="Hyperlink" xfId="2577" builtinId="8" hidden="1"/>
    <cellStyle name="Hyperlink" xfId="2579" builtinId="8" hidden="1"/>
    <cellStyle name="Hyperlink" xfId="2581" builtinId="8" hidden="1"/>
    <cellStyle name="Hyperlink" xfId="2583" builtinId="8" hidden="1"/>
    <cellStyle name="Hyperlink" xfId="2587" builtinId="8" hidden="1"/>
    <cellStyle name="Hyperlink" xfId="2589" builtinId="8" hidden="1"/>
    <cellStyle name="Hyperlink" xfId="2591" builtinId="8" hidden="1"/>
    <cellStyle name="Hyperlink" xfId="2593" builtinId="8" hidden="1"/>
    <cellStyle name="Hyperlink" xfId="2595" builtinId="8" hidden="1"/>
    <cellStyle name="Hyperlink" xfId="2597" builtinId="8" hidden="1"/>
    <cellStyle name="Hyperlink" xfId="2599" builtinId="8" hidden="1"/>
    <cellStyle name="Hyperlink" xfId="2601" builtinId="8" hidden="1"/>
    <cellStyle name="Hyperlink" xfId="2603" builtinId="8" hidden="1"/>
    <cellStyle name="Hyperlink" xfId="2605" builtinId="8" hidden="1"/>
    <cellStyle name="Hyperlink" xfId="2607" builtinId="8" hidden="1"/>
    <cellStyle name="Hyperlink" xfId="2609" builtinId="8" hidden="1"/>
    <cellStyle name="Hyperlink" xfId="2611" builtinId="8" hidden="1"/>
    <cellStyle name="Hyperlink" xfId="2613" builtinId="8" hidden="1"/>
    <cellStyle name="Hyperlink" xfId="2615" builtinId="8" hidden="1"/>
    <cellStyle name="Hyperlink" xfId="2617" builtinId="8" hidden="1"/>
    <cellStyle name="Hyperlink" xfId="2619" builtinId="8" hidden="1"/>
    <cellStyle name="Hyperlink" xfId="2621" builtinId="8" hidden="1"/>
    <cellStyle name="Hyperlink" xfId="2623" builtinId="8" hidden="1"/>
    <cellStyle name="Normal" xfId="0" builtinId="0"/>
  </cellStyles>
  <dxfs count="0"/>
  <tableStyles count="0" defaultTableStyle="TableStyleMedium9" defaultPivotStyle="PivotStyleMedium4"/>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externalLink" Target="externalLinks/externalLink1.xml"/><Relationship Id="rId14" Type="http://schemas.openxmlformats.org/officeDocument/2006/relationships/externalLink" Target="externalLinks/externalLink2.xml"/><Relationship Id="rId15" Type="http://schemas.openxmlformats.org/officeDocument/2006/relationships/theme" Target="theme/theme1.xml"/><Relationship Id="rId16" Type="http://schemas.openxmlformats.org/officeDocument/2006/relationships/styles" Target="styles.xml"/><Relationship Id="rId17" Type="http://schemas.openxmlformats.org/officeDocument/2006/relationships/sharedStrings" Target="sharedStrings.xml"/><Relationship Id="rId18" Type="http://schemas.openxmlformats.org/officeDocument/2006/relationships/calcChain" Target="calcChain.xml"/><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s>
</file>

<file path=xl/drawings/_rels/drawing1.xml.rels><?xml version="1.0" encoding="UTF-8" standalone="yes"?>
<Relationships xmlns="http://schemas.openxmlformats.org/package/2006/relationships"><Relationship Id="rId3" Type="http://schemas.openxmlformats.org/officeDocument/2006/relationships/image" Target="../media/image3.tif"/><Relationship Id="rId4" Type="http://schemas.openxmlformats.org/officeDocument/2006/relationships/image" Target="../media/image4.png"/><Relationship Id="rId5" Type="http://schemas.openxmlformats.org/officeDocument/2006/relationships/image" Target="../media/image5.png"/><Relationship Id="rId6" Type="http://schemas.openxmlformats.org/officeDocument/2006/relationships/image" Target="../media/image6.tif"/><Relationship Id="rId7" Type="http://schemas.openxmlformats.org/officeDocument/2006/relationships/image" Target="../media/image7.JPG"/><Relationship Id="rId1" Type="http://schemas.openxmlformats.org/officeDocument/2006/relationships/image" Target="../media/image1.png"/><Relationship Id="rId2" Type="http://schemas.openxmlformats.org/officeDocument/2006/relationships/image" Target="../media/image2.tif"/></Relationships>
</file>

<file path=xl/drawings/_rels/drawing2.xml.rels><?xml version="1.0" encoding="UTF-8" standalone="yes"?>
<Relationships xmlns="http://schemas.openxmlformats.org/package/2006/relationships"><Relationship Id="rId1" Type="http://schemas.openxmlformats.org/officeDocument/2006/relationships/image" Target="../media/image8.png"/></Relationships>
</file>

<file path=xl/drawings/_rels/drawing3.xml.rels><?xml version="1.0" encoding="UTF-8" standalone="yes"?>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10.png"/><Relationship Id="rId3"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11.png"/><Relationship Id="rId2" Type="http://schemas.openxmlformats.org/officeDocument/2006/relationships/image" Target="../media/image12.png"/></Relationships>
</file>

<file path=xl/drawings/_rels/drawing5.xml.rels><?xml version="1.0" encoding="UTF-8" standalone="yes"?>
<Relationships xmlns="http://schemas.openxmlformats.org/package/2006/relationships"><Relationship Id="rId3" Type="http://schemas.openxmlformats.org/officeDocument/2006/relationships/image" Target="../media/image15.tif"/><Relationship Id="rId4" Type="http://schemas.openxmlformats.org/officeDocument/2006/relationships/image" Target="../media/image16.tif"/><Relationship Id="rId5" Type="http://schemas.openxmlformats.org/officeDocument/2006/relationships/image" Target="../media/image17.tif"/><Relationship Id="rId6" Type="http://schemas.openxmlformats.org/officeDocument/2006/relationships/image" Target="../media/image18.tif"/><Relationship Id="rId7" Type="http://schemas.openxmlformats.org/officeDocument/2006/relationships/image" Target="../media/image19.tif"/><Relationship Id="rId8" Type="http://schemas.openxmlformats.org/officeDocument/2006/relationships/image" Target="../media/image20.tif"/><Relationship Id="rId9" Type="http://schemas.openxmlformats.org/officeDocument/2006/relationships/image" Target="../media/image21.tif"/><Relationship Id="rId10" Type="http://schemas.openxmlformats.org/officeDocument/2006/relationships/image" Target="../media/image22.tif"/><Relationship Id="rId1" Type="http://schemas.openxmlformats.org/officeDocument/2006/relationships/image" Target="../media/image13.tif"/><Relationship Id="rId2" Type="http://schemas.openxmlformats.org/officeDocument/2006/relationships/image" Target="../media/image14.tif"/></Relationships>
</file>

<file path=xl/drawings/_rels/drawing6.xml.rels><?xml version="1.0" encoding="UTF-8" standalone="yes"?>
<Relationships xmlns="http://schemas.openxmlformats.org/package/2006/relationships"><Relationship Id="rId1" Type="http://schemas.openxmlformats.org/officeDocument/2006/relationships/image" Target="../media/image23.png"/><Relationship Id="rId2" Type="http://schemas.openxmlformats.org/officeDocument/2006/relationships/image" Target="../media/image24.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 Id="rId2" Type="http://schemas.openxmlformats.org/officeDocument/2006/relationships/image" Target="../media/image9.png"/><Relationship Id="rId3" Type="http://schemas.openxmlformats.org/officeDocument/2006/relationships/image" Target="../media/image25.tif"/></Relationships>
</file>

<file path=xl/drawings/_rels/drawing8.xml.rels><?xml version="1.0" encoding="UTF-8" standalone="yes"?>
<Relationships xmlns="http://schemas.openxmlformats.org/package/2006/relationships"><Relationship Id="rId1" Type="http://schemas.openxmlformats.org/officeDocument/2006/relationships/image" Target="../media/image26.tif"/><Relationship Id="rId2" Type="http://schemas.openxmlformats.org/officeDocument/2006/relationships/image" Target="../media/image27.tif"/></Relationships>
</file>

<file path=xl/drawings/_rels/drawing9.xml.rels><?xml version="1.0" encoding="UTF-8" standalone="yes"?>
<Relationships xmlns="http://schemas.openxmlformats.org/package/2006/relationships"><Relationship Id="rId1" Type="http://schemas.openxmlformats.org/officeDocument/2006/relationships/image" Target="../media/image28.JPG"/><Relationship Id="rId2" Type="http://schemas.openxmlformats.org/officeDocument/2006/relationships/image" Target="../media/image29.JPG"/><Relationship Id="rId3" Type="http://schemas.openxmlformats.org/officeDocument/2006/relationships/image" Target="../media/image30.JPG"/></Relationships>
</file>

<file path=xl/drawings/drawing1.xml><?xml version="1.0" encoding="utf-8"?>
<xdr:wsDr xmlns:xdr="http://schemas.openxmlformats.org/drawingml/2006/spreadsheetDrawing" xmlns:a="http://schemas.openxmlformats.org/drawingml/2006/main">
  <xdr:twoCellAnchor editAs="oneCell">
    <xdr:from>
      <xdr:col>18</xdr:col>
      <xdr:colOff>477950</xdr:colOff>
      <xdr:row>29</xdr:row>
      <xdr:rowOff>152400</xdr:rowOff>
    </xdr:from>
    <xdr:to>
      <xdr:col>22</xdr:col>
      <xdr:colOff>825499</xdr:colOff>
      <xdr:row>44</xdr:row>
      <xdr:rowOff>38100</xdr:rowOff>
    </xdr:to>
    <xdr:pic>
      <xdr:nvPicPr>
        <xdr:cNvPr id="2" name="Picture 1" descr="Tethya-ost-RR-01-counts.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943750" y="5715000"/>
          <a:ext cx="3700349" cy="3149600"/>
        </a:xfrm>
        <a:prstGeom prst="rect">
          <a:avLst/>
        </a:prstGeom>
      </xdr:spPr>
    </xdr:pic>
    <xdr:clientData/>
  </xdr:twoCellAnchor>
  <xdr:twoCellAnchor editAs="oneCell">
    <xdr:from>
      <xdr:col>13</xdr:col>
      <xdr:colOff>584200</xdr:colOff>
      <xdr:row>29</xdr:row>
      <xdr:rowOff>160020</xdr:rowOff>
    </xdr:from>
    <xdr:to>
      <xdr:col>18</xdr:col>
      <xdr:colOff>304799</xdr:colOff>
      <xdr:row>44</xdr:row>
      <xdr:rowOff>25399</xdr:rowOff>
    </xdr:to>
    <xdr:pic>
      <xdr:nvPicPr>
        <xdr:cNvPr id="3" name="Picture 2" descr="Tethya-ost-RR-01.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859000" y="5722620"/>
          <a:ext cx="3911599" cy="3129279"/>
        </a:xfrm>
        <a:prstGeom prst="rect">
          <a:avLst/>
        </a:prstGeom>
      </xdr:spPr>
    </xdr:pic>
    <xdr:clientData/>
  </xdr:twoCellAnchor>
  <xdr:twoCellAnchor editAs="oneCell">
    <xdr:from>
      <xdr:col>13</xdr:col>
      <xdr:colOff>355600</xdr:colOff>
      <xdr:row>48</xdr:row>
      <xdr:rowOff>12700</xdr:rowOff>
    </xdr:from>
    <xdr:to>
      <xdr:col>18</xdr:col>
      <xdr:colOff>419100</xdr:colOff>
      <xdr:row>63</xdr:row>
      <xdr:rowOff>152400</xdr:rowOff>
    </xdr:to>
    <xdr:pic>
      <xdr:nvPicPr>
        <xdr:cNvPr id="4" name="Picture 3" descr="Tethya-ost-RR-06.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630400" y="9601200"/>
          <a:ext cx="4254500" cy="3403600"/>
        </a:xfrm>
        <a:prstGeom prst="rect">
          <a:avLst/>
        </a:prstGeom>
      </xdr:spPr>
    </xdr:pic>
    <xdr:clientData/>
  </xdr:twoCellAnchor>
  <xdr:twoCellAnchor editAs="oneCell">
    <xdr:from>
      <xdr:col>19</xdr:col>
      <xdr:colOff>0</xdr:colOff>
      <xdr:row>48</xdr:row>
      <xdr:rowOff>0</xdr:rowOff>
    </xdr:from>
    <xdr:to>
      <xdr:col>23</xdr:col>
      <xdr:colOff>673100</xdr:colOff>
      <xdr:row>63</xdr:row>
      <xdr:rowOff>148825</xdr:rowOff>
    </xdr:to>
    <xdr:pic>
      <xdr:nvPicPr>
        <xdr:cNvPr id="6" name="Picture 5" descr="Tethya-ost-RR-06-count.pn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9304000" y="9588500"/>
          <a:ext cx="4025900" cy="3412725"/>
        </a:xfrm>
        <a:prstGeom prst="rect">
          <a:avLst/>
        </a:prstGeom>
      </xdr:spPr>
    </xdr:pic>
    <xdr:clientData/>
  </xdr:twoCellAnchor>
  <xdr:twoCellAnchor editAs="oneCell">
    <xdr:from>
      <xdr:col>18</xdr:col>
      <xdr:colOff>723899</xdr:colOff>
      <xdr:row>64</xdr:row>
      <xdr:rowOff>90148</xdr:rowOff>
    </xdr:from>
    <xdr:to>
      <xdr:col>23</xdr:col>
      <xdr:colOff>197728</xdr:colOff>
      <xdr:row>78</xdr:row>
      <xdr:rowOff>152400</xdr:rowOff>
    </xdr:to>
    <xdr:pic>
      <xdr:nvPicPr>
        <xdr:cNvPr id="13" name="Picture 12" descr="Tethya-ost-RR-05-counts.png"/>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189699" y="13133048"/>
          <a:ext cx="3664829" cy="3135652"/>
        </a:xfrm>
        <a:prstGeom prst="rect">
          <a:avLst/>
        </a:prstGeom>
      </xdr:spPr>
    </xdr:pic>
    <xdr:clientData/>
  </xdr:twoCellAnchor>
  <xdr:twoCellAnchor editAs="oneCell">
    <xdr:from>
      <xdr:col>13</xdr:col>
      <xdr:colOff>660400</xdr:colOff>
      <xdr:row>65</xdr:row>
      <xdr:rowOff>0</xdr:rowOff>
    </xdr:from>
    <xdr:to>
      <xdr:col>18</xdr:col>
      <xdr:colOff>501650</xdr:colOff>
      <xdr:row>78</xdr:row>
      <xdr:rowOff>342900</xdr:rowOff>
    </xdr:to>
    <xdr:pic>
      <xdr:nvPicPr>
        <xdr:cNvPr id="14" name="Picture 13" descr="Tethya-ost-RR-05.tif"/>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4935200" y="13233400"/>
          <a:ext cx="4032250" cy="3225800"/>
        </a:xfrm>
        <a:prstGeom prst="rect">
          <a:avLst/>
        </a:prstGeom>
      </xdr:spPr>
    </xdr:pic>
    <xdr:clientData/>
  </xdr:twoCellAnchor>
  <xdr:twoCellAnchor editAs="oneCell">
    <xdr:from>
      <xdr:col>4</xdr:col>
      <xdr:colOff>368300</xdr:colOff>
      <xdr:row>78</xdr:row>
      <xdr:rowOff>139700</xdr:rowOff>
    </xdr:from>
    <xdr:to>
      <xdr:col>7</xdr:col>
      <xdr:colOff>888999</xdr:colOff>
      <xdr:row>89</xdr:row>
      <xdr:rowOff>63499</xdr:rowOff>
    </xdr:to>
    <xdr:pic>
      <xdr:nvPicPr>
        <xdr:cNvPr id="5" name="Picture 4" descr="T3-P1060732.JPG"/>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953000" y="16637000"/>
          <a:ext cx="3454399" cy="25907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12</xdr:col>
      <xdr:colOff>25400</xdr:colOff>
      <xdr:row>8</xdr:row>
      <xdr:rowOff>175171</xdr:rowOff>
    </xdr:from>
    <xdr:to>
      <xdr:col>17</xdr:col>
      <xdr:colOff>470848</xdr:colOff>
      <xdr:row>23</xdr:row>
      <xdr:rowOff>9801</xdr:rowOff>
    </xdr:to>
    <xdr:pic>
      <xdr:nvPicPr>
        <xdr:cNvPr id="4" name="Picture 3" descr="Tethya-ost-RR-04.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617200" y="2156371"/>
          <a:ext cx="4572948" cy="365733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12</xdr:col>
      <xdr:colOff>393700</xdr:colOff>
      <xdr:row>37</xdr:row>
      <xdr:rowOff>58214</xdr:rowOff>
    </xdr:from>
    <xdr:to>
      <xdr:col>17</xdr:col>
      <xdr:colOff>254949</xdr:colOff>
      <xdr:row>54</xdr:row>
      <xdr:rowOff>60602</xdr:rowOff>
    </xdr:to>
    <xdr:pic>
      <xdr:nvPicPr>
        <xdr:cNvPr id="3" name="Picture 2" descr="Tethya-RR-cho-C-02.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347700" y="7513114"/>
          <a:ext cx="4052249" cy="3240888"/>
        </a:xfrm>
        <a:prstGeom prst="rect">
          <a:avLst/>
        </a:prstGeom>
      </xdr:spPr>
    </xdr:pic>
    <xdr:clientData/>
  </xdr:twoCellAnchor>
  <xdr:twoCellAnchor editAs="oneCell">
    <xdr:from>
      <xdr:col>12</xdr:col>
      <xdr:colOff>393700</xdr:colOff>
      <xdr:row>54</xdr:row>
      <xdr:rowOff>121527</xdr:rowOff>
    </xdr:from>
    <xdr:to>
      <xdr:col>17</xdr:col>
      <xdr:colOff>215900</xdr:colOff>
      <xdr:row>70</xdr:row>
      <xdr:rowOff>92684</xdr:rowOff>
    </xdr:to>
    <xdr:pic>
      <xdr:nvPicPr>
        <xdr:cNvPr id="4" name="Picture 3" descr="Tethya-cho-RR-09.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347700" y="10814927"/>
          <a:ext cx="4013200" cy="3209657"/>
        </a:xfrm>
        <a:prstGeom prst="rect">
          <a:avLst/>
        </a:prstGeom>
      </xdr:spPr>
    </xdr:pic>
    <xdr:clientData/>
  </xdr:twoCellAnchor>
  <xdr:twoCellAnchor editAs="oneCell">
    <xdr:from>
      <xdr:col>12</xdr:col>
      <xdr:colOff>393700</xdr:colOff>
      <xdr:row>70</xdr:row>
      <xdr:rowOff>177800</xdr:rowOff>
    </xdr:from>
    <xdr:to>
      <xdr:col>17</xdr:col>
      <xdr:colOff>254000</xdr:colOff>
      <xdr:row>86</xdr:row>
      <xdr:rowOff>166729</xdr:rowOff>
    </xdr:to>
    <xdr:pic>
      <xdr:nvPicPr>
        <xdr:cNvPr id="11" name="Picture 10" descr="Tethya-ost-RR-04.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3347700" y="14109700"/>
          <a:ext cx="4051300" cy="32401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7</xdr:col>
      <xdr:colOff>330201</xdr:colOff>
      <xdr:row>29</xdr:row>
      <xdr:rowOff>185085</xdr:rowOff>
    </xdr:from>
    <xdr:to>
      <xdr:col>9</xdr:col>
      <xdr:colOff>927101</xdr:colOff>
      <xdr:row>38</xdr:row>
      <xdr:rowOff>148884</xdr:rowOff>
    </xdr:to>
    <xdr:pic>
      <xdr:nvPicPr>
        <xdr:cNvPr id="2" name="Picture 1" descr="Tethya-cho-RR-11.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886701" y="6738285"/>
          <a:ext cx="2844800" cy="2275199"/>
        </a:xfrm>
        <a:prstGeom prst="rect">
          <a:avLst/>
        </a:prstGeom>
      </xdr:spPr>
    </xdr:pic>
    <xdr:clientData/>
  </xdr:twoCellAnchor>
  <xdr:twoCellAnchor editAs="oneCell">
    <xdr:from>
      <xdr:col>7</xdr:col>
      <xdr:colOff>355600</xdr:colOff>
      <xdr:row>40</xdr:row>
      <xdr:rowOff>68130</xdr:rowOff>
    </xdr:from>
    <xdr:to>
      <xdr:col>9</xdr:col>
      <xdr:colOff>1067748</xdr:colOff>
      <xdr:row>49</xdr:row>
      <xdr:rowOff>124102</xdr:rowOff>
    </xdr:to>
    <xdr:pic>
      <xdr:nvPicPr>
        <xdr:cNvPr id="3" name="Picture 2" descr="Tethya-RR-cho-C-16.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912100" y="9123230"/>
          <a:ext cx="2960048" cy="236737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139700</xdr:colOff>
      <xdr:row>5</xdr:row>
      <xdr:rowOff>38100</xdr:rowOff>
    </xdr:from>
    <xdr:to>
      <xdr:col>9</xdr:col>
      <xdr:colOff>1054100</xdr:colOff>
      <xdr:row>13</xdr:row>
      <xdr:rowOff>99060</xdr:rowOff>
    </xdr:to>
    <xdr:pic>
      <xdr:nvPicPr>
        <xdr:cNvPr id="2" name="Picture 1" descr="Tethya-RR-cho-C-34.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32900" y="990600"/>
          <a:ext cx="1981200" cy="1584960"/>
        </a:xfrm>
        <a:prstGeom prst="rect">
          <a:avLst/>
        </a:prstGeom>
      </xdr:spPr>
    </xdr:pic>
    <xdr:clientData/>
  </xdr:twoCellAnchor>
  <xdr:twoCellAnchor editAs="oneCell">
    <xdr:from>
      <xdr:col>6</xdr:col>
      <xdr:colOff>114300</xdr:colOff>
      <xdr:row>5</xdr:row>
      <xdr:rowOff>25400</xdr:rowOff>
    </xdr:from>
    <xdr:to>
      <xdr:col>8</xdr:col>
      <xdr:colOff>25400</xdr:colOff>
      <xdr:row>13</xdr:row>
      <xdr:rowOff>76200</xdr:rowOff>
    </xdr:to>
    <xdr:pic>
      <xdr:nvPicPr>
        <xdr:cNvPr id="4" name="Picture 3" descr="T1-cor2-12.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150100" y="977900"/>
          <a:ext cx="1968500" cy="1574800"/>
        </a:xfrm>
        <a:prstGeom prst="rect">
          <a:avLst/>
        </a:prstGeom>
      </xdr:spPr>
    </xdr:pic>
    <xdr:clientData/>
  </xdr:twoCellAnchor>
  <xdr:twoCellAnchor editAs="oneCell">
    <xdr:from>
      <xdr:col>15</xdr:col>
      <xdr:colOff>228600</xdr:colOff>
      <xdr:row>23</xdr:row>
      <xdr:rowOff>139700</xdr:rowOff>
    </xdr:from>
    <xdr:to>
      <xdr:col>16</xdr:col>
      <xdr:colOff>641350</xdr:colOff>
      <xdr:row>27</xdr:row>
      <xdr:rowOff>50800</xdr:rowOff>
    </xdr:to>
    <xdr:pic>
      <xdr:nvPicPr>
        <xdr:cNvPr id="12" name="Picture 11" descr="T1-cor2-12.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183100" y="6261100"/>
          <a:ext cx="1555750" cy="1244600"/>
        </a:xfrm>
        <a:prstGeom prst="rect">
          <a:avLst/>
        </a:prstGeom>
      </xdr:spPr>
    </xdr:pic>
    <xdr:clientData/>
  </xdr:twoCellAnchor>
  <xdr:twoCellAnchor editAs="oneCell">
    <xdr:from>
      <xdr:col>15</xdr:col>
      <xdr:colOff>685800</xdr:colOff>
      <xdr:row>25</xdr:row>
      <xdr:rowOff>749300</xdr:rowOff>
    </xdr:from>
    <xdr:to>
      <xdr:col>16</xdr:col>
      <xdr:colOff>1193799</xdr:colOff>
      <xdr:row>32</xdr:row>
      <xdr:rowOff>165099</xdr:rowOff>
    </xdr:to>
    <xdr:pic>
      <xdr:nvPicPr>
        <xdr:cNvPr id="5" name="Picture 4" descr="Tethya-cho-RR-08.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40300" y="7251700"/>
          <a:ext cx="1650999" cy="1320799"/>
        </a:xfrm>
        <a:prstGeom prst="rect">
          <a:avLst/>
        </a:prstGeom>
      </xdr:spPr>
    </xdr:pic>
    <xdr:clientData/>
  </xdr:twoCellAnchor>
  <xdr:twoCellAnchor editAs="oneCell">
    <xdr:from>
      <xdr:col>15</xdr:col>
      <xdr:colOff>152400</xdr:colOff>
      <xdr:row>32</xdr:row>
      <xdr:rowOff>149860</xdr:rowOff>
    </xdr:from>
    <xdr:to>
      <xdr:col>16</xdr:col>
      <xdr:colOff>609600</xdr:colOff>
      <xdr:row>39</xdr:row>
      <xdr:rowOff>96520</xdr:rowOff>
    </xdr:to>
    <xdr:pic>
      <xdr:nvPicPr>
        <xdr:cNvPr id="7" name="Picture 6" descr="Tethya-RR-cho-C-10.tif"/>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106900" y="8557260"/>
          <a:ext cx="1600200" cy="1280160"/>
        </a:xfrm>
        <a:prstGeom prst="rect">
          <a:avLst/>
        </a:prstGeom>
      </xdr:spPr>
    </xdr:pic>
    <xdr:clientData/>
  </xdr:twoCellAnchor>
  <xdr:twoCellAnchor editAs="oneCell">
    <xdr:from>
      <xdr:col>16</xdr:col>
      <xdr:colOff>38100</xdr:colOff>
      <xdr:row>38</xdr:row>
      <xdr:rowOff>160020</xdr:rowOff>
    </xdr:from>
    <xdr:to>
      <xdr:col>17</xdr:col>
      <xdr:colOff>203200</xdr:colOff>
      <xdr:row>44</xdr:row>
      <xdr:rowOff>165100</xdr:rowOff>
    </xdr:to>
    <xdr:pic>
      <xdr:nvPicPr>
        <xdr:cNvPr id="8" name="Picture 7" descr="Tethya-RR-cho-C-12.tif"/>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8135600" y="9710420"/>
          <a:ext cx="1435100" cy="1148080"/>
        </a:xfrm>
        <a:prstGeom prst="rect">
          <a:avLst/>
        </a:prstGeom>
      </xdr:spPr>
    </xdr:pic>
    <xdr:clientData/>
  </xdr:twoCellAnchor>
  <xdr:twoCellAnchor editAs="oneCell">
    <xdr:from>
      <xdr:col>15</xdr:col>
      <xdr:colOff>76200</xdr:colOff>
      <xdr:row>43</xdr:row>
      <xdr:rowOff>101600</xdr:rowOff>
    </xdr:from>
    <xdr:to>
      <xdr:col>16</xdr:col>
      <xdr:colOff>584199</xdr:colOff>
      <xdr:row>50</xdr:row>
      <xdr:rowOff>88899</xdr:rowOff>
    </xdr:to>
    <xdr:pic>
      <xdr:nvPicPr>
        <xdr:cNvPr id="9" name="Picture 8" descr="Tethya-RR-cho-C-21.tif"/>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030700" y="10604500"/>
          <a:ext cx="1650999" cy="1320799"/>
        </a:xfrm>
        <a:prstGeom prst="rect">
          <a:avLst/>
        </a:prstGeom>
      </xdr:spPr>
    </xdr:pic>
    <xdr:clientData/>
  </xdr:twoCellAnchor>
  <xdr:twoCellAnchor editAs="oneCell">
    <xdr:from>
      <xdr:col>15</xdr:col>
      <xdr:colOff>1098550</xdr:colOff>
      <xdr:row>48</xdr:row>
      <xdr:rowOff>50800</xdr:rowOff>
    </xdr:from>
    <xdr:to>
      <xdr:col>17</xdr:col>
      <xdr:colOff>733425</xdr:colOff>
      <xdr:row>56</xdr:row>
      <xdr:rowOff>165100</xdr:rowOff>
    </xdr:to>
    <xdr:pic>
      <xdr:nvPicPr>
        <xdr:cNvPr id="10" name="Picture 9" descr="Tethya-RR-cho-C-39.tif"/>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8053050" y="11506200"/>
          <a:ext cx="2047875" cy="1638300"/>
        </a:xfrm>
        <a:prstGeom prst="rect">
          <a:avLst/>
        </a:prstGeom>
      </xdr:spPr>
    </xdr:pic>
    <xdr:clientData/>
  </xdr:twoCellAnchor>
  <xdr:twoCellAnchor editAs="oneCell">
    <xdr:from>
      <xdr:col>15</xdr:col>
      <xdr:colOff>114300</xdr:colOff>
      <xdr:row>53</xdr:row>
      <xdr:rowOff>109220</xdr:rowOff>
    </xdr:from>
    <xdr:to>
      <xdr:col>16</xdr:col>
      <xdr:colOff>406400</xdr:colOff>
      <xdr:row>59</xdr:row>
      <xdr:rowOff>114300</xdr:rowOff>
    </xdr:to>
    <xdr:pic>
      <xdr:nvPicPr>
        <xdr:cNvPr id="11" name="Picture 10" descr="Tethya-RR-cho-C-26.tif"/>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068800" y="12517120"/>
          <a:ext cx="1435100" cy="1148080"/>
        </a:xfrm>
        <a:prstGeom prst="rect">
          <a:avLst/>
        </a:prstGeom>
      </xdr:spPr>
    </xdr:pic>
    <xdr:clientData/>
  </xdr:twoCellAnchor>
  <xdr:twoCellAnchor editAs="oneCell">
    <xdr:from>
      <xdr:col>15</xdr:col>
      <xdr:colOff>304800</xdr:colOff>
      <xdr:row>60</xdr:row>
      <xdr:rowOff>149860</xdr:rowOff>
    </xdr:from>
    <xdr:to>
      <xdr:col>16</xdr:col>
      <xdr:colOff>1244599</xdr:colOff>
      <xdr:row>69</xdr:row>
      <xdr:rowOff>101599</xdr:rowOff>
    </xdr:to>
    <xdr:pic>
      <xdr:nvPicPr>
        <xdr:cNvPr id="13" name="Picture 12" descr="Tethya-RR-cho-C-07.tif"/>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259300" y="13891260"/>
          <a:ext cx="2082799" cy="1666239"/>
        </a:xfrm>
        <a:prstGeom prst="rect">
          <a:avLst/>
        </a:prstGeom>
      </xdr:spPr>
    </xdr:pic>
    <xdr:clientData/>
  </xdr:twoCellAnchor>
  <xdr:twoCellAnchor editAs="oneCell">
    <xdr:from>
      <xdr:col>17</xdr:col>
      <xdr:colOff>76200</xdr:colOff>
      <xdr:row>60</xdr:row>
      <xdr:rowOff>177800</xdr:rowOff>
    </xdr:from>
    <xdr:to>
      <xdr:col>18</xdr:col>
      <xdr:colOff>1025525</xdr:colOff>
      <xdr:row>69</xdr:row>
      <xdr:rowOff>127000</xdr:rowOff>
    </xdr:to>
    <xdr:pic>
      <xdr:nvPicPr>
        <xdr:cNvPr id="21" name="Picture 20" descr="Tethya-RR-cho-C-11.tif"/>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9443700" y="13919200"/>
          <a:ext cx="2079625" cy="1663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8</xdr:col>
      <xdr:colOff>622300</xdr:colOff>
      <xdr:row>17</xdr:row>
      <xdr:rowOff>121656</xdr:rowOff>
    </xdr:from>
    <xdr:to>
      <xdr:col>13</xdr:col>
      <xdr:colOff>229549</xdr:colOff>
      <xdr:row>33</xdr:row>
      <xdr:rowOff>111401</xdr:rowOff>
    </xdr:to>
    <xdr:pic>
      <xdr:nvPicPr>
        <xdr:cNvPr id="2" name="Picture 1" descr="Tethya-RR-cho-C-17.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16900" y="5239756"/>
          <a:ext cx="3798249" cy="3037745"/>
        </a:xfrm>
        <a:prstGeom prst="rect">
          <a:avLst/>
        </a:prstGeom>
      </xdr:spPr>
    </xdr:pic>
    <xdr:clientData/>
  </xdr:twoCellAnchor>
  <xdr:twoCellAnchor editAs="oneCell">
    <xdr:from>
      <xdr:col>8</xdr:col>
      <xdr:colOff>482600</xdr:colOff>
      <xdr:row>43</xdr:row>
      <xdr:rowOff>56981</xdr:rowOff>
    </xdr:from>
    <xdr:to>
      <xdr:col>13</xdr:col>
      <xdr:colOff>481514</xdr:colOff>
      <xdr:row>60</xdr:row>
      <xdr:rowOff>167279</xdr:rowOff>
    </xdr:to>
    <xdr:pic>
      <xdr:nvPicPr>
        <xdr:cNvPr id="3" name="Picture 2" descr="Tethya-RR-cho-C-23.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077200" y="10509081"/>
          <a:ext cx="4189914" cy="334879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12</xdr:col>
      <xdr:colOff>266700</xdr:colOff>
      <xdr:row>30</xdr:row>
      <xdr:rowOff>152401</xdr:rowOff>
    </xdr:from>
    <xdr:to>
      <xdr:col>16</xdr:col>
      <xdr:colOff>101600</xdr:colOff>
      <xdr:row>43</xdr:row>
      <xdr:rowOff>88115</xdr:rowOff>
    </xdr:to>
    <xdr:pic>
      <xdr:nvPicPr>
        <xdr:cNvPr id="3" name="Picture 2" descr="Tethya-cho-RR-09.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629900" y="6261101"/>
          <a:ext cx="3492500" cy="2793214"/>
        </a:xfrm>
        <a:prstGeom prst="rect">
          <a:avLst/>
        </a:prstGeom>
      </xdr:spPr>
    </xdr:pic>
    <xdr:clientData/>
  </xdr:twoCellAnchor>
  <xdr:twoCellAnchor editAs="oneCell">
    <xdr:from>
      <xdr:col>12</xdr:col>
      <xdr:colOff>469900</xdr:colOff>
      <xdr:row>44</xdr:row>
      <xdr:rowOff>381000</xdr:rowOff>
    </xdr:from>
    <xdr:to>
      <xdr:col>17</xdr:col>
      <xdr:colOff>39049</xdr:colOff>
      <xdr:row>59</xdr:row>
      <xdr:rowOff>383388</xdr:rowOff>
    </xdr:to>
    <xdr:pic>
      <xdr:nvPicPr>
        <xdr:cNvPr id="4" name="Picture 3" descr="Tethya-RR-cho-C-02.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833100" y="9537700"/>
          <a:ext cx="4052249" cy="3240888"/>
        </a:xfrm>
        <a:prstGeom prst="rect">
          <a:avLst/>
        </a:prstGeom>
      </xdr:spPr>
    </xdr:pic>
    <xdr:clientData/>
  </xdr:twoCellAnchor>
  <xdr:twoCellAnchor editAs="oneCell">
    <xdr:from>
      <xdr:col>20</xdr:col>
      <xdr:colOff>317500</xdr:colOff>
      <xdr:row>12</xdr:row>
      <xdr:rowOff>165100</xdr:rowOff>
    </xdr:from>
    <xdr:to>
      <xdr:col>25</xdr:col>
      <xdr:colOff>286512</xdr:colOff>
      <xdr:row>29</xdr:row>
      <xdr:rowOff>35052</xdr:rowOff>
    </xdr:to>
    <xdr:pic>
      <xdr:nvPicPr>
        <xdr:cNvPr id="2" name="Picture 1" descr="Tl-1-5um-Masson's-10x-01.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40300" y="2832100"/>
          <a:ext cx="4096512" cy="312115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8</xdr:col>
      <xdr:colOff>546100</xdr:colOff>
      <xdr:row>18</xdr:row>
      <xdr:rowOff>175260</xdr:rowOff>
    </xdr:from>
    <xdr:to>
      <xdr:col>12</xdr:col>
      <xdr:colOff>533400</xdr:colOff>
      <xdr:row>30</xdr:row>
      <xdr:rowOff>139700</xdr:rowOff>
    </xdr:to>
    <xdr:pic>
      <xdr:nvPicPr>
        <xdr:cNvPr id="3" name="Picture 2" descr="Tethya-RR-cho-C-19.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331200" y="4175760"/>
          <a:ext cx="3289300" cy="2631440"/>
        </a:xfrm>
        <a:prstGeom prst="rect">
          <a:avLst/>
        </a:prstGeom>
      </xdr:spPr>
    </xdr:pic>
    <xdr:clientData/>
  </xdr:twoCellAnchor>
  <xdr:twoCellAnchor editAs="oneCell">
    <xdr:from>
      <xdr:col>8</xdr:col>
      <xdr:colOff>546100</xdr:colOff>
      <xdr:row>33</xdr:row>
      <xdr:rowOff>53340</xdr:rowOff>
    </xdr:from>
    <xdr:to>
      <xdr:col>12</xdr:col>
      <xdr:colOff>558800</xdr:colOff>
      <xdr:row>45</xdr:row>
      <xdr:rowOff>38100</xdr:rowOff>
    </xdr:to>
    <xdr:pic>
      <xdr:nvPicPr>
        <xdr:cNvPr id="4" name="Picture 3" descr="Tethya-RR-cho-C-37.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331200" y="7292340"/>
          <a:ext cx="3314700" cy="265176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152400</xdr:colOff>
      <xdr:row>22</xdr:row>
      <xdr:rowOff>85726</xdr:rowOff>
    </xdr:from>
    <xdr:to>
      <xdr:col>4</xdr:col>
      <xdr:colOff>84667</xdr:colOff>
      <xdr:row>31</xdr:row>
      <xdr:rowOff>177801</xdr:rowOff>
    </xdr:to>
    <xdr:pic>
      <xdr:nvPicPr>
        <xdr:cNvPr id="2" name="Picture 1" descr="T6-P1060030.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2400" y="3705226"/>
          <a:ext cx="2408767" cy="1806575"/>
        </a:xfrm>
        <a:prstGeom prst="rect">
          <a:avLst/>
        </a:prstGeom>
      </xdr:spPr>
    </xdr:pic>
    <xdr:clientData/>
  </xdr:twoCellAnchor>
  <xdr:twoCellAnchor editAs="oneCell">
    <xdr:from>
      <xdr:col>4</xdr:col>
      <xdr:colOff>800099</xdr:colOff>
      <xdr:row>22</xdr:row>
      <xdr:rowOff>38101</xdr:rowOff>
    </xdr:from>
    <xdr:to>
      <xdr:col>7</xdr:col>
      <xdr:colOff>635000</xdr:colOff>
      <xdr:row>31</xdr:row>
      <xdr:rowOff>123827</xdr:rowOff>
    </xdr:to>
    <xdr:pic>
      <xdr:nvPicPr>
        <xdr:cNvPr id="3" name="Picture 2" descr="T2-P1060048.JP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454399" y="3657601"/>
          <a:ext cx="2400301" cy="1800226"/>
        </a:xfrm>
        <a:prstGeom prst="rect">
          <a:avLst/>
        </a:prstGeom>
      </xdr:spPr>
    </xdr:pic>
    <xdr:clientData/>
  </xdr:twoCellAnchor>
  <xdr:twoCellAnchor editAs="oneCell">
    <xdr:from>
      <xdr:col>9</xdr:col>
      <xdr:colOff>25400</xdr:colOff>
      <xdr:row>24</xdr:row>
      <xdr:rowOff>79377</xdr:rowOff>
    </xdr:from>
    <xdr:to>
      <xdr:col>11</xdr:col>
      <xdr:colOff>762000</xdr:colOff>
      <xdr:row>33</xdr:row>
      <xdr:rowOff>155577</xdr:rowOff>
    </xdr:to>
    <xdr:pic>
      <xdr:nvPicPr>
        <xdr:cNvPr id="4" name="Picture 3" descr="T3-P1060045.JP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7086600" y="5019677"/>
          <a:ext cx="2387600" cy="17907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danielleludeman/Documents/MSc/Measurements%20of%20AV%20canal%20system-2011-09-19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danielleludeman/Documents/MSc/Paper-Cost%20of%20Filtration/Data/Respiration%20and%20Excurrent%20Velocity.xlsb"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Summary"/>
      <sheetName val="Summary (2)"/>
      <sheetName val="Table 1."/>
      <sheetName val="Table 3. Predicted passive"/>
      <sheetName val="Sup. Table 2. Sponge sizes"/>
      <sheetName val="Active pumping"/>
      <sheetName val="Ostia"/>
      <sheetName val="Subdermal space"/>
      <sheetName val="incurrent canals"/>
      <sheetName val="prosopyle"/>
      <sheetName val="collars "/>
      <sheetName val="Flagellated chambers"/>
      <sheetName val="excurrent canals"/>
      <sheetName val="Table 1. for sigma plot"/>
      <sheetName val="Recalc of mesh DH"/>
      <sheetName val="Comparison table for paper"/>
    </sheetNames>
    <sheetDataSet>
      <sheetData sheetId="0"/>
      <sheetData sheetId="1"/>
      <sheetData sheetId="2"/>
      <sheetData sheetId="3"/>
      <sheetData sheetId="4">
        <row r="17">
          <cell r="E17">
            <v>4.4733679854839021</v>
          </cell>
          <cell r="F17">
            <v>0.30442857142857138</v>
          </cell>
        </row>
      </sheetData>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Drawdown and velocity between"/>
      <sheetName val="drawdown and velocity within"/>
      <sheetName val="Osculum Sizes"/>
      <sheetName val="Wet weights and dry weights"/>
      <sheetName val="RAW-Cliona-B-07.28.13"/>
      <sheetName val="Cd-28-07-13 - osc B1"/>
      <sheetName val="Cd-28-07-13 - osc B2"/>
      <sheetName val="Cd-28-07-13 - osc B3"/>
      <sheetName val="Cd-28-07-13 - osc B4"/>
      <sheetName val="Cd-28-07-13 - osc B5"/>
      <sheetName val="Cd-28-07-13 - osc B6"/>
      <sheetName val="Cd-28-07-13 - osc B7"/>
      <sheetName val="Cd-28-07-13 - osc B8"/>
      <sheetName val="RAW-Cliona-B-07.28.13-PM"/>
      <sheetName val="Cd-28-07-13 - osc B9"/>
      <sheetName val="Cd-28-07-13 - osc B10"/>
      <sheetName val="RAW-Cliona-B-07.30.13-AM"/>
      <sheetName val="CdB2-passive-July 30"/>
      <sheetName val="RAW-Callyspongia-07.22.13-"/>
      <sheetName val="Cv-A1-07.22.13"/>
      <sheetName val="Cv-A2-07.22.13"/>
      <sheetName val="Cv-A3-07.22.13"/>
      <sheetName val="Cv-A4-07.22.13"/>
      <sheetName val="Cv-A5-07.22.13"/>
      <sheetName val="RAW-Callyspongia-A-07.24.13"/>
      <sheetName val="Cv-A6-07.24.13"/>
      <sheetName val="Cv-A7-07.24.13"/>
      <sheetName val="Cv-A8-07.24.13"/>
      <sheetName val="RAW-Callyspongia-B-07.25.13"/>
      <sheetName val="Cv-B1-07.25.13"/>
      <sheetName val="Cv-B2-07.25.13"/>
      <sheetName val="Cv-B3-07.25.13"/>
      <sheetName val="Cv-B4-07.25.13"/>
      <sheetName val="RAW-Callyspongia-A-07.30.13"/>
      <sheetName val="CvA1-passive-July 30"/>
      <sheetName val="Hal.mol1-osc1-A"/>
      <sheetName val="RAW-Passive-Hal.mol-12.12.13"/>
      <sheetName val="Hal.mol1-osc1-B"/>
      <sheetName val="Hal.mol1-osc1-C"/>
      <sheetName val="RAW-Passive-Hal.mol-12.13.13"/>
      <sheetName val="Hal.mol1-osc1-D"/>
      <sheetName val="RAW-Passive-Hal.mol-12.15.13"/>
      <sheetName val="Hal.mol1-passive-ADVs"/>
      <sheetName val="Hal.mol1-osc1-E"/>
      <sheetName val="Hal.mol1-osc1-F"/>
      <sheetName val="Hal.mol1-osc2-A"/>
      <sheetName val="Hal.mol1-osc3"/>
      <sheetName val="Hal.mol1-osc4"/>
      <sheetName val="Hal.mol1-osc5"/>
      <sheetName val="RAW-Hal.mol-12.15.13"/>
      <sheetName val="RAW-Passive-Tethya6"/>
      <sheetName val="Tethya6_passive_1"/>
      <sheetName val="Tethya-6-A"/>
      <sheetName val="Tethya-6-B"/>
      <sheetName val="RAW-Passive-Tethya6-2"/>
      <sheetName val="Tethya-6-C"/>
      <sheetName val="Tethya-6-D"/>
      <sheetName val="Tethya-6-E"/>
      <sheetName val="Tethya-6-F"/>
      <sheetName val="Tethya-6-G"/>
      <sheetName val="RAW_Tethya-osc-12.20.13"/>
      <sheetName val="Tethya-2-A"/>
      <sheetName val="RAW-Tethya3-osc-12.20.13"/>
      <sheetName val="Tethya-3-A"/>
      <sheetName val="RAW-Passive-Neo7-1"/>
      <sheetName val="Neo-1-A"/>
      <sheetName val="Neo-1-B"/>
      <sheetName val="Neo-1-C"/>
      <sheetName val="Neo-1-D"/>
      <sheetName val="Neo-2-A"/>
      <sheetName val="Neo-3-A"/>
      <sheetName val="Passive-Neo1-1"/>
      <sheetName val="Between Individuals for Sigma P"/>
      <sheetName val="Within Individuals for Sig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row r="1">
          <cell r="P1">
            <v>3.1463666666666636</v>
          </cell>
        </row>
      </sheetData>
      <sheetData sheetId="53">
        <row r="1">
          <cell r="P1">
            <v>6.1833666666666707</v>
          </cell>
        </row>
      </sheetData>
      <sheetData sheetId="54"/>
      <sheetData sheetId="55">
        <row r="1">
          <cell r="P1">
            <v>2.5368999999999939</v>
          </cell>
        </row>
      </sheetData>
      <sheetData sheetId="56">
        <row r="1">
          <cell r="P1">
            <v>1.0123666666666693</v>
          </cell>
        </row>
      </sheetData>
      <sheetData sheetId="57">
        <row r="1">
          <cell r="P1">
            <v>1.0839333333333339</v>
          </cell>
        </row>
      </sheetData>
      <sheetData sheetId="58">
        <row r="1">
          <cell r="P1">
            <v>1.8874333333333346</v>
          </cell>
        </row>
      </sheetData>
      <sheetData sheetId="59">
        <row r="1">
          <cell r="P1">
            <v>1.2306333333333366</v>
          </cell>
        </row>
      </sheetData>
      <sheetData sheetId="60"/>
      <sheetData sheetId="61">
        <row r="1">
          <cell r="P1">
            <v>2.303466666666663</v>
          </cell>
        </row>
      </sheetData>
      <sheetData sheetId="62"/>
      <sheetData sheetId="63">
        <row r="1">
          <cell r="P1">
            <v>4.9886999999999952</v>
          </cell>
        </row>
      </sheetData>
      <sheetData sheetId="64"/>
      <sheetData sheetId="65"/>
      <sheetData sheetId="66"/>
      <sheetData sheetId="67"/>
      <sheetData sheetId="68"/>
      <sheetData sheetId="69"/>
      <sheetData sheetId="70"/>
      <sheetData sheetId="71"/>
      <sheetData sheetId="72"/>
      <sheetData sheetId="73"/>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vmlDrawing" Target="../drawings/vmlDrawing1.vml"/><Relationship Id="rId2"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 Id="rId2" Type="http://schemas.openxmlformats.org/officeDocument/2006/relationships/vmlDrawing" Target="../drawings/vmlDrawing2.vml"/><Relationship Id="rId3" Type="http://schemas.openxmlformats.org/officeDocument/2006/relationships/comments" Target="../comments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 Id="rId2" Type="http://schemas.openxmlformats.org/officeDocument/2006/relationships/vmlDrawing" Target="../drawings/vmlDrawing3.vml"/><Relationship Id="rId3" Type="http://schemas.openxmlformats.org/officeDocument/2006/relationships/comments" Target="../comments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 Id="rId2" Type="http://schemas.openxmlformats.org/officeDocument/2006/relationships/vmlDrawing" Target="../drawings/vmlDrawing4.vml"/><Relationship Id="rId3" Type="http://schemas.openxmlformats.org/officeDocument/2006/relationships/comments" Target="../comments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 Id="rId2" Type="http://schemas.openxmlformats.org/officeDocument/2006/relationships/vmlDrawing" Target="../drawings/vmlDrawing5.vml"/><Relationship Id="rId3" Type="http://schemas.openxmlformats.org/officeDocument/2006/relationships/comments" Target="../comments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 Id="rId2" Type="http://schemas.openxmlformats.org/officeDocument/2006/relationships/vmlDrawing" Target="../drawings/vmlDrawing6.vml"/><Relationship Id="rId3" Type="http://schemas.openxmlformats.org/officeDocument/2006/relationships/comments" Target="../comments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 Id="rId2" Type="http://schemas.openxmlformats.org/officeDocument/2006/relationships/vmlDrawing" Target="../drawings/vmlDrawing7.vml"/><Relationship Id="rId3" Type="http://schemas.openxmlformats.org/officeDocument/2006/relationships/comments" Target="../comments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vmlDrawing" Target="../drawings/vmlDrawing8.vml"/><Relationship Id="rId2" Type="http://schemas.openxmlformats.org/officeDocument/2006/relationships/comments" Target="../comments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vmlDrawing" Target="../drawings/vmlDrawing9.vml"/><Relationship Id="rId2" Type="http://schemas.openxmlformats.org/officeDocument/2006/relationships/comments" Target="../comments9.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C54"/>
  <sheetViews>
    <sheetView tabSelected="1" topLeftCell="A32" workbookViewId="0">
      <selection activeCell="F43" sqref="F43"/>
    </sheetView>
  </sheetViews>
  <sheetFormatPr baseColWidth="10" defaultColWidth="11" defaultRowHeight="15" x14ac:dyDescent="0"/>
  <cols>
    <col min="1" max="1" width="27.83203125" customWidth="1"/>
    <col min="2" max="2" width="21.1640625" customWidth="1"/>
    <col min="3" max="3" width="12.1640625" bestFit="1" customWidth="1"/>
    <col min="8" max="8" width="12.1640625" bestFit="1" customWidth="1"/>
    <col min="10" max="10" width="18.83203125" customWidth="1"/>
    <col min="11" max="11" width="17.5" customWidth="1"/>
    <col min="12" max="12" width="12.1640625" bestFit="1" customWidth="1"/>
    <col min="13" max="13" width="12.5" customWidth="1"/>
    <col min="14" max="14" width="14.33203125" customWidth="1"/>
    <col min="16" max="16" width="13" customWidth="1"/>
    <col min="20" max="20" width="16.83203125" bestFit="1" customWidth="1"/>
    <col min="21" max="21" width="13.5" customWidth="1"/>
    <col min="25" max="25" width="12.1640625" bestFit="1" customWidth="1"/>
    <col min="27" max="27" width="11.1640625" bestFit="1" customWidth="1"/>
  </cols>
  <sheetData>
    <row r="1" spans="1:15" ht="20">
      <c r="A1" s="215" t="s">
        <v>343</v>
      </c>
      <c r="B1" s="16"/>
      <c r="C1" s="16"/>
      <c r="D1" s="16"/>
    </row>
    <row r="2" spans="1:15">
      <c r="A2" s="29"/>
      <c r="B2" s="16"/>
      <c r="C2" s="16"/>
      <c r="D2" s="16"/>
    </row>
    <row r="3" spans="1:15">
      <c r="A3" s="29" t="s">
        <v>344</v>
      </c>
      <c r="B3" s="16"/>
      <c r="C3" s="10"/>
      <c r="D3" s="16"/>
    </row>
    <row r="4" spans="1:15">
      <c r="A4" s="216" t="s">
        <v>345</v>
      </c>
      <c r="B4" s="16"/>
      <c r="C4" s="10"/>
      <c r="D4" s="16"/>
    </row>
    <row r="5" spans="1:15">
      <c r="A5" s="216" t="s">
        <v>346</v>
      </c>
      <c r="B5" s="16"/>
      <c r="C5" s="10"/>
      <c r="D5" s="16"/>
    </row>
    <row r="6" spans="1:15">
      <c r="A6" s="216" t="s">
        <v>347</v>
      </c>
      <c r="C6" s="10"/>
    </row>
    <row r="7" spans="1:15">
      <c r="A7" s="216"/>
      <c r="B7" s="16"/>
      <c r="C7" s="16"/>
      <c r="D7" s="16"/>
    </row>
    <row r="8" spans="1:15">
      <c r="A8" s="216" t="s">
        <v>348</v>
      </c>
      <c r="B8" s="16"/>
      <c r="C8" s="16"/>
      <c r="D8" s="16"/>
    </row>
    <row r="9" spans="1:15">
      <c r="A9" s="29"/>
      <c r="B9" s="16"/>
      <c r="C9" s="10"/>
      <c r="D9" s="16"/>
    </row>
    <row r="10" spans="1:15">
      <c r="A10" s="216" t="s">
        <v>349</v>
      </c>
      <c r="B10" s="16"/>
      <c r="C10" s="10"/>
      <c r="D10" s="16"/>
    </row>
    <row r="11" spans="1:15">
      <c r="A11" s="29" t="s">
        <v>350</v>
      </c>
      <c r="B11" s="16"/>
      <c r="C11" s="10"/>
      <c r="D11" s="16"/>
    </row>
    <row r="12" spans="1:15">
      <c r="A12" s="29" t="s">
        <v>351</v>
      </c>
      <c r="C12" s="10"/>
    </row>
    <row r="13" spans="1:15">
      <c r="C13" s="10"/>
    </row>
    <row r="15" spans="1:15" ht="70">
      <c r="A15" s="151" t="s">
        <v>243</v>
      </c>
      <c r="B15" s="152" t="s">
        <v>244</v>
      </c>
      <c r="C15" s="152" t="s">
        <v>245</v>
      </c>
      <c r="D15" s="153" t="s">
        <v>246</v>
      </c>
      <c r="E15" s="154" t="s">
        <v>247</v>
      </c>
      <c r="F15" s="154" t="s">
        <v>248</v>
      </c>
      <c r="G15" s="155" t="s">
        <v>249</v>
      </c>
      <c r="H15" s="153" t="s">
        <v>250</v>
      </c>
      <c r="I15" s="153" t="s">
        <v>251</v>
      </c>
      <c r="J15" s="156" t="s">
        <v>252</v>
      </c>
      <c r="K15" s="157" t="s">
        <v>253</v>
      </c>
      <c r="L15" s="158" t="s">
        <v>254</v>
      </c>
      <c r="M15" s="159" t="s">
        <v>255</v>
      </c>
      <c r="N15" s="160"/>
      <c r="O15" s="16"/>
    </row>
    <row r="16" spans="1:15">
      <c r="A16" s="161">
        <f>'Sponge Volume'!H6</f>
        <v>53.482172789015443</v>
      </c>
      <c r="B16" s="162">
        <f>Osculum!M17</f>
        <v>2.1946702275E-2</v>
      </c>
      <c r="C16" s="163">
        <f>Osculum!N17</f>
        <v>1.36887002028015</v>
      </c>
      <c r="D16" s="164">
        <f>4.5*4.5</f>
        <v>20.25</v>
      </c>
      <c r="E16" s="165">
        <v>1024</v>
      </c>
      <c r="F16" s="166">
        <v>9.8066499999999994</v>
      </c>
      <c r="G16" s="167">
        <f>E16*9.81</f>
        <v>10045.44</v>
      </c>
      <c r="H16" s="168">
        <v>1.3504000000000001E-3</v>
      </c>
      <c r="I16" s="169"/>
      <c r="J16" s="170">
        <f>'Sponge Volume'!H5</f>
        <v>37.056703919443358</v>
      </c>
      <c r="K16" s="171">
        <f>C16*60/J16</f>
        <v>2.2163925155176818</v>
      </c>
      <c r="L16" s="171">
        <f>K16/60</f>
        <v>3.6939875258628033E-2</v>
      </c>
      <c r="M16" s="172">
        <f>(C16*3600*1000000)/(L18*L19*L20)</f>
        <v>2.4119449292992409E-3</v>
      </c>
      <c r="N16" s="173"/>
      <c r="O16" s="16"/>
    </row>
    <row r="17" spans="1:29">
      <c r="A17" s="174"/>
      <c r="B17" s="175"/>
      <c r="C17" s="176">
        <f>C16*60</f>
        <v>82.132201216809008</v>
      </c>
      <c r="D17" s="174"/>
      <c r="E17" s="174"/>
      <c r="G17" s="177"/>
      <c r="H17" s="174"/>
      <c r="I17" s="174"/>
      <c r="J17" s="174"/>
      <c r="K17" s="178" t="s">
        <v>256</v>
      </c>
      <c r="L17" s="179">
        <f>Collars!K16</f>
        <v>14403.187311031927</v>
      </c>
      <c r="M17" s="174"/>
    </row>
    <row r="18" spans="1:29">
      <c r="A18" s="174"/>
      <c r="C18" s="180"/>
      <c r="D18" s="177"/>
      <c r="E18" s="174"/>
      <c r="G18" s="177"/>
      <c r="H18" s="174"/>
      <c r="I18" s="174"/>
      <c r="J18" s="174"/>
      <c r="K18" s="181" t="s">
        <v>257</v>
      </c>
      <c r="L18" s="182">
        <f>L17*(J16*1000)</f>
        <v>533734647.68119365</v>
      </c>
      <c r="M18" s="174"/>
      <c r="R18" s="16"/>
    </row>
    <row r="19" spans="1:29">
      <c r="A19" s="174"/>
      <c r="B19" s="174"/>
      <c r="C19" s="174"/>
      <c r="D19" s="177"/>
      <c r="E19" s="174"/>
      <c r="G19" s="177"/>
      <c r="H19" s="174"/>
      <c r="I19" s="174"/>
      <c r="J19" s="174"/>
      <c r="K19" s="181" t="s">
        <v>258</v>
      </c>
      <c r="L19" s="183">
        <f>Collars!I16</f>
        <v>99</v>
      </c>
      <c r="M19" s="184"/>
      <c r="R19" s="16"/>
    </row>
    <row r="20" spans="1:29">
      <c r="K20" s="185" t="s">
        <v>259</v>
      </c>
      <c r="L20" s="186">
        <f>Collars!B16</f>
        <v>38.666666666666664</v>
      </c>
      <c r="R20" s="16"/>
      <c r="S20" s="10"/>
      <c r="T20" s="10"/>
      <c r="U20" s="10"/>
      <c r="V20" s="10"/>
      <c r="W20" s="10"/>
      <c r="X20" s="10"/>
      <c r="Y20" s="10"/>
      <c r="Z20" s="10"/>
      <c r="AA20" s="10"/>
      <c r="AB20" s="10"/>
      <c r="AC20" s="10"/>
    </row>
    <row r="21" spans="1:29">
      <c r="R21" s="16"/>
      <c r="S21" s="10"/>
      <c r="T21" s="10"/>
      <c r="U21" s="10"/>
      <c r="V21" s="10"/>
      <c r="W21" s="10"/>
      <c r="X21" s="10"/>
      <c r="Y21" s="10"/>
      <c r="Z21" s="10"/>
      <c r="AA21" s="10"/>
      <c r="AB21" s="10"/>
      <c r="AC21" s="10"/>
    </row>
    <row r="22" spans="1:29" s="4" customFormat="1" ht="60">
      <c r="A22" s="187" t="s">
        <v>260</v>
      </c>
      <c r="B22" s="188" t="s">
        <v>261</v>
      </c>
      <c r="C22" s="188" t="s">
        <v>42</v>
      </c>
      <c r="D22" s="188" t="s">
        <v>262</v>
      </c>
      <c r="E22" s="188" t="s">
        <v>263</v>
      </c>
      <c r="F22" s="188" t="s">
        <v>264</v>
      </c>
      <c r="G22" s="188" t="s">
        <v>265</v>
      </c>
      <c r="H22" s="188" t="s">
        <v>266</v>
      </c>
      <c r="I22" s="188" t="s">
        <v>267</v>
      </c>
      <c r="J22" s="188" t="s">
        <v>268</v>
      </c>
      <c r="K22" s="188" t="s">
        <v>269</v>
      </c>
      <c r="L22" s="238" t="s">
        <v>143</v>
      </c>
      <c r="M22" s="239" t="s">
        <v>355</v>
      </c>
      <c r="N22" s="240" t="s">
        <v>356</v>
      </c>
      <c r="O22" s="228" t="s">
        <v>298</v>
      </c>
      <c r="P22" s="229" t="s">
        <v>299</v>
      </c>
      <c r="Q22" s="229" t="s">
        <v>143</v>
      </c>
      <c r="R22" s="229" t="s">
        <v>300</v>
      </c>
      <c r="S22" s="229" t="s">
        <v>301</v>
      </c>
      <c r="T22" s="229"/>
      <c r="U22" s="229"/>
      <c r="V22" s="229"/>
      <c r="W22" s="230"/>
    </row>
    <row r="23" spans="1:29">
      <c r="A23" s="189" t="s">
        <v>12</v>
      </c>
      <c r="B23" s="190" t="s">
        <v>270</v>
      </c>
      <c r="C23" s="79">
        <f>(Ostia!B26)</f>
        <v>40.571164682539695</v>
      </c>
      <c r="D23" s="79">
        <v>0.5</v>
      </c>
      <c r="E23" s="79">
        <v>0</v>
      </c>
      <c r="F23" s="79">
        <f t="shared" ref="F23:F37" si="0">E23/$E$37</f>
        <v>0</v>
      </c>
      <c r="G23" s="79">
        <f t="shared" ref="G23:G37" si="1">F23*100</f>
        <v>0</v>
      </c>
      <c r="H23" s="79">
        <f>Ostia!J26</f>
        <v>6.792354154530332E-2</v>
      </c>
      <c r="I23" s="79">
        <f>H23*$D$16</f>
        <v>1.3754517162923923</v>
      </c>
      <c r="J23" s="79">
        <f>I23/($D$16*Ostia!$D$80)*100</f>
        <v>20.373219138989182</v>
      </c>
      <c r="K23" s="79">
        <f t="shared" ref="K23:K36" si="2">$K$37/(J23/$J$37)</f>
        <v>1.7597278781084098E-3</v>
      </c>
      <c r="L23" s="241">
        <f>K23*1000</f>
        <v>1.7597278781084098</v>
      </c>
      <c r="M23" s="242">
        <f>(8*Viscosity*L23*($D23/1000))/($F$16*(($C23/1000/2)^2))</f>
        <v>2.3554413788508884E-3</v>
      </c>
      <c r="N23" s="243">
        <f>M23*1000</f>
        <v>2.3554413788508883</v>
      </c>
      <c r="O23" s="231" t="s">
        <v>302</v>
      </c>
      <c r="P23" s="226">
        <v>15</v>
      </c>
      <c r="Q23" s="226">
        <f>K23*1000</f>
        <v>1.7597278781084098</v>
      </c>
      <c r="R23" s="226">
        <f>(6*PI()*Viscosity*Q23)/($F$16*(C23/1000))</f>
        <v>0.11258250712905535</v>
      </c>
      <c r="S23" s="227">
        <f>R23*1000</f>
        <v>112.58250712905534</v>
      </c>
      <c r="T23" s="226"/>
      <c r="U23" s="226"/>
      <c r="V23" s="226"/>
      <c r="W23" s="232"/>
    </row>
    <row r="24" spans="1:29">
      <c r="A24" s="189" t="s">
        <v>64</v>
      </c>
      <c r="B24" s="191" t="s">
        <v>64</v>
      </c>
      <c r="C24" s="79">
        <f>'Subdermal space'!C7</f>
        <v>176.94774999999998</v>
      </c>
      <c r="D24" s="79">
        <f>'Subdermal space'!B7</f>
        <v>105.227</v>
      </c>
      <c r="E24" s="79">
        <f>D23</f>
        <v>0.5</v>
      </c>
      <c r="F24" s="79">
        <f t="shared" si="0"/>
        <v>1.1105632418513879E-4</v>
      </c>
      <c r="G24" s="79">
        <f t="shared" si="1"/>
        <v>1.1105632418513879E-2</v>
      </c>
      <c r="H24" s="79">
        <f>'Subdermal space'!D7</f>
        <v>0.82526931193471098</v>
      </c>
      <c r="I24" s="79">
        <f>H24*$D$16</f>
        <v>16.711703566677897</v>
      </c>
      <c r="J24" s="79">
        <f>I24/($D$16*Ostia!$D$80)*100</f>
        <v>247.53409728370198</v>
      </c>
      <c r="K24" s="79">
        <f t="shared" si="2"/>
        <v>1.4483387169324564E-4</v>
      </c>
      <c r="L24" s="241">
        <f t="shared" ref="L24:L37" si="3">K24*1000</f>
        <v>0.14483387169324563</v>
      </c>
      <c r="M24" s="242">
        <f>(8*Viscosity*L24*($D24/1000))/($F$16*(($C24/1000/2)^2))</f>
        <v>2.1448601082776548E-3</v>
      </c>
      <c r="N24" s="243">
        <f t="shared" ref="N24:N37" si="4">M24*1000</f>
        <v>2.1448601082776548</v>
      </c>
      <c r="O24" s="231" t="s">
        <v>303</v>
      </c>
      <c r="P24" s="226">
        <v>21</v>
      </c>
      <c r="Q24" s="226">
        <f>K24*1000</f>
        <v>0.14483387169324563</v>
      </c>
      <c r="R24" s="226">
        <f>(12*Viscosity*Q23*(C24/1000))/($F$16*(D24/1000)^2)</f>
        <v>4.6468556406794405E-2</v>
      </c>
      <c r="S24" s="227">
        <f t="shared" ref="S24:S37" si="5">R24*1000</f>
        <v>46.468556406794406</v>
      </c>
      <c r="T24" s="226"/>
      <c r="U24" s="226"/>
      <c r="V24" s="226"/>
      <c r="W24" s="233"/>
    </row>
    <row r="25" spans="1:29">
      <c r="A25" s="189" t="s">
        <v>271</v>
      </c>
      <c r="B25" s="190" t="s">
        <v>272</v>
      </c>
      <c r="C25" s="79">
        <f>'Incurrent Canals'!C30</f>
        <v>678.32799999999997</v>
      </c>
      <c r="D25" s="79">
        <f>'Incurrent Canals'!Q24</f>
        <v>1118.278</v>
      </c>
      <c r="E25" s="79">
        <f t="shared" ref="E25:E37" si="6">E24+D24</f>
        <v>105.727</v>
      </c>
      <c r="F25" s="79">
        <f t="shared" si="0"/>
        <v>2.3483303974244338E-2</v>
      </c>
      <c r="G25" s="79">
        <f t="shared" si="1"/>
        <v>2.3483303974244341</v>
      </c>
      <c r="H25" s="79">
        <f>'Incurrent Canals'!K30</f>
        <v>0.21702724917123395</v>
      </c>
      <c r="I25" s="79">
        <f>H25*100</f>
        <v>21.702724917123394</v>
      </c>
      <c r="J25" s="79">
        <f>I25/($D$16*Ostia!$D$80)*100</f>
        <v>321.4612082797118</v>
      </c>
      <c r="K25" s="79">
        <f t="shared" si="2"/>
        <v>1.1152612123107528E-4</v>
      </c>
      <c r="L25" s="241">
        <f t="shared" si="3"/>
        <v>0.11152612123107529</v>
      </c>
      <c r="M25" s="242">
        <f>(8*Viscosity*L25*($D25/1000))/($F$16*(($C25/1000/2)^2))</f>
        <v>1.1943692751885731E-3</v>
      </c>
      <c r="N25" s="243">
        <f t="shared" si="4"/>
        <v>1.1943692751885731</v>
      </c>
      <c r="O25" s="231" t="s">
        <v>303</v>
      </c>
      <c r="P25" s="226">
        <v>19</v>
      </c>
      <c r="Q25" s="226">
        <f>K25*1000</f>
        <v>0.11152612123107529</v>
      </c>
      <c r="R25" s="226">
        <f>(8*Viscosity*Q24*(D25/1000))/($F$16*((C25/1000/2)^2))</f>
        <v>1.5510727392608048E-3</v>
      </c>
      <c r="S25" s="227">
        <f t="shared" si="5"/>
        <v>1.5510727392608048</v>
      </c>
      <c r="T25" s="226"/>
      <c r="U25" s="226"/>
      <c r="V25" s="226"/>
      <c r="W25" s="233"/>
    </row>
    <row r="26" spans="1:29">
      <c r="A26" s="189"/>
      <c r="B26" s="190" t="s">
        <v>273</v>
      </c>
      <c r="C26" s="79">
        <f>'Incurrent Canals'!C31</f>
        <v>169.580625</v>
      </c>
      <c r="D26" s="79">
        <f>'Incurrent Canals'!R24</f>
        <v>1118.278</v>
      </c>
      <c r="E26" s="79">
        <f t="shared" si="6"/>
        <v>1224.0050000000001</v>
      </c>
      <c r="F26" s="79">
        <f t="shared" si="0"/>
        <v>0.27186699216846161</v>
      </c>
      <c r="G26" s="79">
        <f t="shared" si="1"/>
        <v>27.186699216846161</v>
      </c>
      <c r="H26" s="79">
        <f>'Incurrent Canals'!K31</f>
        <v>0.24813581168118315</v>
      </c>
      <c r="I26" s="79">
        <f>H26*100</f>
        <v>24.813581168118315</v>
      </c>
      <c r="J26" s="79">
        <f>I26/($D$16*Ostia!$D$80)*100</f>
        <v>367.53927511455004</v>
      </c>
      <c r="K26" s="79">
        <f t="shared" si="2"/>
        <v>9.7544192180597255E-5</v>
      </c>
      <c r="L26" s="241">
        <f t="shared" si="3"/>
        <v>9.7544192180597261E-2</v>
      </c>
      <c r="M26" s="242">
        <f>(8*Viscosity*L26*($D26/1000))/($F$16*(($C26/1000/2)^2))</f>
        <v>1.6714387498242854E-2</v>
      </c>
      <c r="N26" s="243">
        <f t="shared" si="4"/>
        <v>16.714387498242854</v>
      </c>
      <c r="O26" s="231" t="s">
        <v>303</v>
      </c>
      <c r="P26" s="226">
        <v>19</v>
      </c>
      <c r="Q26" s="226">
        <f>K26*1000</f>
        <v>9.7544192180597261E-2</v>
      </c>
      <c r="R26" s="226">
        <f>(8*Viscosity*Q25*(D26/1000))/($F$16*((C26/1000/2)^2))</f>
        <v>1.9110218299629247E-2</v>
      </c>
      <c r="S26" s="227">
        <f t="shared" si="5"/>
        <v>19.110218299629246</v>
      </c>
      <c r="T26" s="226"/>
      <c r="U26" s="226"/>
      <c r="V26" s="226"/>
      <c r="W26" s="233"/>
    </row>
    <row r="27" spans="1:29">
      <c r="A27" s="189"/>
      <c r="B27" s="190" t="s">
        <v>274</v>
      </c>
      <c r="C27" s="79">
        <f>'Incurrent Canals'!C32</f>
        <v>34.714500000000001</v>
      </c>
      <c r="D27" s="79">
        <f>'Incurrent Canals'!S24</f>
        <v>68.858999999999995</v>
      </c>
      <c r="E27" s="79">
        <f t="shared" si="6"/>
        <v>2342.2830000000004</v>
      </c>
      <c r="F27" s="79">
        <f t="shared" si="0"/>
        <v>0.52025068036267896</v>
      </c>
      <c r="G27" s="79">
        <f t="shared" si="1"/>
        <v>52.025068036267896</v>
      </c>
      <c r="H27" s="79">
        <f>'Incurrent Canals'!K32</f>
        <v>3.6625672769438566E-2</v>
      </c>
      <c r="I27" s="79">
        <f>'Incurrent Canals'!M32</f>
        <v>3.6625672769438564</v>
      </c>
      <c r="J27" s="79">
        <f>I27/($D$16*Ostia!$D$80)*100</f>
        <v>54.250021909606453</v>
      </c>
      <c r="K27" s="79">
        <f t="shared" si="2"/>
        <v>6.6085358906265465E-4</v>
      </c>
      <c r="L27" s="241">
        <f t="shared" si="3"/>
        <v>0.66085358906265468</v>
      </c>
      <c r="M27" s="242">
        <f>(8*Viscosity*L27*($D27/1000))/($F$16*(($C27/1000/2)^2))</f>
        <v>0.16639331249100897</v>
      </c>
      <c r="N27" s="243">
        <f t="shared" si="4"/>
        <v>166.39331249100897</v>
      </c>
      <c r="O27" s="231" t="s">
        <v>303</v>
      </c>
      <c r="P27" s="226">
        <v>19</v>
      </c>
      <c r="Q27" s="226">
        <f>K27*1000</f>
        <v>0.66085358906265468</v>
      </c>
      <c r="R27" s="226">
        <f>(8*Viscosity*Q26*(D27/1000))/($F$16*((C27/1000/2)^2))</f>
        <v>2.4560207464728385E-2</v>
      </c>
      <c r="S27" s="227">
        <f t="shared" si="5"/>
        <v>24.560207464728386</v>
      </c>
      <c r="T27" s="226"/>
      <c r="U27" s="226" t="s">
        <v>304</v>
      </c>
      <c r="V27" s="226">
        <f>Collars!C16/1000</f>
        <v>8.5761904761904781E-5</v>
      </c>
      <c r="W27" s="233" t="s">
        <v>352</v>
      </c>
    </row>
    <row r="28" spans="1:29">
      <c r="A28" s="189" t="s">
        <v>43</v>
      </c>
      <c r="B28" s="190" t="s">
        <v>275</v>
      </c>
      <c r="C28" s="79">
        <f>(Prosopyles!B16+Prosopyles!C16)/2</f>
        <v>4.5172142857142861</v>
      </c>
      <c r="D28" s="79">
        <f>0.5</f>
        <v>0.5</v>
      </c>
      <c r="E28" s="79">
        <f t="shared" si="6"/>
        <v>2411.1420000000003</v>
      </c>
      <c r="F28" s="79">
        <f t="shared" si="0"/>
        <v>0.53554513521680791</v>
      </c>
      <c r="G28" s="79">
        <f t="shared" si="1"/>
        <v>53.554513521680789</v>
      </c>
      <c r="H28" s="80">
        <f>Prosopyles!E24</f>
        <v>1.7169405653593237</v>
      </c>
      <c r="I28" s="79">
        <f t="shared" ref="I28:I37" si="7">H28*100</f>
        <v>171.69405653593236</v>
      </c>
      <c r="J28" s="79">
        <f>I28/($D$16*Ostia!$D$80)*100</f>
        <v>2543.1359001808501</v>
      </c>
      <c r="K28" s="79">
        <f t="shared" si="2"/>
        <v>1.4097288974270539E-5</v>
      </c>
      <c r="L28" s="241">
        <f>K28*1000</f>
        <v>1.4097288974270539E-2</v>
      </c>
      <c r="M28" s="242">
        <f>(8*Viscosity*L28*($D28/1000))/($F$16*(($C28/1000/2)^2))</f>
        <v>1.522144745268364E-3</v>
      </c>
      <c r="N28" s="243">
        <f t="shared" si="4"/>
        <v>1.5221447452683639</v>
      </c>
      <c r="O28" s="231" t="s">
        <v>302</v>
      </c>
      <c r="P28" s="226">
        <v>15</v>
      </c>
      <c r="Q28" s="226">
        <f>K28*1000</f>
        <v>1.4097288974270539E-2</v>
      </c>
      <c r="R28" s="226">
        <f>(6*PI()*Viscosity*Q27)/($F$16*(C28/1000))</f>
        <v>0.37973220999206397</v>
      </c>
      <c r="S28" s="227">
        <f t="shared" si="5"/>
        <v>379.73220999206399</v>
      </c>
      <c r="T28" s="226"/>
      <c r="U28" s="226" t="s">
        <v>305</v>
      </c>
      <c r="V28" s="226">
        <f>Collars!D16/1000</f>
        <v>6.6210526315789472E-5</v>
      </c>
      <c r="W28" s="233" t="s">
        <v>353</v>
      </c>
    </row>
    <row r="29" spans="1:29">
      <c r="A29" s="192" t="s">
        <v>276</v>
      </c>
      <c r="B29" s="193" t="s">
        <v>67</v>
      </c>
      <c r="C29" s="194">
        <f>Collars!B22</f>
        <v>1.5851666666666666</v>
      </c>
      <c r="D29" s="82">
        <f>Collars!C22</f>
        <v>2.2294166666666668</v>
      </c>
      <c r="E29" s="82">
        <f t="shared" si="6"/>
        <v>2411.6420000000003</v>
      </c>
      <c r="F29" s="82">
        <f t="shared" si="0"/>
        <v>0.53565619154099298</v>
      </c>
      <c r="G29" s="82">
        <f t="shared" si="1"/>
        <v>53.565619154099295</v>
      </c>
      <c r="H29" s="195">
        <f>Collars!G22</f>
        <v>5.0391812342104823</v>
      </c>
      <c r="I29" s="82">
        <f t="shared" si="7"/>
        <v>503.91812342104822</v>
      </c>
      <c r="J29" s="82">
        <f>I29/($D$16*Ostia!$D$80)*100</f>
        <v>7464.0456185833746</v>
      </c>
      <c r="K29" s="82">
        <f t="shared" si="2"/>
        <v>4.8032023808149522E-6</v>
      </c>
      <c r="L29" s="241">
        <f t="shared" si="3"/>
        <v>4.803202380814952E-3</v>
      </c>
      <c r="M29" s="242">
        <f>(8*Viscosity*L29*($D29/1000))/($F$16*(($C29/1000/2)^2))</f>
        <v>1.877863405413557E-2</v>
      </c>
      <c r="N29" s="243">
        <f t="shared" si="4"/>
        <v>18.778634054135569</v>
      </c>
      <c r="O29" s="231" t="s">
        <v>303</v>
      </c>
      <c r="P29" s="226">
        <v>19</v>
      </c>
      <c r="Q29" s="226">
        <f>K29*1000</f>
        <v>4.803202380814952E-3</v>
      </c>
      <c r="R29" s="226">
        <f>(8*Viscosity*Q28*(D29/1000))/($F$16*((C29/1000/2)^2))</f>
        <v>5.5114860839636466E-2</v>
      </c>
      <c r="S29" s="227">
        <f t="shared" si="5"/>
        <v>55.114860839636464</v>
      </c>
      <c r="T29" s="226"/>
      <c r="U29" s="226" t="s">
        <v>306</v>
      </c>
      <c r="V29" s="226">
        <f>Collars!F16/1000</f>
        <v>5.8999999999999998E-5</v>
      </c>
      <c r="W29" s="233" t="s">
        <v>354</v>
      </c>
    </row>
    <row r="30" spans="1:29">
      <c r="A30" s="196"/>
      <c r="B30" s="197" t="s">
        <v>277</v>
      </c>
      <c r="C30" s="198">
        <f>Collars!F16</f>
        <v>5.8999999999999997E-2</v>
      </c>
      <c r="D30" s="83">
        <f>Collars!C16</f>
        <v>8.5761904761904775E-2</v>
      </c>
      <c r="E30" s="83">
        <f t="shared" si="6"/>
        <v>2413.8714166666668</v>
      </c>
      <c r="F30" s="83">
        <f t="shared" si="0"/>
        <v>0.53615137318114714</v>
      </c>
      <c r="G30" s="83">
        <f t="shared" si="1"/>
        <v>53.615137318114712</v>
      </c>
      <c r="H30" s="83">
        <f>Collars!M16</f>
        <v>12.368042803010773</v>
      </c>
      <c r="I30" s="83">
        <f t="shared" si="7"/>
        <v>1236.8042803010774</v>
      </c>
      <c r="J30" s="79">
        <f>I30/($D$16*Ostia!$D$80)*100</f>
        <v>18319.570462666208</v>
      </c>
      <c r="K30" s="83">
        <f t="shared" si="2"/>
        <v>1.9569957581021426E-6</v>
      </c>
      <c r="L30" s="241">
        <f t="shared" si="3"/>
        <v>1.9569957581021427E-3</v>
      </c>
      <c r="M30" s="242">
        <f>(8*Viscosity*L30*($D30/1000))/($F$16*(($C30/1000/2)^2))</f>
        <v>0.21245747276325064</v>
      </c>
      <c r="N30" s="243">
        <f t="shared" si="4"/>
        <v>212.45747276325065</v>
      </c>
      <c r="O30" s="231" t="s">
        <v>307</v>
      </c>
      <c r="P30" s="226">
        <v>17</v>
      </c>
      <c r="Q30" s="226">
        <f>K30*1000</f>
        <v>1.9569957581021427E-3</v>
      </c>
      <c r="R30" s="226">
        <f>(V30*Viscosity*Q29)/(F16*V33)</f>
        <v>0.14745247049072466</v>
      </c>
      <c r="S30" s="227">
        <f t="shared" si="5"/>
        <v>147.45247049072466</v>
      </c>
      <c r="T30" s="226"/>
      <c r="U30" s="226" t="s">
        <v>308</v>
      </c>
      <c r="V30" s="226">
        <f>(8*PI())/(1-2*LN(V31)+((V31^2)/6))</f>
        <v>6.9553281473275126</v>
      </c>
      <c r="W30" s="233"/>
    </row>
    <row r="31" spans="1:29">
      <c r="A31" s="199"/>
      <c r="B31" s="200" t="s">
        <v>70</v>
      </c>
      <c r="C31" s="201">
        <f>Collars!B23</f>
        <v>2.2294166666666668</v>
      </c>
      <c r="D31" s="84">
        <f>Collars!C23</f>
        <v>3.3879999999999999</v>
      </c>
      <c r="E31" s="84">
        <f t="shared" si="6"/>
        <v>2413.9571785714288</v>
      </c>
      <c r="F31" s="84">
        <f t="shared" si="0"/>
        <v>0.53617042198494314</v>
      </c>
      <c r="G31" s="84">
        <f t="shared" si="1"/>
        <v>53.61704219849431</v>
      </c>
      <c r="H31" s="202">
        <f>Collars!G23</f>
        <v>10.77031606866057</v>
      </c>
      <c r="I31" s="84">
        <f t="shared" si="7"/>
        <v>1077.031606866057</v>
      </c>
      <c r="J31" s="84">
        <f>I31/($D$16*Ostia!$D$80)*100</f>
        <v>15953.014334408877</v>
      </c>
      <c r="K31" s="84">
        <f t="shared" si="2"/>
        <v>2.2473070564704351E-6</v>
      </c>
      <c r="L31" s="241">
        <f t="shared" si="3"/>
        <v>2.2473070564704351E-3</v>
      </c>
      <c r="M31" s="242">
        <f>(8*Viscosity*L31*($D31/1000))/($F$16*(($C31/1000/2)^2))</f>
        <v>6.7501754658313056E-3</v>
      </c>
      <c r="N31" s="243">
        <f t="shared" si="4"/>
        <v>6.7501754658313056</v>
      </c>
      <c r="O31" s="231" t="s">
        <v>303</v>
      </c>
      <c r="P31" s="226">
        <v>19</v>
      </c>
      <c r="Q31" s="226">
        <f>K31*1000</f>
        <v>2.2473070564704351E-3</v>
      </c>
      <c r="R31" s="226">
        <f>(8*Viscosity*Q30*(D31/1000))/($F$16*((C31/1000/2)^2))</f>
        <v>5.8781752653882646E-3</v>
      </c>
      <c r="S31" s="227">
        <f t="shared" si="5"/>
        <v>5.8781752653882648</v>
      </c>
      <c r="T31" s="226"/>
      <c r="U31" s="226" t="s">
        <v>309</v>
      </c>
      <c r="V31" s="226">
        <f>(PI()*V27)/V32</f>
        <v>6.1165990594595394</v>
      </c>
      <c r="W31" s="233"/>
    </row>
    <row r="32" spans="1:29">
      <c r="A32" s="189" t="s">
        <v>278</v>
      </c>
      <c r="B32" s="190" t="s">
        <v>279</v>
      </c>
      <c r="C32" s="79">
        <f>'Choanocyte Chambers'!D13</f>
        <v>21.108786556036556</v>
      </c>
      <c r="D32" s="79">
        <f>C32</f>
        <v>21.108786556036556</v>
      </c>
      <c r="E32" s="79">
        <f t="shared" si="6"/>
        <v>2417.3451785714287</v>
      </c>
      <c r="F32" s="79">
        <f t="shared" si="0"/>
        <v>0.53692293963762161</v>
      </c>
      <c r="G32" s="79">
        <f t="shared" si="1"/>
        <v>53.692293963762161</v>
      </c>
      <c r="H32" s="79">
        <f>'Choanocyte Chambers'!J13</f>
        <v>4.8796611168727608</v>
      </c>
      <c r="I32" s="79">
        <f t="shared" si="7"/>
        <v>487.96611168727611</v>
      </c>
      <c r="J32" s="79">
        <f>I32/($D$16*Ostia!$D$80)*100</f>
        <v>7227.7640923689132</v>
      </c>
      <c r="K32" s="79">
        <f t="shared" si="2"/>
        <v>4.9602229994671476E-6</v>
      </c>
      <c r="L32" s="241">
        <f t="shared" si="3"/>
        <v>4.9602229994671473E-3</v>
      </c>
      <c r="M32" s="242">
        <f>(8*Viscosity*L32*($D32/1000))/($F$16*(($C32/1000/2)^2))</f>
        <v>1.0354512703760221E-3</v>
      </c>
      <c r="N32" s="243">
        <f t="shared" si="4"/>
        <v>1.0354512703760221</v>
      </c>
      <c r="O32" s="231" t="s">
        <v>303</v>
      </c>
      <c r="P32" s="226">
        <v>19</v>
      </c>
      <c r="Q32" s="226">
        <f>K32*1000</f>
        <v>4.9602229994671473E-3</v>
      </c>
      <c r="R32" s="226">
        <f>(8*Viscosity*Q31*(D32/1000))/($F$16*((C32/1000/2)^2))</f>
        <v>4.6912748616287743E-4</v>
      </c>
      <c r="S32" s="227">
        <f t="shared" si="5"/>
        <v>0.46912748616287742</v>
      </c>
      <c r="T32" s="226"/>
      <c r="U32" s="226" t="s">
        <v>310</v>
      </c>
      <c r="V32" s="226">
        <f>(V28*V29)/(SQRT((V28^2)+(V29^2)))</f>
        <v>4.4048819832515585E-5</v>
      </c>
      <c r="W32" s="233"/>
    </row>
    <row r="33" spans="1:29">
      <c r="A33" s="189" t="s">
        <v>280</v>
      </c>
      <c r="B33" s="190" t="s">
        <v>281</v>
      </c>
      <c r="C33" s="80">
        <f>Apopyle!D14</f>
        <v>0.90052500000000002</v>
      </c>
      <c r="D33" s="79">
        <v>0.5</v>
      </c>
      <c r="E33" s="79">
        <f t="shared" si="6"/>
        <v>2438.4539651274654</v>
      </c>
      <c r="F33" s="79">
        <f t="shared" si="0"/>
        <v>0.54161146812346583</v>
      </c>
      <c r="G33" s="79">
        <f t="shared" si="1"/>
        <v>54.161146812346587</v>
      </c>
      <c r="H33" s="80">
        <f>Apopyle!I14</f>
        <v>1.1031063815767019</v>
      </c>
      <c r="I33" s="79">
        <f t="shared" si="7"/>
        <v>110.3106381576702</v>
      </c>
      <c r="J33" s="79">
        <f>I33/($D$16*Ostia!$D$80)*100</f>
        <v>1633.9234434240298</v>
      </c>
      <c r="K33" s="79">
        <f t="shared" si="2"/>
        <v>2.1941861370543464E-5</v>
      </c>
      <c r="L33" s="241">
        <f t="shared" si="3"/>
        <v>2.1941861370543464E-2</v>
      </c>
      <c r="M33" s="242">
        <f>(8*Viscosity*L33*($D33/1000))/($F$16*(($C33/1000/2)^2))</f>
        <v>5.9613367467724804E-2</v>
      </c>
      <c r="N33" s="243">
        <f t="shared" si="4"/>
        <v>59.613367467724807</v>
      </c>
      <c r="O33" s="231" t="s">
        <v>302</v>
      </c>
      <c r="P33" s="226">
        <v>15</v>
      </c>
      <c r="Q33" s="226">
        <f>K33*1000</f>
        <v>2.1941861370543464E-2</v>
      </c>
      <c r="R33" s="226">
        <f>(6*PI()*Viscosity*Q32)/($F$16*(C33/1000))</f>
        <v>1.4297111511370393E-2</v>
      </c>
      <c r="S33" s="227">
        <f t="shared" si="5"/>
        <v>14.297111511370394</v>
      </c>
      <c r="T33" s="226"/>
      <c r="U33" s="226" t="s">
        <v>311</v>
      </c>
      <c r="V33" s="226">
        <f>(V28*V29)/(V28+V29)</f>
        <v>3.1198823034888616E-5</v>
      </c>
      <c r="W33" s="233"/>
    </row>
    <row r="34" spans="1:29">
      <c r="A34" s="189" t="s">
        <v>282</v>
      </c>
      <c r="B34" s="190" t="s">
        <v>283</v>
      </c>
      <c r="C34" s="79">
        <f>('Excurrent Canals'!C28+'Excurrent Canals'!D28)/2</f>
        <v>34.867312499999997</v>
      </c>
      <c r="D34" s="79">
        <f>'Excurrent Canals'!S21</f>
        <v>74.353999999999999</v>
      </c>
      <c r="E34" s="79">
        <f t="shared" si="6"/>
        <v>2438.9539651274654</v>
      </c>
      <c r="F34" s="79">
        <f t="shared" si="0"/>
        <v>0.5417225244476509</v>
      </c>
      <c r="G34" s="79">
        <f t="shared" si="1"/>
        <v>54.172252444765093</v>
      </c>
      <c r="H34" s="79">
        <f>'Excurrent Canals'!K28</f>
        <v>2.4702616351275838E-2</v>
      </c>
      <c r="I34" s="79">
        <f t="shared" si="7"/>
        <v>2.4702616351275837</v>
      </c>
      <c r="J34" s="79">
        <f>I34/($D$16*Ostia!$D$80)*100</f>
        <v>36.589566196297866</v>
      </c>
      <c r="K34" s="79">
        <f t="shared" si="2"/>
        <v>9.7982363314595721E-4</v>
      </c>
      <c r="L34" s="241">
        <f t="shared" si="3"/>
        <v>0.97982363314595722</v>
      </c>
      <c r="M34" s="242">
        <f>(8*Viscosity*L34*($D34/1000))/($F$16*(($C34/1000/2)^2))</f>
        <v>0.26406268273222194</v>
      </c>
      <c r="N34" s="243">
        <f t="shared" si="4"/>
        <v>264.06268273222196</v>
      </c>
      <c r="O34" s="231" t="s">
        <v>303</v>
      </c>
      <c r="P34" s="226">
        <v>19</v>
      </c>
      <c r="Q34" s="226">
        <f>K34*1000</f>
        <v>0.97982363314595722</v>
      </c>
      <c r="R34" s="226">
        <f>(8*Viscosity*Q33*(D34/1000))/($F$16*((C34/1000/2)^2))</f>
        <v>5.9133364226387477E-3</v>
      </c>
      <c r="S34" s="227">
        <f t="shared" si="5"/>
        <v>5.9133364226387481</v>
      </c>
      <c r="T34" s="226"/>
      <c r="U34" s="226"/>
      <c r="V34" s="226"/>
      <c r="W34" s="233"/>
    </row>
    <row r="35" spans="1:29">
      <c r="A35" s="203"/>
      <c r="B35" s="190" t="s">
        <v>284</v>
      </c>
      <c r="C35" s="79">
        <f>C26</f>
        <v>169.580625</v>
      </c>
      <c r="D35" s="79">
        <f>'Excurrent Canals'!R21</f>
        <v>994.45600000000002</v>
      </c>
      <c r="E35" s="79">
        <f t="shared" si="6"/>
        <v>2513.3079651274652</v>
      </c>
      <c r="F35" s="79">
        <f t="shared" si="0"/>
        <v>0.55823748830457454</v>
      </c>
      <c r="G35" s="79">
        <f t="shared" si="1"/>
        <v>55.823748830457454</v>
      </c>
      <c r="H35" s="79">
        <f>H26</f>
        <v>0.24813581168118315</v>
      </c>
      <c r="I35" s="79">
        <f t="shared" si="7"/>
        <v>24.813581168118315</v>
      </c>
      <c r="J35" s="79">
        <f>I35/($D$16*Ostia!$D$80)*100</f>
        <v>367.53927511455004</v>
      </c>
      <c r="K35" s="79">
        <f t="shared" si="2"/>
        <v>9.7544192180597255E-5</v>
      </c>
      <c r="L35" s="241">
        <f t="shared" si="3"/>
        <v>9.7544192180597261E-2</v>
      </c>
      <c r="M35" s="242">
        <f>(8*Viscosity*L35*($D35/1000))/($F$16*(($C35/1000/2)^2))</f>
        <v>1.4863676951484868E-2</v>
      </c>
      <c r="N35" s="243">
        <f t="shared" si="4"/>
        <v>14.863676951484868</v>
      </c>
      <c r="O35" s="231" t="s">
        <v>303</v>
      </c>
      <c r="P35" s="226">
        <v>19</v>
      </c>
      <c r="Q35" s="226">
        <f>K35*1000</f>
        <v>9.7544192180597261E-2</v>
      </c>
      <c r="R35" s="226">
        <f>(8*Viscosity*Q34*(D35/1000))/($F$16*((C35/1000/2)^2))</f>
        <v>0.14930444987998623</v>
      </c>
      <c r="S35" s="227">
        <f t="shared" si="5"/>
        <v>149.30444987998624</v>
      </c>
      <c r="T35" s="226"/>
      <c r="U35" s="226"/>
      <c r="V35" s="226"/>
      <c r="W35" s="233"/>
    </row>
    <row r="36" spans="1:29">
      <c r="A36" s="203"/>
      <c r="B36" s="190" t="s">
        <v>285</v>
      </c>
      <c r="C36" s="79">
        <f>C25</f>
        <v>678.32799999999997</v>
      </c>
      <c r="D36" s="79">
        <f>D35</f>
        <v>994.45600000000002</v>
      </c>
      <c r="E36" s="79">
        <f t="shared" si="6"/>
        <v>3507.7639651274653</v>
      </c>
      <c r="F36" s="79">
        <f t="shared" si="0"/>
        <v>0.77911874415228732</v>
      </c>
      <c r="G36" s="79">
        <f t="shared" si="1"/>
        <v>77.911874415228738</v>
      </c>
      <c r="H36" s="79">
        <f>H25</f>
        <v>0.21702724917123395</v>
      </c>
      <c r="I36" s="79">
        <f t="shared" si="7"/>
        <v>21.702724917123394</v>
      </c>
      <c r="J36" s="79">
        <f>I36/($D$16*Ostia!$D$80)*100</f>
        <v>321.4612082797118</v>
      </c>
      <c r="K36" s="79">
        <f t="shared" si="2"/>
        <v>1.1152612123107528E-4</v>
      </c>
      <c r="L36" s="241">
        <f t="shared" si="3"/>
        <v>0.11152612123107529</v>
      </c>
      <c r="M36" s="242">
        <f>(8*Viscosity*L36*($D36/1000))/($F$16*(($C36/1000/2)^2))</f>
        <v>1.0621220232598044E-3</v>
      </c>
      <c r="N36" s="243">
        <f t="shared" si="4"/>
        <v>1.0621220232598045</v>
      </c>
      <c r="O36" s="231" t="s">
        <v>303</v>
      </c>
      <c r="P36" s="226">
        <v>19</v>
      </c>
      <c r="Q36" s="226">
        <f>K36*1000</f>
        <v>0.11152612123107529</v>
      </c>
      <c r="R36" s="226">
        <f>(8*Viscosity*Q35*(D36/1000))/($F$16*((C36/1000/2)^2))</f>
        <v>9.2896474487298231E-4</v>
      </c>
      <c r="S36" s="227">
        <f t="shared" si="5"/>
        <v>0.92896474487298231</v>
      </c>
      <c r="T36" s="226"/>
      <c r="U36" s="226"/>
      <c r="V36" s="226"/>
      <c r="W36" s="233"/>
    </row>
    <row r="37" spans="1:29">
      <c r="A37" s="189" t="s">
        <v>44</v>
      </c>
      <c r="B37" s="190" t="s">
        <v>286</v>
      </c>
      <c r="C37" s="79">
        <f>Osculum!G17</f>
        <v>8666.0337602158215</v>
      </c>
      <c r="D37" s="79">
        <f>Osculum!B19</f>
        <v>2184</v>
      </c>
      <c r="E37" s="79">
        <f t="shared" si="6"/>
        <v>4502.219965127465</v>
      </c>
      <c r="F37" s="79">
        <f t="shared" si="0"/>
        <v>1</v>
      </c>
      <c r="G37" s="79">
        <f t="shared" si="1"/>
        <v>100</v>
      </c>
      <c r="H37" s="79">
        <f>(PI()*(C37/2/1000)^2)/(A16*1000)</f>
        <v>1.1028630633536862E-3</v>
      </c>
      <c r="I37" s="79">
        <f t="shared" si="7"/>
        <v>0.11028630633536862</v>
      </c>
      <c r="J37" s="79">
        <f>I37/($D$16*Ostia!$D$80)*100</f>
        <v>1.6335630399711647</v>
      </c>
      <c r="K37" s="79">
        <f>B16</f>
        <v>2.1946702275E-2</v>
      </c>
      <c r="L37" s="241">
        <f t="shared" si="3"/>
        <v>21.946702275</v>
      </c>
      <c r="M37" s="242">
        <f>(8*Viscosity*L37*($D37/1000))/($F$16*(($C37/1000/2)^2))</f>
        <v>2.8123727743396298E-3</v>
      </c>
      <c r="N37" s="243">
        <f t="shared" si="4"/>
        <v>2.8123727743396296</v>
      </c>
      <c r="O37" s="231" t="s">
        <v>312</v>
      </c>
      <c r="P37" s="226">
        <v>22</v>
      </c>
      <c r="Q37" s="226">
        <f>K37*1000</f>
        <v>21.946702275</v>
      </c>
      <c r="R37" s="226">
        <f>((Q37^2)/(2*F16))/1000</f>
        <v>2.4557710367326773E-2</v>
      </c>
      <c r="S37" s="227">
        <f t="shared" si="5"/>
        <v>24.557710367326774</v>
      </c>
      <c r="T37" s="226"/>
      <c r="U37" s="226"/>
      <c r="V37" s="226"/>
      <c r="W37" s="233"/>
    </row>
    <row r="38" spans="1:29">
      <c r="C38" s="79"/>
      <c r="D38" s="79"/>
      <c r="E38" s="79"/>
      <c r="F38" s="79"/>
      <c r="G38" s="79"/>
      <c r="H38" s="79"/>
      <c r="I38" s="79"/>
      <c r="J38" s="79"/>
      <c r="K38" s="79"/>
      <c r="N38" s="244">
        <f>SUM(N23:N37)</f>
        <v>771.76047099946209</v>
      </c>
      <c r="O38" s="234"/>
      <c r="P38" s="235"/>
      <c r="Q38" s="235">
        <f>K38*1000000</f>
        <v>0</v>
      </c>
      <c r="R38" s="235"/>
      <c r="S38" s="236">
        <f>SUM(S23:S37)</f>
        <v>987.92097903963941</v>
      </c>
      <c r="T38" s="235"/>
      <c r="U38" s="235"/>
      <c r="V38" s="235"/>
      <c r="W38" s="237"/>
    </row>
    <row r="39" spans="1:29">
      <c r="M39" s="10"/>
      <c r="N39" s="10"/>
      <c r="O39" s="10"/>
      <c r="P39" s="10"/>
      <c r="Q39" s="10"/>
      <c r="R39" s="10"/>
      <c r="S39" s="10"/>
      <c r="T39" s="10"/>
      <c r="U39" s="10"/>
      <c r="V39" s="10"/>
      <c r="W39" s="10"/>
    </row>
    <row r="40" spans="1:29">
      <c r="S40" s="10"/>
      <c r="T40" s="10"/>
      <c r="U40" s="10"/>
      <c r="V40" s="10"/>
      <c r="W40" s="10"/>
      <c r="X40" s="10"/>
      <c r="Y40" s="10"/>
      <c r="Z40" s="10"/>
      <c r="AA40" s="10"/>
      <c r="AB40" s="10"/>
      <c r="AC40" s="10"/>
    </row>
    <row r="41" spans="1:29">
      <c r="S41" s="10"/>
      <c r="T41" s="10"/>
      <c r="U41" s="10"/>
      <c r="V41" s="10"/>
      <c r="W41" s="10"/>
      <c r="X41" s="10"/>
      <c r="Y41" s="10"/>
      <c r="Z41" s="10"/>
      <c r="AA41" s="10"/>
      <c r="AB41" s="10"/>
      <c r="AC41" s="10"/>
    </row>
    <row r="42" spans="1:29">
      <c r="A42" t="s">
        <v>287</v>
      </c>
      <c r="H42" s="204"/>
      <c r="S42" s="10"/>
      <c r="T42" s="10"/>
      <c r="U42" s="10"/>
      <c r="V42" s="10"/>
      <c r="W42" s="10"/>
      <c r="X42" s="10"/>
      <c r="Y42" s="10"/>
      <c r="Z42" s="10"/>
      <c r="AA42" s="10"/>
      <c r="AB42" s="10"/>
      <c r="AC42" s="10"/>
    </row>
    <row r="43" spans="1:29">
      <c r="A43" t="s">
        <v>288</v>
      </c>
      <c r="C43" s="81">
        <f>Osculum!R17</f>
        <v>2.4230583333333326</v>
      </c>
      <c r="D43" t="s">
        <v>289</v>
      </c>
      <c r="G43" s="204"/>
      <c r="H43" s="204"/>
      <c r="S43" s="10"/>
      <c r="T43" s="10"/>
      <c r="U43" s="10"/>
      <c r="V43" s="10"/>
      <c r="W43" s="10"/>
      <c r="X43" s="10"/>
      <c r="Y43" s="10"/>
      <c r="Z43" s="10"/>
      <c r="AA43" s="10"/>
      <c r="AB43" s="10"/>
      <c r="AC43" s="10"/>
    </row>
    <row r="44" spans="1:29">
      <c r="A44" t="s">
        <v>290</v>
      </c>
      <c r="C44" s="79">
        <f>(C43/44.661)*1000</f>
        <v>54.254457655075626</v>
      </c>
      <c r="D44" t="s">
        <v>291</v>
      </c>
      <c r="G44" s="204"/>
      <c r="H44" s="204"/>
    </row>
    <row r="45" spans="1:29">
      <c r="A45" t="s">
        <v>292</v>
      </c>
      <c r="C45" s="80">
        <f>C44*(C16/1000*60*60)</f>
        <v>267.36228198213087</v>
      </c>
      <c r="D45" t="s">
        <v>293</v>
      </c>
      <c r="G45" s="204"/>
      <c r="H45" s="204"/>
    </row>
    <row r="46" spans="1:29">
      <c r="C46" s="79">
        <f>C45*5.2222</f>
        <v>1396.2193089670839</v>
      </c>
      <c r="D46" t="s">
        <v>294</v>
      </c>
      <c r="G46" s="204"/>
      <c r="H46" s="204"/>
    </row>
    <row r="47" spans="1:29">
      <c r="G47" s="204"/>
      <c r="H47" s="204"/>
    </row>
    <row r="48" spans="1:29">
      <c r="C48" t="s">
        <v>313</v>
      </c>
      <c r="D48" s="206"/>
      <c r="E48" s="204"/>
      <c r="F48" t="s">
        <v>357</v>
      </c>
      <c r="G48" s="206"/>
    </row>
    <row r="49" spans="3:8">
      <c r="C49" s="205">
        <f>$E$16*$F$16*($S$38/1000)*($C$17/1000/60)</f>
        <v>13.580165175797465</v>
      </c>
      <c r="D49" t="s">
        <v>295</v>
      </c>
      <c r="E49" s="204"/>
      <c r="F49" s="205">
        <f>$E$16*$F$16*($N$38/1000)*($C$17/1000/60)</f>
        <v>10.60877832811304</v>
      </c>
      <c r="G49" t="s">
        <v>295</v>
      </c>
    </row>
    <row r="50" spans="3:8">
      <c r="C50" s="79">
        <f>$C$49/$C$46*100</f>
        <v>0.97263840204616592</v>
      </c>
      <c r="D50" t="s">
        <v>296</v>
      </c>
      <c r="E50" s="206"/>
      <c r="F50" s="79">
        <f>$F$49/$C$46*100</f>
        <v>0.75982177441460552</v>
      </c>
      <c r="G50" t="s">
        <v>296</v>
      </c>
    </row>
    <row r="51" spans="3:8">
      <c r="G51" s="204"/>
      <c r="H51" s="204"/>
    </row>
    <row r="52" spans="3:8">
      <c r="G52" s="204"/>
    </row>
    <row r="53" spans="3:8">
      <c r="G53" s="204"/>
    </row>
    <row r="54" spans="3:8">
      <c r="G54" s="204"/>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M200"/>
  <sheetViews>
    <sheetView topLeftCell="A52" workbookViewId="0">
      <selection activeCell="L76" sqref="L76"/>
    </sheetView>
  </sheetViews>
  <sheetFormatPr baseColWidth="10" defaultColWidth="11" defaultRowHeight="15" x14ac:dyDescent="0"/>
  <cols>
    <col min="1" max="1" width="25.6640625" customWidth="1"/>
    <col min="4" max="5" width="12.5" customWidth="1"/>
    <col min="6" max="6" width="12.1640625" customWidth="1"/>
    <col min="7" max="7" width="13.83203125" customWidth="1"/>
    <col min="8" max="8" width="13.5" customWidth="1"/>
    <col min="9" max="9" width="14.1640625" customWidth="1"/>
    <col min="10" max="10" width="20.1640625" customWidth="1"/>
    <col min="11" max="11" width="18.83203125" customWidth="1"/>
  </cols>
  <sheetData>
    <row r="1" spans="1:11">
      <c r="A1" t="s">
        <v>226</v>
      </c>
      <c r="F1" s="81"/>
      <c r="G1" t="s">
        <v>181</v>
      </c>
    </row>
    <row r="2" spans="1:11">
      <c r="F2" s="79"/>
      <c r="G2" t="s">
        <v>182</v>
      </c>
    </row>
    <row r="3" spans="1:11">
      <c r="A3" t="s">
        <v>0</v>
      </c>
    </row>
    <row r="4" spans="1:11">
      <c r="A4" s="29" t="s">
        <v>155</v>
      </c>
    </row>
    <row r="5" spans="1:11">
      <c r="A5" t="s">
        <v>1</v>
      </c>
    </row>
    <row r="6" spans="1:11">
      <c r="A6" t="s">
        <v>183</v>
      </c>
    </row>
    <row r="7" spans="1:11">
      <c r="A7" t="s">
        <v>184</v>
      </c>
    </row>
    <row r="8" spans="1:11">
      <c r="A8" t="s">
        <v>185</v>
      </c>
    </row>
    <row r="9" spans="1:11">
      <c r="A9" t="s">
        <v>2</v>
      </c>
    </row>
    <row r="10" spans="1:11">
      <c r="A10" t="s">
        <v>186</v>
      </c>
    </row>
    <row r="12" spans="1:11">
      <c r="A12" t="s">
        <v>227</v>
      </c>
    </row>
    <row r="15" spans="1:11">
      <c r="A15" s="16" t="s">
        <v>3</v>
      </c>
      <c r="B15" s="16"/>
      <c r="C15" s="16"/>
      <c r="D15" s="16"/>
      <c r="E15" s="16"/>
      <c r="F15" s="16"/>
      <c r="G15" s="16"/>
      <c r="H15" s="16"/>
      <c r="I15" s="16"/>
      <c r="J15" s="16"/>
      <c r="K15" s="16"/>
    </row>
    <row r="16" spans="1:11">
      <c r="A16" s="16"/>
      <c r="B16" s="16"/>
      <c r="C16" s="16"/>
      <c r="D16" s="16"/>
      <c r="E16" s="16"/>
      <c r="F16" s="16"/>
      <c r="G16" s="16"/>
      <c r="H16" s="16"/>
      <c r="I16" s="16"/>
      <c r="J16" s="16"/>
      <c r="K16" s="16"/>
    </row>
    <row r="17" spans="1:13" s="15" customFormat="1" ht="46" thickBot="1">
      <c r="A17" s="8" t="s">
        <v>4</v>
      </c>
      <c r="B17" s="8" t="s">
        <v>5</v>
      </c>
      <c r="C17" s="8" t="s">
        <v>77</v>
      </c>
      <c r="D17" s="8" t="s">
        <v>10</v>
      </c>
      <c r="E17" s="8" t="s">
        <v>78</v>
      </c>
      <c r="F17" s="8" t="s">
        <v>6</v>
      </c>
      <c r="G17" s="8" t="s">
        <v>7</v>
      </c>
      <c r="H17" s="8" t="s">
        <v>13</v>
      </c>
      <c r="I17" s="8" t="s">
        <v>14</v>
      </c>
      <c r="J17" s="8" t="s">
        <v>11</v>
      </c>
      <c r="K17" s="8" t="s">
        <v>9</v>
      </c>
      <c r="L17" s="8" t="s">
        <v>86</v>
      </c>
      <c r="M17" s="8" t="s">
        <v>87</v>
      </c>
    </row>
    <row r="18" spans="1:13" ht="16" thickTop="1">
      <c r="A18" s="81" t="str">
        <f>A32</f>
        <v>Tethya-ost-RR-01</v>
      </c>
      <c r="B18" s="81">
        <f t="shared" ref="B18:M18" si="0">B48</f>
        <v>41.252249999999997</v>
      </c>
      <c r="C18" s="81">
        <f t="shared" si="0"/>
        <v>32.140500000000003</v>
      </c>
      <c r="D18" s="81">
        <f t="shared" si="0"/>
        <v>20.626124999999998</v>
      </c>
      <c r="E18" s="81">
        <f t="shared" si="0"/>
        <v>16.070250000000001</v>
      </c>
      <c r="F18" s="81">
        <f t="shared" si="0"/>
        <v>1055.5966886749982</v>
      </c>
      <c r="G18" s="81">
        <f t="shared" si="0"/>
        <v>211</v>
      </c>
      <c r="H18" s="81">
        <f t="shared" si="0"/>
        <v>222730.90131042461</v>
      </c>
      <c r="I18" s="81">
        <f t="shared" si="0"/>
        <v>1595148.7290000001</v>
      </c>
      <c r="J18" s="81">
        <f t="shared" si="0"/>
        <v>4.6552172959476834E-2</v>
      </c>
      <c r="K18" s="81">
        <f t="shared" si="0"/>
        <v>4.6552172959476836</v>
      </c>
      <c r="L18" s="81">
        <f t="shared" si="0"/>
        <v>0.94268150242940585</v>
      </c>
      <c r="M18" s="81">
        <f t="shared" si="0"/>
        <v>4.6552172959476836</v>
      </c>
    </row>
    <row r="19" spans="1:13">
      <c r="A19" s="81" t="str">
        <f>A53</f>
        <v>Tethya-ost-RR-06</v>
      </c>
      <c r="B19" s="81">
        <f>B65</f>
        <v>58.434083333333341</v>
      </c>
      <c r="C19" s="81">
        <f t="shared" ref="C19:M19" si="1">C65</f>
        <v>36.497583333333338</v>
      </c>
      <c r="D19" s="81">
        <f t="shared" si="1"/>
        <v>29.21704166666667</v>
      </c>
      <c r="E19" s="81">
        <f t="shared" si="1"/>
        <v>18.248791666666669</v>
      </c>
      <c r="F19" s="81">
        <f t="shared" si="1"/>
        <v>1706.3144915006776</v>
      </c>
      <c r="G19" s="81">
        <f t="shared" si="1"/>
        <v>180</v>
      </c>
      <c r="H19" s="81">
        <f t="shared" si="1"/>
        <v>307136.60847012198</v>
      </c>
      <c r="I19" s="81">
        <f t="shared" si="1"/>
        <v>1260387.524</v>
      </c>
      <c r="J19" s="81">
        <f t="shared" si="1"/>
        <v>8.1243411963297402E-2</v>
      </c>
      <c r="K19" s="81">
        <f t="shared" si="1"/>
        <v>8.1243411963297394</v>
      </c>
      <c r="L19" s="81">
        <f t="shared" si="1"/>
        <v>1.6451790922567724</v>
      </c>
      <c r="M19" s="81">
        <f t="shared" si="1"/>
        <v>8.1243411963297394</v>
      </c>
    </row>
    <row r="20" spans="1:13">
      <c r="A20" s="81" t="str">
        <f>A69</f>
        <v>Tethya-ost-RR-05</v>
      </c>
      <c r="B20" s="81">
        <f>B76</f>
        <v>46.887714285714296</v>
      </c>
      <c r="C20" s="81">
        <f t="shared" ref="C20:M20" si="2">C76</f>
        <v>28.214857142857142</v>
      </c>
      <c r="D20" s="81">
        <f t="shared" si="2"/>
        <v>23.443857142857148</v>
      </c>
      <c r="E20" s="81">
        <f t="shared" si="2"/>
        <v>14.107428571428571</v>
      </c>
      <c r="F20" s="81">
        <f t="shared" si="2"/>
        <v>1045.1997722232741</v>
      </c>
      <c r="G20" s="81">
        <f t="shared" si="2"/>
        <v>45</v>
      </c>
      <c r="H20" s="81">
        <f t="shared" si="2"/>
        <v>47033.989750047331</v>
      </c>
      <c r="I20" s="81">
        <f t="shared" si="2"/>
        <v>206396.13</v>
      </c>
      <c r="J20" s="81">
        <f t="shared" si="2"/>
        <v>7.5975039713135725E-2</v>
      </c>
      <c r="K20" s="81">
        <f t="shared" si="2"/>
        <v>7.5975039713135724</v>
      </c>
      <c r="L20" s="81">
        <f t="shared" si="2"/>
        <v>1.5384945541909985</v>
      </c>
      <c r="M20" s="81">
        <f t="shared" si="2"/>
        <v>7.5975039713135724</v>
      </c>
    </row>
    <row r="21" spans="1:13">
      <c r="A21" s="81"/>
      <c r="B21" s="81"/>
      <c r="C21" s="81"/>
      <c r="D21" s="81"/>
      <c r="E21" s="81"/>
      <c r="F21" s="81"/>
      <c r="G21" s="81"/>
      <c r="H21" s="81"/>
      <c r="I21" s="81"/>
      <c r="J21" s="81"/>
      <c r="K21" s="81"/>
      <c r="L21" s="81"/>
      <c r="M21" s="81"/>
    </row>
    <row r="22" spans="1:13">
      <c r="A22" s="81"/>
      <c r="B22" s="81"/>
      <c r="C22" s="81"/>
      <c r="D22" s="81"/>
      <c r="E22" s="81"/>
      <c r="F22" s="81"/>
      <c r="G22" s="81"/>
      <c r="H22" s="81"/>
      <c r="I22" s="81"/>
      <c r="J22" s="81"/>
      <c r="K22" s="81"/>
      <c r="L22" s="81"/>
      <c r="M22" s="81"/>
    </row>
    <row r="23" spans="1:13">
      <c r="A23" s="81"/>
      <c r="B23" s="81"/>
      <c r="C23" s="81"/>
      <c r="D23" s="81"/>
      <c r="E23" s="81"/>
      <c r="F23" s="81"/>
      <c r="G23" s="81"/>
      <c r="H23" s="81"/>
      <c r="I23" s="81"/>
      <c r="J23" s="81"/>
      <c r="K23" s="81"/>
      <c r="L23" s="81"/>
      <c r="M23" s="81"/>
    </row>
    <row r="24" spans="1:13">
      <c r="A24" s="81"/>
      <c r="B24" s="81"/>
      <c r="C24" s="81"/>
      <c r="D24" s="81"/>
      <c r="E24" s="81"/>
      <c r="F24" s="81"/>
      <c r="G24" s="81"/>
      <c r="H24" s="81"/>
      <c r="I24" s="81"/>
      <c r="J24" s="81"/>
      <c r="K24" s="81"/>
      <c r="L24" s="81"/>
      <c r="M24" s="81"/>
    </row>
    <row r="25" spans="1:13">
      <c r="A25" s="81"/>
      <c r="B25" s="81"/>
      <c r="C25" s="81"/>
      <c r="D25" s="81"/>
      <c r="E25" s="81"/>
      <c r="F25" s="81"/>
      <c r="G25" s="81"/>
      <c r="H25" s="81"/>
      <c r="I25" s="81"/>
      <c r="J25" s="81"/>
      <c r="K25" s="81"/>
      <c r="L25" s="81"/>
      <c r="M25" s="81"/>
    </row>
    <row r="26" spans="1:13" ht="16" thickBot="1">
      <c r="A26" s="5"/>
      <c r="B26" s="85">
        <f>AVERAGE(B18:C25)</f>
        <v>40.571164682539695</v>
      </c>
      <c r="C26" s="85"/>
      <c r="D26" s="85">
        <f>AVERAGE(D18:E25)</f>
        <v>20.285582341269848</v>
      </c>
      <c r="E26" s="85"/>
      <c r="F26" s="85">
        <f>AVERAGE(F18:F25)</f>
        <v>1269.0369841329832</v>
      </c>
      <c r="G26" s="85">
        <f t="shared" ref="G26:M26" si="3">AVERAGE(G18:G25)</f>
        <v>145.33333333333334</v>
      </c>
      <c r="H26" s="85">
        <f t="shared" si="3"/>
        <v>192300.49984353132</v>
      </c>
      <c r="I26" s="85">
        <f t="shared" si="3"/>
        <v>1020644.1276666666</v>
      </c>
      <c r="J26" s="85">
        <f t="shared" si="3"/>
        <v>6.792354154530332E-2</v>
      </c>
      <c r="K26" s="85">
        <f t="shared" si="3"/>
        <v>6.7923541545303321</v>
      </c>
      <c r="L26" s="85">
        <f t="shared" si="3"/>
        <v>1.3754517162923923</v>
      </c>
      <c r="M26" s="85">
        <f t="shared" si="3"/>
        <v>6.7923541545303321</v>
      </c>
    </row>
    <row r="27" spans="1:13">
      <c r="A27" t="s">
        <v>80</v>
      </c>
      <c r="B27" t="s">
        <v>81</v>
      </c>
    </row>
    <row r="28" spans="1:13">
      <c r="A28" s="10"/>
      <c r="B28" s="10"/>
      <c r="C28" s="10"/>
      <c r="D28" s="10"/>
      <c r="E28" s="10"/>
      <c r="F28" s="10"/>
      <c r="G28" s="10"/>
      <c r="H28" s="10"/>
      <c r="I28" s="10"/>
    </row>
    <row r="29" spans="1:13">
      <c r="A29" s="10"/>
      <c r="B29" s="10"/>
      <c r="C29" s="10"/>
      <c r="D29" s="10"/>
      <c r="E29" s="10"/>
      <c r="F29" s="10"/>
      <c r="G29" s="10"/>
      <c r="H29" s="10"/>
      <c r="I29" s="10"/>
    </row>
    <row r="30" spans="1:13">
      <c r="A30" s="10"/>
      <c r="B30" s="10"/>
      <c r="C30" s="10"/>
      <c r="D30" s="10"/>
      <c r="E30" s="10"/>
      <c r="F30" s="10"/>
      <c r="G30" s="10"/>
      <c r="H30" s="10"/>
      <c r="I30" s="10"/>
    </row>
    <row r="31" spans="1:13" ht="46" thickBot="1">
      <c r="A31" s="43" t="s">
        <v>4</v>
      </c>
      <c r="B31" s="43" t="s">
        <v>5</v>
      </c>
      <c r="C31" s="43" t="s">
        <v>77</v>
      </c>
      <c r="D31" s="43" t="s">
        <v>10</v>
      </c>
      <c r="E31" s="43" t="s">
        <v>78</v>
      </c>
      <c r="F31" s="43" t="s">
        <v>6</v>
      </c>
      <c r="G31" s="43" t="s">
        <v>7</v>
      </c>
      <c r="H31" s="43" t="s">
        <v>13</v>
      </c>
      <c r="I31" s="43" t="s">
        <v>14</v>
      </c>
      <c r="J31" s="43" t="s">
        <v>11</v>
      </c>
      <c r="K31" s="43" t="s">
        <v>9</v>
      </c>
      <c r="L31" s="43" t="s">
        <v>86</v>
      </c>
      <c r="M31" s="43" t="s">
        <v>87</v>
      </c>
    </row>
    <row r="32" spans="1:13" ht="16" thickTop="1">
      <c r="A32" s="10" t="s">
        <v>193</v>
      </c>
      <c r="B32">
        <v>43.258000000000003</v>
      </c>
      <c r="C32">
        <v>32.161000000000001</v>
      </c>
      <c r="D32" s="83">
        <f>B32/2</f>
        <v>21.629000000000001</v>
      </c>
      <c r="E32" s="83">
        <f>C32/2</f>
        <v>16.080500000000001</v>
      </c>
      <c r="F32" s="83">
        <f>PI()*D32*E32</f>
        <v>1092.6620554260101</v>
      </c>
      <c r="G32" s="10"/>
      <c r="H32" s="10"/>
      <c r="I32" s="10"/>
    </row>
    <row r="33" spans="1:13">
      <c r="A33" s="10"/>
      <c r="B33">
        <v>35.896000000000001</v>
      </c>
      <c r="C33">
        <v>20.341000000000001</v>
      </c>
      <c r="D33" s="83">
        <f>B33/2</f>
        <v>17.948</v>
      </c>
      <c r="E33" s="83">
        <f>C33/2</f>
        <v>10.170500000000001</v>
      </c>
      <c r="F33" s="83">
        <f t="shared" ref="F33:F47" si="4">PI()*D33*E33</f>
        <v>573.46674395969649</v>
      </c>
      <c r="G33" s="10"/>
      <c r="H33" s="10"/>
      <c r="I33" s="10"/>
    </row>
    <row r="34" spans="1:13">
      <c r="A34" s="10"/>
      <c r="B34">
        <v>48.81</v>
      </c>
      <c r="C34">
        <v>31.928999999999998</v>
      </c>
      <c r="D34" s="83">
        <f t="shared" ref="D34:D47" si="5">B34/2</f>
        <v>24.405000000000001</v>
      </c>
      <c r="E34" s="83">
        <f t="shared" ref="E34:E47" si="6">C34/2</f>
        <v>15.964499999999999</v>
      </c>
      <c r="F34" s="83">
        <f t="shared" si="4"/>
        <v>1224.0072941845069</v>
      </c>
      <c r="G34" s="10"/>
      <c r="H34" s="10"/>
      <c r="I34" s="10"/>
    </row>
    <row r="35" spans="1:13">
      <c r="A35" s="10"/>
      <c r="B35">
        <v>43.539000000000001</v>
      </c>
      <c r="C35">
        <v>37.857999999999997</v>
      </c>
      <c r="D35" s="83">
        <f t="shared" si="5"/>
        <v>21.769500000000001</v>
      </c>
      <c r="E35" s="83">
        <f t="shared" si="6"/>
        <v>18.928999999999998</v>
      </c>
      <c r="F35" s="83">
        <f t="shared" si="4"/>
        <v>1294.5713701838022</v>
      </c>
      <c r="G35" s="10"/>
      <c r="H35" s="10"/>
      <c r="I35" s="10"/>
    </row>
    <row r="36" spans="1:13">
      <c r="A36" s="10"/>
      <c r="B36">
        <v>47.802</v>
      </c>
      <c r="C36">
        <v>41.241999999999997</v>
      </c>
      <c r="D36" s="83">
        <f t="shared" si="5"/>
        <v>23.901</v>
      </c>
      <c r="E36" s="83">
        <f t="shared" si="6"/>
        <v>20.620999999999999</v>
      </c>
      <c r="F36" s="83">
        <f t="shared" si="4"/>
        <v>1548.373275203345</v>
      </c>
      <c r="G36" s="10"/>
      <c r="H36" s="10"/>
      <c r="I36" s="10"/>
    </row>
    <row r="37" spans="1:13">
      <c r="A37" s="10"/>
      <c r="B37">
        <v>40.363999999999997</v>
      </c>
      <c r="C37">
        <v>32.93</v>
      </c>
      <c r="D37" s="83">
        <f t="shared" si="5"/>
        <v>20.181999999999999</v>
      </c>
      <c r="E37" s="83">
        <f t="shared" si="6"/>
        <v>16.465</v>
      </c>
      <c r="F37" s="83">
        <f t="shared" si="4"/>
        <v>1043.9406516206457</v>
      </c>
      <c r="G37" s="10"/>
      <c r="H37" s="10"/>
      <c r="I37" s="10"/>
    </row>
    <row r="38" spans="1:13">
      <c r="A38" s="10"/>
      <c r="B38">
        <v>32.244999999999997</v>
      </c>
      <c r="C38">
        <v>28.1</v>
      </c>
      <c r="D38" s="83">
        <f t="shared" si="5"/>
        <v>16.122499999999999</v>
      </c>
      <c r="E38" s="83">
        <f t="shared" si="6"/>
        <v>14.05</v>
      </c>
      <c r="F38" s="83">
        <f t="shared" si="4"/>
        <v>711.63710218289521</v>
      </c>
      <c r="G38" s="10"/>
      <c r="H38" s="10"/>
      <c r="I38" s="10"/>
    </row>
    <row r="39" spans="1:13">
      <c r="A39" s="10"/>
      <c r="B39">
        <v>40.615000000000002</v>
      </c>
      <c r="C39">
        <v>29.713999999999999</v>
      </c>
      <c r="D39" s="83">
        <f t="shared" si="5"/>
        <v>20.307500000000001</v>
      </c>
      <c r="E39" s="83">
        <f t="shared" si="6"/>
        <v>14.856999999999999</v>
      </c>
      <c r="F39" s="83">
        <f t="shared" si="4"/>
        <v>947.84529351939409</v>
      </c>
      <c r="G39" s="10"/>
      <c r="H39" s="10"/>
      <c r="I39" s="10"/>
    </row>
    <row r="40" spans="1:13">
      <c r="A40" s="10"/>
      <c r="B40">
        <v>33.901000000000003</v>
      </c>
      <c r="C40">
        <v>24.419</v>
      </c>
      <c r="D40" s="83">
        <f t="shared" si="5"/>
        <v>16.950500000000002</v>
      </c>
      <c r="E40" s="83">
        <f t="shared" si="6"/>
        <v>12.2095</v>
      </c>
      <c r="F40" s="83">
        <f t="shared" si="4"/>
        <v>650.17499843062967</v>
      </c>
      <c r="G40" s="10"/>
      <c r="H40" s="10"/>
      <c r="I40" s="10"/>
    </row>
    <row r="41" spans="1:13">
      <c r="A41" s="10"/>
      <c r="B41">
        <v>37.226999999999997</v>
      </c>
      <c r="C41">
        <v>31.417000000000002</v>
      </c>
      <c r="D41" s="83">
        <f t="shared" si="5"/>
        <v>18.613499999999998</v>
      </c>
      <c r="E41" s="83">
        <f t="shared" si="6"/>
        <v>15.708500000000001</v>
      </c>
      <c r="F41" s="83">
        <f t="shared" si="4"/>
        <v>918.57079356050929</v>
      </c>
      <c r="G41" s="10"/>
      <c r="H41" s="10"/>
      <c r="I41" s="10"/>
    </row>
    <row r="42" spans="1:13">
      <c r="A42" s="10"/>
      <c r="B42">
        <v>37.822000000000003</v>
      </c>
      <c r="C42">
        <v>32.93</v>
      </c>
      <c r="D42" s="83">
        <f t="shared" si="5"/>
        <v>18.911000000000001</v>
      </c>
      <c r="E42" s="83">
        <f t="shared" si="6"/>
        <v>16.465</v>
      </c>
      <c r="F42" s="83">
        <f t="shared" si="4"/>
        <v>978.19649503508231</v>
      </c>
      <c r="G42" s="10"/>
      <c r="H42" s="10"/>
      <c r="I42" s="10"/>
    </row>
    <row r="43" spans="1:13">
      <c r="A43" s="10"/>
      <c r="B43">
        <v>43.258000000000003</v>
      </c>
      <c r="C43">
        <v>45.289000000000001</v>
      </c>
      <c r="D43" s="83">
        <f t="shared" si="5"/>
        <v>21.629000000000001</v>
      </c>
      <c r="E43" s="83">
        <f t="shared" si="6"/>
        <v>22.644500000000001</v>
      </c>
      <c r="F43" s="83">
        <f t="shared" si="4"/>
        <v>1538.6826226855062</v>
      </c>
      <c r="G43" s="10"/>
      <c r="H43" s="10"/>
      <c r="I43" s="10"/>
    </row>
    <row r="44" spans="1:13">
      <c r="A44" s="10"/>
      <c r="B44">
        <v>47.802</v>
      </c>
      <c r="C44">
        <v>35.365000000000002</v>
      </c>
      <c r="D44" s="83">
        <f t="shared" si="5"/>
        <v>23.901</v>
      </c>
      <c r="E44" s="83">
        <f t="shared" si="6"/>
        <v>17.682500000000001</v>
      </c>
      <c r="F44" s="83">
        <f t="shared" si="4"/>
        <v>1327.7295203328233</v>
      </c>
      <c r="G44" s="10"/>
      <c r="H44" s="10"/>
      <c r="I44" s="10"/>
    </row>
    <row r="45" spans="1:13">
      <c r="A45" s="10"/>
      <c r="B45">
        <v>41.110999999999997</v>
      </c>
      <c r="C45">
        <v>31.631</v>
      </c>
      <c r="D45" s="83">
        <f t="shared" si="5"/>
        <v>20.555499999999999</v>
      </c>
      <c r="E45" s="83">
        <f t="shared" si="6"/>
        <v>15.8155</v>
      </c>
      <c r="F45" s="83">
        <f t="shared" si="4"/>
        <v>1021.3176667164252</v>
      </c>
      <c r="G45" s="10"/>
      <c r="H45" s="10"/>
      <c r="I45" s="10"/>
    </row>
    <row r="46" spans="1:13">
      <c r="A46" s="10"/>
      <c r="B46">
        <v>47.942999999999998</v>
      </c>
      <c r="C46">
        <v>32.076999999999998</v>
      </c>
      <c r="D46" s="83">
        <f t="shared" si="5"/>
        <v>23.971499999999999</v>
      </c>
      <c r="E46" s="83">
        <f t="shared" si="6"/>
        <v>16.038499999999999</v>
      </c>
      <c r="F46" s="83">
        <f t="shared" si="4"/>
        <v>1207.8383972278211</v>
      </c>
      <c r="G46" s="10"/>
      <c r="H46" s="10"/>
      <c r="I46" s="10"/>
    </row>
    <row r="47" spans="1:13">
      <c r="A47" s="10"/>
      <c r="B47">
        <v>38.442999999999998</v>
      </c>
      <c r="C47">
        <v>26.844999999999999</v>
      </c>
      <c r="D47" s="84">
        <f t="shared" si="5"/>
        <v>19.221499999999999</v>
      </c>
      <c r="E47" s="84">
        <f t="shared" si="6"/>
        <v>13.422499999999999</v>
      </c>
      <c r="F47" s="84">
        <f t="shared" si="4"/>
        <v>810.53273853087808</v>
      </c>
      <c r="G47" s="32"/>
      <c r="H47" s="32"/>
      <c r="I47" s="32"/>
    </row>
    <row r="48" spans="1:13">
      <c r="A48" s="10"/>
      <c r="B48" s="83">
        <f>AVERAGE(B32:B47)</f>
        <v>41.252249999999997</v>
      </c>
      <c r="C48" s="83">
        <f t="shared" ref="C48:F48" si="7">AVERAGE(C32:C47)</f>
        <v>32.140500000000003</v>
      </c>
      <c r="D48" s="83">
        <f t="shared" si="7"/>
        <v>20.626124999999998</v>
      </c>
      <c r="E48" s="83">
        <f t="shared" si="7"/>
        <v>16.070250000000001</v>
      </c>
      <c r="F48" s="83">
        <f t="shared" si="7"/>
        <v>1055.5966886749982</v>
      </c>
      <c r="G48" s="86">
        <v>211</v>
      </c>
      <c r="H48" s="83">
        <f>G48*F48</f>
        <v>222730.90131042461</v>
      </c>
      <c r="I48" s="28">
        <v>1595148.7290000001</v>
      </c>
      <c r="J48" s="79">
        <f>(H48/I48)*$D$80</f>
        <v>4.6552172959476834E-2</v>
      </c>
      <c r="K48" s="79">
        <f>J48*100</f>
        <v>4.6552172959476836</v>
      </c>
      <c r="L48" s="79">
        <f>J48*(20.25)</f>
        <v>0.94268150242940585</v>
      </c>
      <c r="M48" s="79">
        <f>K48</f>
        <v>4.6552172959476836</v>
      </c>
    </row>
    <row r="49" spans="1:13">
      <c r="A49" s="10"/>
      <c r="B49" s="10"/>
      <c r="C49" s="10"/>
      <c r="D49" s="10"/>
      <c r="E49" s="10"/>
      <c r="F49" s="10"/>
      <c r="G49" s="10"/>
      <c r="H49" s="10"/>
      <c r="I49" s="10"/>
    </row>
    <row r="50" spans="1:13">
      <c r="A50" s="10"/>
      <c r="B50" s="10"/>
      <c r="C50" s="10"/>
      <c r="D50" s="10"/>
      <c r="E50" s="10"/>
      <c r="F50" s="10"/>
      <c r="G50" s="10"/>
      <c r="H50" s="10"/>
      <c r="I50" s="10"/>
      <c r="J50" s="10"/>
      <c r="K50" s="10"/>
      <c r="L50" s="10"/>
      <c r="M50" s="10"/>
    </row>
    <row r="51" spans="1:13">
      <c r="A51" s="28"/>
      <c r="C51" s="28"/>
      <c r="D51" s="28"/>
      <c r="E51" s="28"/>
      <c r="F51" s="28"/>
      <c r="G51" s="28"/>
      <c r="H51" s="28"/>
      <c r="I51" s="28"/>
      <c r="J51" s="28"/>
      <c r="K51" s="28"/>
      <c r="L51" s="28"/>
      <c r="M51" s="28"/>
    </row>
    <row r="52" spans="1:13" ht="46" thickBot="1">
      <c r="A52" s="43" t="s">
        <v>4</v>
      </c>
      <c r="B52" s="43" t="s">
        <v>5</v>
      </c>
      <c r="C52" s="43" t="s">
        <v>77</v>
      </c>
      <c r="D52" s="43" t="s">
        <v>10</v>
      </c>
      <c r="E52" s="43" t="s">
        <v>78</v>
      </c>
      <c r="F52" s="43" t="s">
        <v>6</v>
      </c>
      <c r="G52" s="43" t="s">
        <v>7</v>
      </c>
      <c r="H52" s="43" t="s">
        <v>13</v>
      </c>
      <c r="I52" s="43" t="s">
        <v>14</v>
      </c>
      <c r="J52" s="43" t="s">
        <v>11</v>
      </c>
      <c r="K52" s="43" t="s">
        <v>9</v>
      </c>
      <c r="L52" s="43" t="s">
        <v>86</v>
      </c>
      <c r="M52" s="43" t="s">
        <v>87</v>
      </c>
    </row>
    <row r="53" spans="1:13" ht="16" thickTop="1">
      <c r="A53" s="10" t="s">
        <v>194</v>
      </c>
      <c r="B53">
        <v>66.010000000000005</v>
      </c>
      <c r="C53">
        <v>48.268999999999998</v>
      </c>
      <c r="D53" s="83">
        <f>B53/2</f>
        <v>33.005000000000003</v>
      </c>
      <c r="E53" s="83">
        <f>C53/2</f>
        <v>24.134499999999999</v>
      </c>
      <c r="F53" s="83">
        <f>PI()*D53*E53</f>
        <v>2502.464444475565</v>
      </c>
      <c r="G53" s="10"/>
      <c r="H53" s="10"/>
      <c r="I53" s="10"/>
    </row>
    <row r="54" spans="1:13">
      <c r="A54" s="10"/>
      <c r="B54">
        <v>58.533999999999999</v>
      </c>
      <c r="C54">
        <v>45.393000000000001</v>
      </c>
      <c r="D54" s="83">
        <f>B54/2</f>
        <v>29.266999999999999</v>
      </c>
      <c r="E54" s="83">
        <f>C54/2</f>
        <v>22.6965</v>
      </c>
      <c r="F54" s="83">
        <f t="shared" ref="F54:F64" si="8">PI()*D54*E54</f>
        <v>2086.8295152996288</v>
      </c>
      <c r="G54" s="10"/>
      <c r="H54" s="10"/>
      <c r="I54" s="10"/>
    </row>
    <row r="55" spans="1:13">
      <c r="A55" s="10"/>
      <c r="B55">
        <v>72.915000000000006</v>
      </c>
      <c r="C55">
        <v>36.957000000000001</v>
      </c>
      <c r="D55" s="83">
        <f t="shared" ref="D55:D64" si="9">B55/2</f>
        <v>36.457500000000003</v>
      </c>
      <c r="E55" s="83">
        <f t="shared" ref="E55:E64" si="10">C55/2</f>
        <v>18.4785</v>
      </c>
      <c r="F55" s="83">
        <f t="shared" si="8"/>
        <v>2116.4278679080057</v>
      </c>
      <c r="G55" s="10"/>
      <c r="H55" s="10"/>
      <c r="I55" s="10"/>
    </row>
    <row r="56" spans="1:13">
      <c r="A56" s="10"/>
      <c r="B56">
        <v>43.314999999999998</v>
      </c>
      <c r="C56">
        <v>25.445</v>
      </c>
      <c r="D56" s="83">
        <f t="shared" si="9"/>
        <v>21.657499999999999</v>
      </c>
      <c r="E56" s="83">
        <f t="shared" si="10"/>
        <v>12.7225</v>
      </c>
      <c r="F56" s="83">
        <f t="shared" si="8"/>
        <v>865.62672323317622</v>
      </c>
      <c r="G56" s="10"/>
      <c r="H56" s="10"/>
      <c r="I56" s="10"/>
    </row>
    <row r="57" spans="1:13">
      <c r="A57" s="10"/>
      <c r="B57">
        <v>68.227999999999994</v>
      </c>
      <c r="C57">
        <v>37.020000000000003</v>
      </c>
      <c r="D57" s="83">
        <f t="shared" si="9"/>
        <v>34.113999999999997</v>
      </c>
      <c r="E57" s="83">
        <f t="shared" si="10"/>
        <v>18.510000000000002</v>
      </c>
      <c r="F57" s="83">
        <f t="shared" si="8"/>
        <v>1983.7591209322463</v>
      </c>
      <c r="G57" s="10"/>
      <c r="H57" s="10"/>
      <c r="I57" s="10"/>
    </row>
    <row r="58" spans="1:13">
      <c r="A58" s="10"/>
      <c r="B58">
        <v>52.354999999999997</v>
      </c>
      <c r="C58">
        <v>29.568000000000001</v>
      </c>
      <c r="D58" s="83">
        <f t="shared" si="9"/>
        <v>26.177499999999998</v>
      </c>
      <c r="E58" s="83">
        <f t="shared" si="10"/>
        <v>14.784000000000001</v>
      </c>
      <c r="F58" s="83">
        <f t="shared" si="8"/>
        <v>1215.8219923353033</v>
      </c>
      <c r="G58" s="10"/>
      <c r="H58" s="10"/>
      <c r="I58" s="10"/>
    </row>
    <row r="59" spans="1:13">
      <c r="A59" s="10"/>
      <c r="B59">
        <v>66.224000000000004</v>
      </c>
      <c r="C59">
        <v>40.436999999999998</v>
      </c>
      <c r="D59" s="83">
        <f t="shared" si="9"/>
        <v>33.112000000000002</v>
      </c>
      <c r="E59" s="83">
        <f t="shared" si="10"/>
        <v>20.218499999999999</v>
      </c>
      <c r="F59" s="83">
        <f t="shared" si="8"/>
        <v>2103.2176537974324</v>
      </c>
      <c r="G59" s="10"/>
      <c r="H59" s="10"/>
      <c r="I59" s="10"/>
    </row>
    <row r="60" spans="1:13">
      <c r="A60" s="10"/>
      <c r="B60">
        <v>58.533999999999999</v>
      </c>
      <c r="C60">
        <v>44.604999999999997</v>
      </c>
      <c r="D60" s="83">
        <f t="shared" si="9"/>
        <v>29.266999999999999</v>
      </c>
      <c r="E60" s="83">
        <f t="shared" si="10"/>
        <v>22.302499999999998</v>
      </c>
      <c r="F60" s="83">
        <f t="shared" si="8"/>
        <v>2050.6031883757396</v>
      </c>
      <c r="G60" s="10"/>
      <c r="H60" s="10"/>
      <c r="I60" s="10"/>
    </row>
    <row r="61" spans="1:13">
      <c r="A61" s="10"/>
      <c r="B61">
        <v>51.856000000000002</v>
      </c>
      <c r="C61">
        <v>33.817999999999998</v>
      </c>
      <c r="D61" s="83">
        <f t="shared" si="9"/>
        <v>25.928000000000001</v>
      </c>
      <c r="E61" s="83">
        <f t="shared" si="10"/>
        <v>16.908999999999999</v>
      </c>
      <c r="F61" s="83">
        <f t="shared" si="8"/>
        <v>1377.3262189753675</v>
      </c>
      <c r="G61" s="10"/>
      <c r="H61" s="10"/>
      <c r="I61" s="10"/>
    </row>
    <row r="62" spans="1:13">
      <c r="A62" s="10"/>
      <c r="B62">
        <v>56.689</v>
      </c>
      <c r="C62">
        <v>33.957999999999998</v>
      </c>
      <c r="D62" s="83">
        <f t="shared" si="9"/>
        <v>28.3445</v>
      </c>
      <c r="E62" s="83">
        <f t="shared" si="10"/>
        <v>16.978999999999999</v>
      </c>
      <c r="F62" s="83">
        <f t="shared" si="8"/>
        <v>1511.9268561521269</v>
      </c>
      <c r="G62" s="10"/>
      <c r="H62" s="10"/>
      <c r="I62" s="10"/>
    </row>
    <row r="63" spans="1:13">
      <c r="A63" s="10"/>
      <c r="B63">
        <v>38.46</v>
      </c>
      <c r="C63">
        <v>29.247</v>
      </c>
      <c r="D63" s="83">
        <f t="shared" si="9"/>
        <v>19.23</v>
      </c>
      <c r="E63" s="83">
        <f t="shared" si="10"/>
        <v>14.6235</v>
      </c>
      <c r="F63" s="83">
        <f t="shared" si="8"/>
        <v>883.4469716646837</v>
      </c>
      <c r="G63" s="10"/>
      <c r="H63" s="10"/>
      <c r="I63" s="10"/>
    </row>
    <row r="64" spans="1:13">
      <c r="A64" s="10"/>
      <c r="B64">
        <v>68.088999999999999</v>
      </c>
      <c r="C64">
        <v>33.253999999999998</v>
      </c>
      <c r="D64" s="83">
        <f t="shared" si="9"/>
        <v>34.044499999999999</v>
      </c>
      <c r="E64" s="83">
        <f t="shared" si="10"/>
        <v>16.626999999999999</v>
      </c>
      <c r="F64" s="83">
        <f t="shared" si="8"/>
        <v>1778.3233448588546</v>
      </c>
      <c r="G64" s="10"/>
      <c r="H64" s="10"/>
      <c r="I64" s="10"/>
    </row>
    <row r="65" spans="1:13">
      <c r="A65" s="10"/>
      <c r="B65" s="83">
        <f>AVERAGE(B53:B64)</f>
        <v>58.434083333333341</v>
      </c>
      <c r="C65" s="83">
        <f>AVERAGE(C53:C64)</f>
        <v>36.497583333333338</v>
      </c>
      <c r="D65" s="83">
        <f>AVERAGE(D53:D64)</f>
        <v>29.21704166666667</v>
      </c>
      <c r="E65" s="83">
        <f>AVERAGE(E53:E64)</f>
        <v>18.248791666666669</v>
      </c>
      <c r="F65" s="83">
        <f>AVERAGE(F53:F64)</f>
        <v>1706.3144915006776</v>
      </c>
      <c r="G65" s="86">
        <v>180</v>
      </c>
      <c r="H65" s="83">
        <f>G65*F65</f>
        <v>307136.60847012198</v>
      </c>
      <c r="I65" s="10">
        <v>1260387.524</v>
      </c>
      <c r="J65" s="79">
        <f>(H65/I65)*$D$80</f>
        <v>8.1243411963297402E-2</v>
      </c>
      <c r="K65" s="79">
        <f>J65*100</f>
        <v>8.1243411963297394</v>
      </c>
      <c r="L65" s="79">
        <f>J65*(20.25)</f>
        <v>1.6451790922567724</v>
      </c>
      <c r="M65" s="79">
        <f>K65</f>
        <v>8.1243411963297394</v>
      </c>
    </row>
    <row r="66" spans="1:13">
      <c r="A66" s="10"/>
      <c r="B66" s="10"/>
      <c r="C66" s="10"/>
      <c r="D66" s="10"/>
      <c r="E66" s="10"/>
      <c r="F66" s="10"/>
      <c r="G66" s="10"/>
      <c r="H66" s="10"/>
      <c r="I66" s="10"/>
      <c r="J66" s="10"/>
      <c r="K66" s="10"/>
      <c r="L66" s="10"/>
      <c r="M66" s="10"/>
    </row>
    <row r="67" spans="1:13">
      <c r="A67" s="28"/>
      <c r="B67" s="28"/>
      <c r="C67" s="28"/>
      <c r="D67" s="28"/>
      <c r="E67" s="28"/>
      <c r="F67" s="28"/>
      <c r="G67" s="28"/>
      <c r="H67" s="28"/>
      <c r="I67" s="28"/>
      <c r="J67" s="28"/>
      <c r="K67" s="28"/>
      <c r="L67" s="28"/>
      <c r="M67" s="28"/>
    </row>
    <row r="68" spans="1:13" ht="46" thickBot="1">
      <c r="A68" s="43" t="s">
        <v>4</v>
      </c>
      <c r="B68" s="43" t="s">
        <v>5</v>
      </c>
      <c r="C68" s="43" t="s">
        <v>77</v>
      </c>
      <c r="D68" s="43" t="s">
        <v>10</v>
      </c>
      <c r="E68" s="43" t="s">
        <v>78</v>
      </c>
      <c r="F68" s="43" t="s">
        <v>6</v>
      </c>
      <c r="G68" s="43" t="s">
        <v>7</v>
      </c>
      <c r="H68" s="43" t="s">
        <v>13</v>
      </c>
      <c r="I68" s="43" t="s">
        <v>14</v>
      </c>
      <c r="J68" s="43" t="s">
        <v>11</v>
      </c>
      <c r="K68" s="43" t="s">
        <v>9</v>
      </c>
      <c r="L68" s="43" t="s">
        <v>86</v>
      </c>
      <c r="M68" s="43" t="s">
        <v>87</v>
      </c>
    </row>
    <row r="69" spans="1:13" ht="16" thickTop="1">
      <c r="A69" s="10" t="s">
        <v>195</v>
      </c>
      <c r="B69">
        <v>55.526000000000003</v>
      </c>
      <c r="C69">
        <v>33.207000000000001</v>
      </c>
      <c r="D69" s="83">
        <f>B69/2</f>
        <v>27.763000000000002</v>
      </c>
      <c r="E69" s="83">
        <f>C69/2</f>
        <v>16.6035</v>
      </c>
      <c r="F69" s="83">
        <f>PI()*D69*E69</f>
        <v>1448.1578816997287</v>
      </c>
      <c r="G69" s="10"/>
      <c r="H69" s="10"/>
      <c r="I69" s="10"/>
    </row>
    <row r="70" spans="1:13">
      <c r="A70" s="10"/>
      <c r="B70">
        <v>45.499000000000002</v>
      </c>
      <c r="C70">
        <v>26.667999999999999</v>
      </c>
      <c r="D70" s="83">
        <f>B70/2</f>
        <v>22.749500000000001</v>
      </c>
      <c r="E70" s="83">
        <f>C70/2</f>
        <v>13.334</v>
      </c>
      <c r="F70" s="83">
        <f t="shared" ref="F70:F75" si="11">PI()*D70*E70</f>
        <v>952.97647407926195</v>
      </c>
      <c r="G70" s="10"/>
      <c r="H70" s="10"/>
      <c r="I70" s="10"/>
    </row>
    <row r="71" spans="1:13">
      <c r="A71" s="10"/>
      <c r="B71">
        <v>42.215000000000003</v>
      </c>
      <c r="C71">
        <v>25.832999999999998</v>
      </c>
      <c r="D71" s="83">
        <f t="shared" ref="D71:D75" si="12">B71/2</f>
        <v>21.107500000000002</v>
      </c>
      <c r="E71" s="83">
        <f t="shared" ref="E71:E75" si="13">C71/2</f>
        <v>12.916499999999999</v>
      </c>
      <c r="F71" s="83">
        <f t="shared" si="11"/>
        <v>856.50818772427886</v>
      </c>
      <c r="G71" s="10"/>
      <c r="H71" s="10"/>
      <c r="I71" s="10"/>
    </row>
    <row r="72" spans="1:13">
      <c r="A72" s="10"/>
      <c r="B72">
        <v>60.536999999999999</v>
      </c>
      <c r="C72">
        <v>19.706</v>
      </c>
      <c r="D72" s="83">
        <f t="shared" si="12"/>
        <v>30.2685</v>
      </c>
      <c r="E72" s="83">
        <f t="shared" si="13"/>
        <v>9.8529999999999998</v>
      </c>
      <c r="F72" s="83">
        <f t="shared" si="11"/>
        <v>936.93455165825469</v>
      </c>
      <c r="G72" s="10"/>
      <c r="H72" s="10"/>
      <c r="I72" s="10"/>
    </row>
    <row r="73" spans="1:13">
      <c r="A73" s="10"/>
      <c r="B73">
        <v>30.518000000000001</v>
      </c>
      <c r="C73">
        <v>21.268000000000001</v>
      </c>
      <c r="D73" s="83">
        <f t="shared" si="12"/>
        <v>15.259</v>
      </c>
      <c r="E73" s="83">
        <f t="shared" si="13"/>
        <v>10.634</v>
      </c>
      <c r="F73" s="83">
        <f t="shared" si="11"/>
        <v>509.76803751018087</v>
      </c>
      <c r="G73" s="10"/>
      <c r="H73" s="10"/>
      <c r="I73" s="10"/>
    </row>
    <row r="74" spans="1:13">
      <c r="A74" s="10"/>
      <c r="B74">
        <v>45.054000000000002</v>
      </c>
      <c r="C74">
        <v>35.409999999999997</v>
      </c>
      <c r="D74" s="83">
        <f t="shared" si="12"/>
        <v>22.527000000000001</v>
      </c>
      <c r="E74" s="83">
        <f t="shared" si="13"/>
        <v>17.704999999999998</v>
      </c>
      <c r="F74" s="83">
        <f t="shared" si="11"/>
        <v>1252.9944947098227</v>
      </c>
      <c r="G74" s="10"/>
      <c r="H74" s="10"/>
      <c r="I74" s="10"/>
    </row>
    <row r="75" spans="1:13">
      <c r="A75" s="10"/>
      <c r="B75">
        <v>48.865000000000002</v>
      </c>
      <c r="C75">
        <v>35.411999999999999</v>
      </c>
      <c r="D75" s="83">
        <f t="shared" si="12"/>
        <v>24.432500000000001</v>
      </c>
      <c r="E75" s="83">
        <f t="shared" si="13"/>
        <v>17.706</v>
      </c>
      <c r="F75" s="83">
        <f t="shared" si="11"/>
        <v>1359.0587781813904</v>
      </c>
      <c r="G75" s="10"/>
      <c r="H75" s="10"/>
      <c r="I75" s="10"/>
    </row>
    <row r="76" spans="1:13">
      <c r="A76" s="10"/>
      <c r="B76" s="83">
        <f>AVERAGE(B69:B75)</f>
        <v>46.887714285714296</v>
      </c>
      <c r="C76" s="83">
        <f>AVERAGE(C69:C75)</f>
        <v>28.214857142857142</v>
      </c>
      <c r="D76" s="83">
        <f>AVERAGE(D69:D75)</f>
        <v>23.443857142857148</v>
      </c>
      <c r="E76" s="83">
        <f>AVERAGE(E69:E75)</f>
        <v>14.107428571428571</v>
      </c>
      <c r="F76" s="83">
        <f>AVERAGE(F69:F75)</f>
        <v>1045.1997722232741</v>
      </c>
      <c r="G76" s="86">
        <v>45</v>
      </c>
      <c r="H76" s="83">
        <f>G76*F76</f>
        <v>47033.989750047331</v>
      </c>
      <c r="I76" s="10">
        <v>206396.13</v>
      </c>
      <c r="J76" s="79">
        <f>(H76/I76)*$D$80</f>
        <v>7.5975039713135725E-2</v>
      </c>
      <c r="K76" s="79">
        <f>J76*100</f>
        <v>7.5975039713135724</v>
      </c>
      <c r="L76" s="79">
        <f>J76*(20.25)</f>
        <v>1.5384945541909985</v>
      </c>
      <c r="M76" s="79">
        <f>K76</f>
        <v>7.5975039713135724</v>
      </c>
    </row>
    <row r="77" spans="1:13">
      <c r="A77" s="10"/>
      <c r="B77" s="10"/>
      <c r="C77" s="10"/>
      <c r="D77" s="10"/>
      <c r="E77" s="10"/>
      <c r="F77" s="10"/>
      <c r="G77" s="10"/>
      <c r="H77" s="10"/>
      <c r="I77" s="10"/>
      <c r="J77" s="10"/>
      <c r="K77" s="10"/>
      <c r="L77" s="10"/>
      <c r="M77" s="10"/>
    </row>
    <row r="78" spans="1:13">
      <c r="A78" s="10"/>
      <c r="B78" s="10"/>
      <c r="C78" s="10"/>
      <c r="D78" s="10"/>
      <c r="E78" s="10"/>
      <c r="F78" s="10"/>
      <c r="G78" s="10"/>
      <c r="H78" s="10"/>
      <c r="I78" s="10"/>
      <c r="J78" s="10"/>
      <c r="K78" s="10"/>
      <c r="L78" s="10"/>
      <c r="M78" s="10"/>
    </row>
    <row r="79" spans="1:13" ht="60">
      <c r="A79" s="10"/>
      <c r="B79" s="28" t="s">
        <v>229</v>
      </c>
      <c r="C79" s="28" t="s">
        <v>230</v>
      </c>
      <c r="D79" s="28" t="s">
        <v>231</v>
      </c>
      <c r="E79" s="10"/>
      <c r="F79" s="10"/>
      <c r="G79" s="10"/>
      <c r="H79" s="10"/>
      <c r="I79" s="10"/>
      <c r="J79" s="10"/>
      <c r="K79" s="10"/>
      <c r="L79" s="10"/>
      <c r="M79" s="10"/>
    </row>
    <row r="80" spans="1:13">
      <c r="A80" s="10" t="s">
        <v>228</v>
      </c>
      <c r="B80" s="10">
        <v>1749.309</v>
      </c>
      <c r="C80" s="10">
        <f>620.767+13.956-10.613-40.897</f>
        <v>583.21300000000008</v>
      </c>
      <c r="D80" s="10">
        <f>C80/B80</f>
        <v>0.33339621530558644</v>
      </c>
      <c r="E80" s="10"/>
      <c r="F80" s="10"/>
      <c r="G80" s="10"/>
      <c r="H80" s="10"/>
      <c r="I80" s="10"/>
      <c r="J80" s="10"/>
      <c r="K80" s="10"/>
      <c r="L80" s="10"/>
      <c r="M80" s="10"/>
    </row>
    <row r="81" spans="1:13">
      <c r="A81" s="10"/>
      <c r="B81" s="10"/>
      <c r="C81" s="10"/>
      <c r="D81" s="10"/>
      <c r="E81" s="10"/>
      <c r="F81" s="10"/>
      <c r="G81" s="10"/>
      <c r="H81" s="10"/>
      <c r="I81" s="10"/>
      <c r="J81" s="10"/>
      <c r="K81" s="10"/>
      <c r="L81" s="10"/>
      <c r="M81" s="10"/>
    </row>
    <row r="82" spans="1:13">
      <c r="A82" s="10"/>
      <c r="B82" s="10"/>
      <c r="C82" s="10"/>
      <c r="D82" s="10"/>
      <c r="E82" s="10"/>
      <c r="F82" s="10"/>
      <c r="G82" s="10"/>
      <c r="H82" s="10"/>
      <c r="I82" s="10"/>
      <c r="J82" s="10"/>
      <c r="K82" s="10"/>
      <c r="L82" s="10"/>
      <c r="M82" s="10"/>
    </row>
    <row r="83" spans="1:13">
      <c r="A83" s="10"/>
      <c r="B83" s="10"/>
      <c r="C83" s="10"/>
      <c r="D83" s="10"/>
      <c r="E83" s="10"/>
      <c r="F83" s="10"/>
      <c r="G83" s="10"/>
      <c r="H83" s="10"/>
      <c r="I83" s="10"/>
    </row>
    <row r="84" spans="1:13">
      <c r="A84" s="10"/>
      <c r="B84" s="10"/>
      <c r="C84" s="10"/>
      <c r="D84" s="10"/>
      <c r="E84" s="10"/>
      <c r="F84" s="10"/>
      <c r="G84" s="10"/>
      <c r="H84" s="10"/>
      <c r="I84" s="10"/>
    </row>
    <row r="85" spans="1:13">
      <c r="A85" s="10"/>
      <c r="B85" s="10"/>
      <c r="C85" s="10"/>
      <c r="D85" s="10"/>
      <c r="E85" s="10"/>
      <c r="F85" s="32"/>
      <c r="G85" s="32"/>
      <c r="H85" s="32"/>
      <c r="I85" s="32"/>
    </row>
    <row r="86" spans="1:13">
      <c r="A86" s="10"/>
      <c r="B86" s="10"/>
      <c r="C86" s="10"/>
      <c r="D86" s="10"/>
      <c r="E86" s="10"/>
      <c r="F86" s="10"/>
      <c r="G86" s="10"/>
      <c r="H86" s="10"/>
      <c r="I86" s="10"/>
    </row>
    <row r="87" spans="1:13">
      <c r="A87" s="10"/>
      <c r="B87" s="10"/>
      <c r="C87" s="10"/>
      <c r="D87" s="10"/>
      <c r="E87" s="10"/>
      <c r="F87" s="10"/>
      <c r="G87" s="10"/>
      <c r="H87" s="10"/>
      <c r="I87" s="10"/>
    </row>
    <row r="88" spans="1:13">
      <c r="A88" s="10"/>
      <c r="B88" s="10"/>
      <c r="C88" s="10"/>
      <c r="D88" s="10"/>
      <c r="E88" s="10"/>
      <c r="F88" s="10"/>
      <c r="G88" s="10"/>
      <c r="H88" s="10"/>
      <c r="I88" s="10"/>
    </row>
    <row r="89" spans="1:13">
      <c r="A89" s="10"/>
      <c r="B89" s="10"/>
      <c r="C89" s="10"/>
      <c r="D89" s="10"/>
      <c r="E89" s="10"/>
      <c r="F89" s="10"/>
      <c r="G89" s="10"/>
      <c r="H89" s="10"/>
      <c r="I89" s="10"/>
    </row>
    <row r="90" spans="1:13">
      <c r="A90" s="10"/>
      <c r="B90" s="10"/>
      <c r="C90" s="10"/>
      <c r="D90" s="10"/>
      <c r="E90" s="10"/>
      <c r="F90" s="10"/>
      <c r="G90" s="10"/>
      <c r="H90" s="10"/>
      <c r="I90" s="10"/>
    </row>
    <row r="91" spans="1:13">
      <c r="A91" s="10"/>
      <c r="B91" s="10"/>
      <c r="C91" s="10"/>
      <c r="D91" s="10"/>
      <c r="E91" s="10"/>
      <c r="F91" s="10"/>
      <c r="G91" s="10"/>
      <c r="H91" s="10"/>
      <c r="I91" s="10"/>
    </row>
    <row r="92" spans="1:13">
      <c r="A92" s="10"/>
      <c r="B92" s="10"/>
      <c r="C92" s="10"/>
      <c r="D92" s="10"/>
      <c r="E92" s="10"/>
      <c r="F92" s="10"/>
      <c r="G92" s="10"/>
      <c r="H92" s="10"/>
      <c r="I92" s="10"/>
    </row>
    <row r="93" spans="1:13">
      <c r="A93" s="10"/>
      <c r="B93" s="10"/>
      <c r="C93" s="10"/>
      <c r="D93" s="10"/>
      <c r="E93" s="10"/>
      <c r="F93" s="10"/>
      <c r="G93" s="10"/>
      <c r="H93" s="10"/>
      <c r="I93" s="10"/>
    </row>
    <row r="94" spans="1:13">
      <c r="A94" s="10"/>
      <c r="B94" s="10"/>
      <c r="C94" s="10"/>
      <c r="D94" s="10"/>
      <c r="E94" s="10"/>
      <c r="F94" s="10"/>
      <c r="G94" s="10"/>
      <c r="H94" s="10"/>
      <c r="I94" s="10"/>
    </row>
    <row r="95" spans="1:13">
      <c r="A95" s="10"/>
      <c r="B95" s="10"/>
      <c r="C95" s="10"/>
      <c r="D95" s="10"/>
      <c r="E95" s="10"/>
      <c r="F95" s="10"/>
      <c r="G95" s="10"/>
      <c r="H95" s="10"/>
      <c r="I95" s="10"/>
    </row>
    <row r="96" spans="1:13">
      <c r="A96" s="10"/>
      <c r="B96" s="10"/>
      <c r="C96" s="10"/>
      <c r="D96" s="10"/>
      <c r="E96" s="10"/>
      <c r="F96" s="10"/>
      <c r="G96" s="10"/>
      <c r="H96" s="10"/>
      <c r="I96" s="10"/>
    </row>
    <row r="97" spans="1:9">
      <c r="A97" s="10"/>
      <c r="B97" s="10"/>
      <c r="C97" s="10"/>
      <c r="D97" s="10"/>
      <c r="E97" s="10"/>
      <c r="F97" s="10"/>
      <c r="G97" s="10"/>
      <c r="H97" s="10"/>
      <c r="I97" s="10"/>
    </row>
    <row r="98" spans="1:9">
      <c r="A98" s="10"/>
      <c r="B98" s="10"/>
      <c r="C98" s="10"/>
      <c r="D98" s="10"/>
      <c r="E98" s="10"/>
      <c r="F98" s="32"/>
      <c r="G98" s="32"/>
      <c r="H98" s="32"/>
      <c r="I98" s="32"/>
    </row>
    <row r="99" spans="1:9">
      <c r="A99" s="10"/>
      <c r="B99" s="10"/>
      <c r="C99" s="10"/>
      <c r="D99" s="10"/>
      <c r="E99" s="10"/>
      <c r="F99" s="10"/>
      <c r="G99" s="10"/>
      <c r="H99" s="10"/>
      <c r="I99" s="10"/>
    </row>
    <row r="100" spans="1:9">
      <c r="A100" s="10"/>
      <c r="B100" s="10"/>
      <c r="C100" s="10"/>
      <c r="D100" s="10"/>
      <c r="E100" s="10"/>
      <c r="F100" s="10"/>
      <c r="G100" s="10"/>
      <c r="H100" s="10"/>
      <c r="I100" s="10"/>
    </row>
    <row r="101" spans="1:9">
      <c r="A101" s="10"/>
      <c r="B101" s="10"/>
      <c r="C101" s="10"/>
      <c r="D101" s="10"/>
      <c r="E101" s="10"/>
      <c r="F101" s="10"/>
      <c r="G101" s="10"/>
      <c r="H101" s="10"/>
      <c r="I101" s="10"/>
    </row>
    <row r="102" spans="1:9">
      <c r="A102" s="10"/>
      <c r="B102" s="10"/>
      <c r="C102" s="10"/>
      <c r="D102" s="10"/>
      <c r="E102" s="10"/>
      <c r="F102" s="10"/>
      <c r="G102" s="10"/>
      <c r="H102" s="10"/>
      <c r="I102" s="10"/>
    </row>
    <row r="103" spans="1:9">
      <c r="A103" s="10"/>
      <c r="B103" s="10"/>
      <c r="C103" s="10"/>
      <c r="D103" s="10"/>
      <c r="E103" s="10"/>
      <c r="F103" s="10"/>
      <c r="G103" s="10"/>
      <c r="H103" s="10"/>
      <c r="I103" s="10"/>
    </row>
    <row r="104" spans="1:9">
      <c r="A104" s="10"/>
      <c r="B104" s="10"/>
      <c r="C104" s="10"/>
      <c r="D104" s="10"/>
      <c r="E104" s="10"/>
      <c r="F104" s="10"/>
      <c r="G104" s="10"/>
      <c r="H104" s="10"/>
      <c r="I104" s="10"/>
    </row>
    <row r="105" spans="1:9">
      <c r="A105" s="10"/>
      <c r="B105" s="10"/>
      <c r="C105" s="10"/>
      <c r="D105" s="10"/>
      <c r="E105" s="10"/>
      <c r="F105" s="10"/>
      <c r="G105" s="10"/>
      <c r="H105" s="10"/>
      <c r="I105" s="10"/>
    </row>
    <row r="106" spans="1:9">
      <c r="A106" s="10"/>
      <c r="B106" s="10"/>
      <c r="C106" s="10"/>
      <c r="D106" s="10"/>
      <c r="E106" s="10"/>
      <c r="F106" s="10"/>
      <c r="G106" s="10"/>
      <c r="H106" s="10"/>
      <c r="I106" s="10"/>
    </row>
    <row r="107" spans="1:9">
      <c r="A107" s="10"/>
      <c r="B107" s="10"/>
      <c r="C107" s="10"/>
      <c r="D107" s="10"/>
      <c r="E107" s="10"/>
      <c r="F107" s="10"/>
      <c r="G107" s="10"/>
      <c r="H107" s="10"/>
      <c r="I107" s="10"/>
    </row>
    <row r="108" spans="1:9">
      <c r="A108" s="10"/>
      <c r="B108" s="10"/>
      <c r="C108" s="10"/>
      <c r="D108" s="10"/>
      <c r="E108" s="10"/>
      <c r="F108" s="10"/>
      <c r="G108" s="10"/>
      <c r="H108" s="10"/>
      <c r="I108" s="10"/>
    </row>
    <row r="109" spans="1:9">
      <c r="A109" s="10"/>
      <c r="B109" s="10"/>
      <c r="C109" s="10"/>
      <c r="D109" s="10"/>
      <c r="E109" s="10"/>
      <c r="F109" s="10"/>
      <c r="G109" s="10"/>
      <c r="H109" s="10"/>
      <c r="I109" s="10"/>
    </row>
    <row r="110" spans="1:9">
      <c r="A110" s="10"/>
      <c r="B110" s="10"/>
      <c r="C110" s="10"/>
      <c r="D110" s="10"/>
      <c r="E110" s="10"/>
      <c r="F110" s="10"/>
      <c r="G110" s="10"/>
      <c r="H110" s="10"/>
      <c r="I110" s="10"/>
    </row>
    <row r="111" spans="1:9">
      <c r="A111" s="10"/>
      <c r="B111" s="10"/>
      <c r="C111" s="10"/>
      <c r="D111" s="10"/>
      <c r="E111" s="10"/>
      <c r="F111" s="32"/>
      <c r="G111" s="32"/>
      <c r="H111" s="32"/>
      <c r="I111" s="32"/>
    </row>
    <row r="112" spans="1:9">
      <c r="A112" s="10"/>
      <c r="B112" s="10"/>
      <c r="C112" s="10"/>
      <c r="D112" s="10"/>
      <c r="E112" s="10"/>
      <c r="F112" s="10"/>
      <c r="G112" s="10"/>
      <c r="H112" s="10"/>
      <c r="I112" s="10"/>
    </row>
    <row r="113" spans="1:9">
      <c r="A113" s="32"/>
      <c r="B113" s="32"/>
      <c r="C113" s="32"/>
      <c r="D113" s="32"/>
      <c r="E113" s="32"/>
      <c r="F113" s="32"/>
      <c r="G113" s="32"/>
      <c r="H113" s="32"/>
      <c r="I113" s="32"/>
    </row>
    <row r="114" spans="1:9">
      <c r="A114" s="10"/>
      <c r="B114" s="10"/>
      <c r="C114" s="10"/>
      <c r="D114" s="10"/>
      <c r="E114" s="10"/>
      <c r="F114" s="10"/>
      <c r="G114" s="10"/>
      <c r="H114" s="10"/>
      <c r="I114" s="10"/>
    </row>
    <row r="115" spans="1:9">
      <c r="A115" s="10"/>
      <c r="B115" s="10"/>
      <c r="C115" s="10"/>
      <c r="D115" s="10"/>
      <c r="E115" s="10"/>
      <c r="F115" s="10"/>
      <c r="G115" s="10"/>
      <c r="H115" s="10"/>
      <c r="I115" s="10"/>
    </row>
    <row r="116" spans="1:9">
      <c r="A116" s="10"/>
      <c r="B116" s="10"/>
      <c r="C116" s="10"/>
      <c r="D116" s="10"/>
      <c r="E116" s="10"/>
      <c r="F116" s="10"/>
      <c r="G116" s="10"/>
      <c r="H116" s="10"/>
      <c r="I116" s="10"/>
    </row>
    <row r="117" spans="1:9">
      <c r="A117" s="10"/>
      <c r="B117" s="10"/>
      <c r="C117" s="10"/>
      <c r="D117" s="10"/>
      <c r="E117" s="10"/>
      <c r="F117" s="10"/>
      <c r="G117" s="10"/>
      <c r="H117" s="10"/>
      <c r="I117" s="10"/>
    </row>
    <row r="118" spans="1:9">
      <c r="A118" s="10"/>
      <c r="B118" s="10"/>
      <c r="C118" s="10"/>
      <c r="D118" s="10"/>
      <c r="E118" s="10"/>
      <c r="F118" s="10"/>
      <c r="G118" s="10"/>
      <c r="H118" s="10"/>
      <c r="I118" s="10"/>
    </row>
    <row r="119" spans="1:9">
      <c r="A119" s="10"/>
      <c r="B119" s="10"/>
      <c r="C119" s="10"/>
      <c r="D119" s="10"/>
      <c r="E119" s="10"/>
      <c r="F119" s="10"/>
      <c r="G119" s="10"/>
      <c r="H119" s="10"/>
      <c r="I119" s="10"/>
    </row>
    <row r="120" spans="1:9">
      <c r="A120" s="10"/>
      <c r="B120" s="10"/>
      <c r="C120" s="10"/>
      <c r="D120" s="10"/>
      <c r="E120" s="10"/>
      <c r="F120" s="10"/>
      <c r="G120" s="10"/>
      <c r="H120" s="10"/>
      <c r="I120" s="10"/>
    </row>
    <row r="121" spans="1:9">
      <c r="A121" s="10"/>
      <c r="B121" s="10"/>
      <c r="C121" s="10"/>
      <c r="D121" s="10"/>
      <c r="E121" s="10"/>
      <c r="F121" s="10"/>
      <c r="G121" s="10"/>
      <c r="H121" s="10"/>
      <c r="I121" s="10"/>
    </row>
    <row r="122" spans="1:9">
      <c r="A122" s="10"/>
      <c r="B122" s="10"/>
      <c r="C122" s="10"/>
      <c r="D122" s="10"/>
      <c r="E122" s="10"/>
      <c r="F122" s="10"/>
      <c r="G122" s="10"/>
      <c r="H122" s="10"/>
      <c r="I122" s="10"/>
    </row>
    <row r="123" spans="1:9">
      <c r="A123" s="10"/>
      <c r="B123" s="10"/>
      <c r="C123" s="10"/>
      <c r="D123" s="10"/>
      <c r="E123" s="10"/>
      <c r="F123" s="10"/>
      <c r="G123" s="10"/>
      <c r="H123" s="10"/>
      <c r="I123" s="10"/>
    </row>
    <row r="124" spans="1:9">
      <c r="A124" s="10"/>
      <c r="B124" s="10"/>
      <c r="C124" s="10"/>
      <c r="D124" s="10"/>
      <c r="E124" s="10"/>
      <c r="F124" s="10"/>
      <c r="G124" s="10"/>
      <c r="H124" s="10"/>
      <c r="I124" s="10"/>
    </row>
    <row r="125" spans="1:9">
      <c r="A125" s="10"/>
      <c r="B125" s="10"/>
      <c r="C125" s="10"/>
      <c r="D125" s="10"/>
      <c r="E125" s="10"/>
      <c r="F125" s="32"/>
      <c r="G125" s="10"/>
      <c r="H125" s="10"/>
      <c r="I125" s="10"/>
    </row>
    <row r="126" spans="1:9">
      <c r="A126" s="10"/>
      <c r="B126" s="10"/>
      <c r="C126" s="10"/>
      <c r="D126" s="10"/>
      <c r="E126" s="10"/>
      <c r="F126" s="10"/>
      <c r="G126" s="10"/>
      <c r="H126" s="10"/>
      <c r="I126" s="10"/>
    </row>
    <row r="127" spans="1:9">
      <c r="A127" s="10"/>
      <c r="B127" s="10"/>
      <c r="C127" s="10"/>
      <c r="D127" s="10"/>
      <c r="E127" s="10"/>
      <c r="F127" s="10"/>
      <c r="G127" s="10"/>
      <c r="H127" s="10"/>
      <c r="I127" s="10"/>
    </row>
    <row r="128" spans="1:9">
      <c r="A128" s="10"/>
      <c r="B128" s="10"/>
      <c r="C128" s="10"/>
      <c r="D128" s="10"/>
      <c r="E128" s="10"/>
      <c r="F128" s="10"/>
      <c r="G128" s="10"/>
      <c r="H128" s="10"/>
      <c r="I128" s="10"/>
    </row>
    <row r="129" spans="1:9">
      <c r="A129" s="10"/>
      <c r="B129" s="10"/>
      <c r="C129" s="10"/>
      <c r="D129" s="10"/>
      <c r="E129" s="10"/>
      <c r="F129" s="10"/>
      <c r="G129" s="10"/>
      <c r="H129" s="10"/>
      <c r="I129" s="10"/>
    </row>
    <row r="130" spans="1:9">
      <c r="A130" s="10"/>
      <c r="B130" s="10"/>
      <c r="C130" s="10"/>
      <c r="D130" s="10"/>
      <c r="E130" s="10"/>
      <c r="F130" s="10"/>
      <c r="G130" s="10"/>
      <c r="H130" s="10"/>
      <c r="I130" s="10"/>
    </row>
    <row r="131" spans="1:9">
      <c r="A131" s="10"/>
      <c r="B131" s="10"/>
      <c r="C131" s="10"/>
      <c r="D131" s="10"/>
      <c r="E131" s="10"/>
      <c r="F131" s="10"/>
      <c r="G131" s="10"/>
      <c r="H131" s="10"/>
      <c r="I131" s="10"/>
    </row>
    <row r="132" spans="1:9">
      <c r="A132" s="10"/>
      <c r="B132" s="10"/>
      <c r="C132" s="10"/>
      <c r="D132" s="10"/>
      <c r="E132" s="10"/>
      <c r="F132" s="10"/>
      <c r="G132" s="10"/>
      <c r="H132" s="10"/>
      <c r="I132" s="10"/>
    </row>
    <row r="133" spans="1:9">
      <c r="A133" s="10"/>
      <c r="B133" s="10"/>
      <c r="C133" s="10"/>
      <c r="D133" s="10"/>
      <c r="E133" s="10"/>
      <c r="F133" s="10"/>
      <c r="G133" s="10"/>
      <c r="H133" s="10"/>
      <c r="I133" s="10"/>
    </row>
    <row r="134" spans="1:9">
      <c r="A134" s="10"/>
      <c r="B134" s="10"/>
      <c r="C134" s="10"/>
      <c r="D134" s="10"/>
      <c r="E134" s="10"/>
      <c r="F134" s="10"/>
      <c r="G134" s="10"/>
      <c r="H134" s="10"/>
      <c r="I134" s="10"/>
    </row>
    <row r="135" spans="1:9">
      <c r="A135" s="10"/>
      <c r="B135" s="10"/>
      <c r="C135" s="10"/>
      <c r="D135" s="10"/>
      <c r="E135" s="10"/>
      <c r="F135" s="10"/>
      <c r="G135" s="10"/>
      <c r="H135" s="10"/>
      <c r="I135" s="10"/>
    </row>
    <row r="136" spans="1:9">
      <c r="A136" s="10"/>
      <c r="B136" s="10"/>
      <c r="C136" s="10"/>
      <c r="D136" s="10"/>
      <c r="E136" s="10"/>
      <c r="F136" s="10"/>
      <c r="G136" s="10"/>
      <c r="H136" s="10"/>
      <c r="I136" s="10"/>
    </row>
    <row r="137" spans="1:9">
      <c r="A137" s="10"/>
      <c r="B137" s="10"/>
      <c r="C137" s="10"/>
      <c r="D137" s="10"/>
      <c r="E137" s="10"/>
      <c r="F137" s="10"/>
      <c r="G137" s="10"/>
      <c r="H137" s="10"/>
      <c r="I137" s="10"/>
    </row>
    <row r="138" spans="1:9">
      <c r="A138" s="10"/>
      <c r="B138" s="10"/>
      <c r="C138" s="10"/>
      <c r="D138" s="10"/>
      <c r="E138" s="10"/>
      <c r="F138" s="10"/>
      <c r="G138" s="10"/>
      <c r="H138" s="10"/>
      <c r="I138" s="10"/>
    </row>
    <row r="139" spans="1:9">
      <c r="A139" s="10"/>
      <c r="B139" s="10"/>
      <c r="C139" s="10"/>
      <c r="D139" s="10"/>
      <c r="E139" s="10"/>
      <c r="F139" s="10"/>
      <c r="G139" s="10"/>
      <c r="H139" s="10"/>
      <c r="I139" s="10"/>
    </row>
    <row r="140" spans="1:9">
      <c r="A140" s="10"/>
      <c r="B140" s="10"/>
      <c r="C140" s="10"/>
      <c r="D140" s="10"/>
      <c r="E140" s="10"/>
      <c r="F140" s="10"/>
      <c r="G140" s="10"/>
      <c r="H140" s="10"/>
      <c r="I140" s="10"/>
    </row>
    <row r="141" spans="1:9">
      <c r="A141" s="10"/>
      <c r="B141" s="10"/>
      <c r="C141" s="10"/>
      <c r="D141" s="10"/>
      <c r="E141" s="10"/>
      <c r="F141" s="10"/>
      <c r="G141" s="10"/>
      <c r="H141" s="10"/>
      <c r="I141" s="10"/>
    </row>
    <row r="142" spans="1:9">
      <c r="A142" s="10"/>
      <c r="B142" s="10"/>
      <c r="C142" s="10"/>
      <c r="D142" s="10"/>
      <c r="E142" s="10"/>
      <c r="F142" s="10"/>
      <c r="G142" s="10"/>
      <c r="H142" s="10"/>
      <c r="I142" s="10"/>
    </row>
    <row r="143" spans="1:9">
      <c r="A143" s="10"/>
      <c r="B143" s="10"/>
      <c r="C143" s="10"/>
      <c r="D143" s="10"/>
      <c r="E143" s="10"/>
      <c r="F143" s="10"/>
      <c r="G143" s="10"/>
      <c r="H143" s="10"/>
      <c r="I143" s="10"/>
    </row>
    <row r="144" spans="1:9">
      <c r="A144" s="10"/>
      <c r="B144" s="10"/>
      <c r="C144" s="10"/>
      <c r="D144" s="10"/>
      <c r="E144" s="10"/>
      <c r="F144" s="10"/>
      <c r="G144" s="10"/>
      <c r="H144" s="10"/>
      <c r="I144" s="10"/>
    </row>
    <row r="145" spans="1:9">
      <c r="A145" s="10"/>
      <c r="B145" s="10"/>
      <c r="C145" s="10"/>
      <c r="D145" s="10"/>
      <c r="E145" s="10"/>
      <c r="F145" s="10"/>
      <c r="G145" s="10"/>
      <c r="H145" s="10"/>
      <c r="I145" s="10"/>
    </row>
    <row r="146" spans="1:9">
      <c r="A146" s="10"/>
      <c r="B146" s="10"/>
      <c r="C146" s="10"/>
      <c r="D146" s="10"/>
      <c r="E146" s="10"/>
      <c r="F146" s="32"/>
      <c r="G146" s="10"/>
      <c r="H146" s="10"/>
      <c r="I146" s="10"/>
    </row>
    <row r="147" spans="1:9">
      <c r="A147" s="10"/>
      <c r="B147" s="10"/>
      <c r="C147" s="10"/>
      <c r="D147" s="10"/>
      <c r="E147" s="10"/>
      <c r="F147" s="10"/>
      <c r="G147" s="10"/>
      <c r="H147" s="10"/>
      <c r="I147" s="10"/>
    </row>
    <row r="148" spans="1:9">
      <c r="A148" s="10"/>
      <c r="B148" s="10"/>
      <c r="C148" s="10"/>
      <c r="D148" s="10"/>
      <c r="E148" s="10"/>
      <c r="F148" s="10"/>
      <c r="G148" s="10"/>
      <c r="H148" s="10"/>
      <c r="I148" s="10"/>
    </row>
    <row r="149" spans="1:9">
      <c r="A149" s="70"/>
      <c r="B149" s="10"/>
      <c r="C149" s="10"/>
      <c r="D149" s="10"/>
      <c r="E149" s="10"/>
      <c r="F149" s="10"/>
      <c r="G149" s="10"/>
      <c r="H149" s="10"/>
      <c r="I149" s="10"/>
    </row>
    <row r="150" spans="1:9">
      <c r="A150" s="70"/>
      <c r="B150" s="10"/>
      <c r="C150" s="10"/>
      <c r="D150" s="10"/>
      <c r="E150" s="10"/>
      <c r="F150" s="10"/>
      <c r="G150" s="10"/>
      <c r="H150" s="10"/>
      <c r="I150" s="10"/>
    </row>
    <row r="151" spans="1:9">
      <c r="A151" s="70"/>
      <c r="B151" s="10"/>
      <c r="C151" s="10"/>
      <c r="D151" s="10"/>
      <c r="E151" s="10"/>
      <c r="F151" s="10"/>
      <c r="G151" s="10"/>
      <c r="H151" s="10"/>
      <c r="I151" s="10"/>
    </row>
    <row r="152" spans="1:9">
      <c r="A152" s="70"/>
      <c r="B152" s="10"/>
      <c r="C152" s="10"/>
      <c r="D152" s="10"/>
      <c r="E152" s="10"/>
      <c r="F152" s="10"/>
      <c r="G152" s="10"/>
      <c r="H152" s="10"/>
      <c r="I152" s="10"/>
    </row>
    <row r="153" spans="1:9">
      <c r="A153" s="70"/>
      <c r="B153" s="10"/>
      <c r="C153" s="10"/>
      <c r="D153" s="10"/>
      <c r="E153" s="10"/>
      <c r="F153" s="10"/>
      <c r="G153" s="10"/>
      <c r="H153" s="10"/>
      <c r="I153" s="10"/>
    </row>
    <row r="154" spans="1:9">
      <c r="A154" s="70"/>
      <c r="B154" s="10"/>
      <c r="C154" s="10"/>
      <c r="D154" s="10"/>
      <c r="E154" s="10"/>
      <c r="F154" s="10"/>
      <c r="G154" s="10"/>
      <c r="H154" s="10"/>
      <c r="I154" s="10"/>
    </row>
    <row r="155" spans="1:9">
      <c r="A155" s="70"/>
      <c r="B155" s="10"/>
      <c r="C155" s="10"/>
      <c r="D155" s="10"/>
      <c r="E155" s="10"/>
      <c r="F155" s="10"/>
      <c r="G155" s="10"/>
      <c r="H155" s="10"/>
      <c r="I155" s="10"/>
    </row>
    <row r="156" spans="1:9">
      <c r="A156" s="70"/>
      <c r="B156" s="10"/>
      <c r="C156" s="10"/>
      <c r="D156" s="10"/>
      <c r="E156" s="10"/>
      <c r="F156" s="10"/>
      <c r="G156" s="10"/>
      <c r="H156" s="10"/>
      <c r="I156" s="10"/>
    </row>
    <row r="157" spans="1:9">
      <c r="A157" s="70"/>
      <c r="B157" s="10"/>
      <c r="C157" s="10"/>
      <c r="D157" s="10"/>
      <c r="E157" s="10"/>
      <c r="F157" s="10"/>
      <c r="G157" s="10"/>
      <c r="H157" s="10"/>
      <c r="I157" s="10"/>
    </row>
    <row r="158" spans="1:9">
      <c r="A158" s="70"/>
      <c r="B158" s="10"/>
      <c r="C158" s="10"/>
      <c r="D158" s="10"/>
      <c r="E158" s="10"/>
      <c r="F158" s="10"/>
      <c r="G158" s="10"/>
      <c r="H158" s="10"/>
      <c r="I158" s="10"/>
    </row>
    <row r="159" spans="1:9">
      <c r="A159" s="70"/>
      <c r="B159" s="10"/>
      <c r="C159" s="10"/>
      <c r="D159" s="10"/>
      <c r="E159" s="10"/>
      <c r="F159" s="10"/>
      <c r="G159" s="10"/>
      <c r="H159" s="10"/>
      <c r="I159" s="10"/>
    </row>
    <row r="160" spans="1:9">
      <c r="A160" s="70"/>
      <c r="B160" s="10"/>
      <c r="C160" s="10"/>
      <c r="D160" s="10"/>
      <c r="E160" s="10"/>
      <c r="F160" s="10"/>
      <c r="G160" s="10"/>
      <c r="H160" s="10"/>
      <c r="I160" s="10"/>
    </row>
    <row r="161" spans="1:9">
      <c r="A161" s="70"/>
      <c r="B161" s="10"/>
      <c r="C161" s="10"/>
      <c r="D161" s="10"/>
      <c r="E161" s="10"/>
      <c r="F161" s="10"/>
      <c r="G161" s="10"/>
      <c r="H161" s="10"/>
      <c r="I161" s="10"/>
    </row>
    <row r="162" spans="1:9">
      <c r="A162" s="70"/>
      <c r="B162" s="10"/>
      <c r="C162" s="10"/>
      <c r="D162" s="10"/>
      <c r="E162" s="10"/>
      <c r="F162" s="10"/>
      <c r="G162" s="10"/>
      <c r="H162" s="10"/>
      <c r="I162" s="10"/>
    </row>
    <row r="163" spans="1:9">
      <c r="A163" s="70"/>
      <c r="B163" s="10"/>
      <c r="C163" s="10"/>
      <c r="D163" s="10"/>
      <c r="E163" s="10"/>
      <c r="F163" s="10"/>
      <c r="G163" s="10"/>
      <c r="H163" s="10"/>
      <c r="I163" s="10"/>
    </row>
    <row r="164" spans="1:9">
      <c r="A164" s="70"/>
      <c r="B164" s="10"/>
      <c r="C164" s="10"/>
      <c r="D164" s="10"/>
      <c r="E164" s="10"/>
      <c r="F164" s="10"/>
      <c r="G164" s="10"/>
      <c r="H164" s="10"/>
      <c r="I164" s="10"/>
    </row>
    <row r="165" spans="1:9">
      <c r="A165" s="70"/>
      <c r="B165" s="10"/>
      <c r="C165" s="10"/>
      <c r="D165" s="10"/>
      <c r="E165" s="10"/>
      <c r="F165" s="10"/>
      <c r="G165" s="10"/>
      <c r="H165" s="10"/>
      <c r="I165" s="10"/>
    </row>
    <row r="166" spans="1:9">
      <c r="A166" s="70"/>
      <c r="B166" s="10"/>
      <c r="C166" s="10"/>
      <c r="D166" s="10"/>
      <c r="E166" s="10"/>
      <c r="F166" s="10"/>
      <c r="G166" s="10"/>
      <c r="H166" s="10"/>
      <c r="I166" s="10"/>
    </row>
    <row r="167" spans="1:9">
      <c r="A167" s="70"/>
      <c r="B167" s="10"/>
      <c r="C167" s="10"/>
      <c r="D167" s="10"/>
      <c r="E167" s="10"/>
      <c r="F167" s="10"/>
      <c r="G167" s="10"/>
      <c r="H167" s="10"/>
      <c r="I167" s="10"/>
    </row>
    <row r="168" spans="1:9">
      <c r="A168" s="70"/>
      <c r="B168" s="10"/>
      <c r="C168" s="10"/>
      <c r="D168" s="10"/>
      <c r="E168" s="10"/>
      <c r="F168" s="10"/>
      <c r="G168" s="10"/>
      <c r="H168" s="10"/>
      <c r="I168" s="10"/>
    </row>
    <row r="169" spans="1:9">
      <c r="A169" s="70"/>
      <c r="B169" s="10"/>
      <c r="C169" s="10"/>
      <c r="D169" s="10"/>
      <c r="E169" s="10"/>
      <c r="F169" s="10"/>
      <c r="G169" s="10"/>
      <c r="H169" s="10"/>
      <c r="I169" s="10"/>
    </row>
    <row r="170" spans="1:9">
      <c r="A170" s="70"/>
      <c r="B170" s="10"/>
      <c r="C170" s="10"/>
      <c r="D170" s="10"/>
      <c r="E170" s="10"/>
      <c r="F170" s="10"/>
      <c r="G170" s="10"/>
      <c r="H170" s="10"/>
      <c r="I170" s="10"/>
    </row>
    <row r="171" spans="1:9">
      <c r="A171" s="70"/>
      <c r="B171" s="10"/>
      <c r="C171" s="10"/>
      <c r="D171" s="10"/>
      <c r="E171" s="10"/>
      <c r="F171" s="10"/>
      <c r="G171" s="10"/>
      <c r="H171" s="10"/>
      <c r="I171" s="10"/>
    </row>
    <row r="172" spans="1:9">
      <c r="A172" s="70"/>
      <c r="B172" s="10"/>
      <c r="C172" s="10"/>
      <c r="D172" s="10"/>
      <c r="E172" s="10"/>
      <c r="F172" s="10"/>
      <c r="G172" s="10"/>
      <c r="H172" s="10"/>
      <c r="I172" s="10"/>
    </row>
    <row r="173" spans="1:9">
      <c r="A173" s="70"/>
      <c r="B173" s="10"/>
      <c r="C173" s="10"/>
      <c r="D173" s="10"/>
      <c r="E173" s="10"/>
      <c r="F173" s="10"/>
      <c r="G173" s="10"/>
      <c r="H173" s="10"/>
      <c r="I173" s="10"/>
    </row>
    <row r="174" spans="1:9">
      <c r="A174" s="70"/>
      <c r="B174" s="10"/>
      <c r="C174" s="10"/>
      <c r="D174" s="10"/>
      <c r="E174" s="10"/>
      <c r="F174" s="10"/>
      <c r="G174" s="10"/>
      <c r="H174" s="10"/>
      <c r="I174" s="10"/>
    </row>
    <row r="175" spans="1:9">
      <c r="A175" s="70"/>
      <c r="B175" s="10"/>
      <c r="C175" s="10"/>
      <c r="D175" s="10"/>
      <c r="E175" s="10"/>
      <c r="F175" s="10"/>
      <c r="G175" s="10"/>
      <c r="H175" s="10"/>
      <c r="I175" s="10"/>
    </row>
    <row r="176" spans="1:9">
      <c r="A176" s="70"/>
      <c r="B176" s="10"/>
      <c r="C176" s="10"/>
      <c r="D176" s="10"/>
      <c r="E176" s="10"/>
      <c r="F176" s="10"/>
      <c r="G176" s="10"/>
      <c r="H176" s="10"/>
      <c r="I176" s="10"/>
    </row>
    <row r="177" spans="1:9">
      <c r="A177" s="70"/>
      <c r="B177" s="10"/>
      <c r="C177" s="10"/>
      <c r="D177" s="10"/>
      <c r="E177" s="10"/>
      <c r="F177" s="10"/>
      <c r="G177" s="10"/>
      <c r="H177" s="10"/>
      <c r="I177" s="10"/>
    </row>
    <row r="178" spans="1:9">
      <c r="A178" s="70"/>
      <c r="B178" s="10"/>
      <c r="C178" s="10"/>
      <c r="D178" s="10"/>
      <c r="E178" s="10"/>
      <c r="F178" s="10"/>
      <c r="G178" s="10"/>
      <c r="H178" s="10"/>
      <c r="I178" s="10"/>
    </row>
    <row r="179" spans="1:9">
      <c r="A179" s="70"/>
      <c r="B179" s="10"/>
      <c r="C179" s="10"/>
      <c r="D179" s="10"/>
      <c r="E179" s="10"/>
      <c r="F179" s="10"/>
      <c r="G179" s="10"/>
      <c r="H179" s="10"/>
      <c r="I179" s="10"/>
    </row>
    <row r="180" spans="1:9">
      <c r="A180" s="70"/>
      <c r="B180" s="10"/>
      <c r="C180" s="10"/>
      <c r="D180" s="10"/>
      <c r="E180" s="10"/>
      <c r="F180" s="10"/>
      <c r="G180" s="10"/>
      <c r="H180" s="10"/>
      <c r="I180" s="10"/>
    </row>
    <row r="181" spans="1:9">
      <c r="A181" s="70"/>
      <c r="B181" s="10"/>
      <c r="C181" s="10"/>
      <c r="D181" s="10"/>
      <c r="E181" s="10"/>
      <c r="F181" s="10"/>
      <c r="G181" s="10"/>
      <c r="H181" s="10"/>
      <c r="I181" s="10"/>
    </row>
    <row r="182" spans="1:9">
      <c r="A182" s="70"/>
      <c r="B182" s="10"/>
      <c r="C182" s="10"/>
      <c r="D182" s="10"/>
      <c r="E182" s="10"/>
      <c r="F182" s="10"/>
      <c r="G182" s="10"/>
      <c r="H182" s="10"/>
      <c r="I182" s="10"/>
    </row>
    <row r="183" spans="1:9">
      <c r="A183" s="70"/>
      <c r="B183" s="10"/>
      <c r="C183" s="10"/>
      <c r="D183" s="10"/>
      <c r="E183" s="10"/>
      <c r="F183" s="10"/>
      <c r="G183" s="10"/>
      <c r="H183" s="10"/>
      <c r="I183" s="10"/>
    </row>
    <row r="184" spans="1:9">
      <c r="A184" s="70"/>
      <c r="B184" s="10"/>
      <c r="C184" s="10"/>
      <c r="D184" s="10"/>
      <c r="E184" s="10"/>
      <c r="F184" s="10"/>
      <c r="G184" s="10"/>
      <c r="H184" s="10"/>
      <c r="I184" s="10"/>
    </row>
    <row r="185" spans="1:9">
      <c r="A185" s="70"/>
      <c r="B185" s="10"/>
      <c r="C185" s="10"/>
      <c r="D185" s="10"/>
      <c r="E185" s="10"/>
      <c r="F185" s="10"/>
      <c r="G185" s="10"/>
      <c r="H185" s="10"/>
      <c r="I185" s="10"/>
    </row>
    <row r="186" spans="1:9">
      <c r="A186" s="70"/>
      <c r="B186" s="10"/>
      <c r="C186" s="10"/>
      <c r="D186" s="10"/>
      <c r="E186" s="10"/>
      <c r="F186" s="10"/>
      <c r="G186" s="10"/>
      <c r="H186" s="10"/>
      <c r="I186" s="10"/>
    </row>
    <row r="187" spans="1:9">
      <c r="A187" s="70"/>
      <c r="B187" s="10"/>
      <c r="C187" s="10"/>
      <c r="D187" s="10"/>
      <c r="E187" s="10"/>
      <c r="F187" s="10"/>
      <c r="G187" s="10"/>
      <c r="H187" s="10"/>
      <c r="I187" s="10"/>
    </row>
    <row r="188" spans="1:9">
      <c r="A188" s="70"/>
      <c r="B188" s="10"/>
      <c r="C188" s="10"/>
      <c r="D188" s="10"/>
      <c r="E188" s="10"/>
      <c r="F188" s="10"/>
      <c r="G188" s="10"/>
      <c r="H188" s="10"/>
      <c r="I188" s="10"/>
    </row>
    <row r="189" spans="1:9">
      <c r="A189" s="10"/>
      <c r="B189" s="10"/>
      <c r="C189" s="10"/>
      <c r="D189" s="10"/>
      <c r="E189" s="10"/>
      <c r="F189" s="32"/>
      <c r="G189" s="10"/>
      <c r="H189" s="10"/>
      <c r="I189" s="10"/>
    </row>
    <row r="190" spans="1:9">
      <c r="A190" s="10"/>
      <c r="B190" s="10"/>
      <c r="C190" s="10"/>
      <c r="D190" s="10"/>
      <c r="E190" s="10"/>
      <c r="F190" s="10"/>
      <c r="G190" s="10"/>
      <c r="H190" s="10"/>
      <c r="I190" s="10"/>
    </row>
    <row r="191" spans="1:9">
      <c r="A191" s="32"/>
      <c r="B191" s="32"/>
      <c r="C191" s="32"/>
      <c r="D191" s="32"/>
      <c r="E191" s="32"/>
      <c r="F191" s="32"/>
      <c r="G191" s="32"/>
      <c r="H191" s="32"/>
      <c r="I191" s="32"/>
    </row>
    <row r="192" spans="1:9">
      <c r="A192" s="10"/>
      <c r="B192" s="10"/>
      <c r="C192" s="10"/>
      <c r="D192" s="10"/>
      <c r="E192" s="10"/>
      <c r="F192" s="10"/>
      <c r="G192" s="10"/>
      <c r="H192" s="10"/>
      <c r="I192" s="10"/>
    </row>
    <row r="193" spans="1:9">
      <c r="A193" s="10"/>
      <c r="B193" s="10"/>
      <c r="C193" s="10"/>
      <c r="D193" s="10"/>
      <c r="E193" s="10"/>
      <c r="F193" s="10"/>
      <c r="G193" s="10"/>
      <c r="H193" s="10"/>
      <c r="I193" s="10"/>
    </row>
    <row r="194" spans="1:9">
      <c r="A194" s="10"/>
      <c r="B194" s="10"/>
      <c r="C194" s="10"/>
      <c r="D194" s="10"/>
      <c r="E194" s="10"/>
      <c r="F194" s="10"/>
      <c r="G194" s="10"/>
      <c r="H194" s="10"/>
      <c r="I194" s="10"/>
    </row>
    <row r="195" spans="1:9">
      <c r="A195" s="10"/>
      <c r="B195" s="10"/>
      <c r="C195" s="10"/>
      <c r="D195" s="10"/>
      <c r="E195" s="10"/>
      <c r="F195" s="10"/>
      <c r="G195" s="10"/>
      <c r="H195" s="10"/>
      <c r="I195" s="10"/>
    </row>
    <row r="196" spans="1:9">
      <c r="A196" s="10"/>
      <c r="B196" s="10"/>
      <c r="C196" s="10"/>
      <c r="D196" s="10"/>
      <c r="E196" s="10"/>
      <c r="F196" s="10"/>
      <c r="G196" s="10"/>
      <c r="H196" s="10"/>
      <c r="I196" s="10"/>
    </row>
    <row r="197" spans="1:9">
      <c r="A197" s="10"/>
      <c r="B197" s="10"/>
      <c r="C197" s="10"/>
      <c r="D197" s="10"/>
      <c r="E197" s="10"/>
      <c r="F197" s="10"/>
      <c r="G197" s="10"/>
      <c r="H197" s="10"/>
      <c r="I197" s="10"/>
    </row>
    <row r="198" spans="1:9">
      <c r="A198" s="10"/>
      <c r="B198" s="10"/>
      <c r="C198" s="10"/>
      <c r="D198" s="10"/>
      <c r="E198" s="10"/>
      <c r="F198" s="10"/>
      <c r="G198" s="10"/>
      <c r="H198" s="10"/>
      <c r="I198" s="10"/>
    </row>
    <row r="199" spans="1:9">
      <c r="A199" s="10"/>
      <c r="B199" s="10"/>
      <c r="C199" s="10"/>
      <c r="D199" s="10"/>
      <c r="E199" s="10"/>
      <c r="F199" s="10"/>
      <c r="G199" s="10"/>
      <c r="H199" s="10"/>
      <c r="I199" s="10"/>
    </row>
    <row r="200" spans="1:9">
      <c r="A200" s="10"/>
      <c r="B200" s="10"/>
      <c r="C200" s="10"/>
      <c r="D200" s="10"/>
      <c r="E200" s="10"/>
      <c r="F200" s="10"/>
      <c r="G200" s="10"/>
      <c r="H200" s="10"/>
      <c r="I200" s="10"/>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T75"/>
  <sheetViews>
    <sheetView topLeftCell="A4" workbookViewId="0">
      <selection activeCell="A11" sqref="A11"/>
    </sheetView>
  </sheetViews>
  <sheetFormatPr baseColWidth="10" defaultRowHeight="15" x14ac:dyDescent="0"/>
  <cols>
    <col min="1" max="1" width="17.83203125" customWidth="1"/>
    <col min="4" max="4" width="12.6640625" customWidth="1"/>
    <col min="9" max="9" width="11" bestFit="1" customWidth="1"/>
  </cols>
  <sheetData>
    <row r="1" spans="1:20">
      <c r="A1" s="33" t="s">
        <v>88</v>
      </c>
      <c r="E1" s="81"/>
      <c r="F1" t="s">
        <v>181</v>
      </c>
    </row>
    <row r="2" spans="1:20">
      <c r="E2" s="79"/>
      <c r="F2" t="s">
        <v>182</v>
      </c>
    </row>
    <row r="3" spans="1:20">
      <c r="A3" t="s">
        <v>101</v>
      </c>
      <c r="I3" t="s">
        <v>102</v>
      </c>
    </row>
    <row r="4" spans="1:20" ht="21" customHeight="1">
      <c r="A4" t="s">
        <v>197</v>
      </c>
      <c r="I4" s="2"/>
      <c r="J4" s="2"/>
      <c r="K4" s="2"/>
      <c r="L4" s="2"/>
      <c r="M4" s="2"/>
      <c r="N4" s="2"/>
      <c r="O4" s="2"/>
      <c r="P4" s="2"/>
    </row>
    <row r="6" spans="1:20" ht="45">
      <c r="A6" s="5" t="s">
        <v>89</v>
      </c>
      <c r="B6" s="14" t="s">
        <v>90</v>
      </c>
      <c r="C6" s="5" t="s">
        <v>5</v>
      </c>
      <c r="D6" s="14" t="s">
        <v>103</v>
      </c>
      <c r="E6" s="14" t="s">
        <v>104</v>
      </c>
      <c r="F6" s="14" t="s">
        <v>99</v>
      </c>
      <c r="G6" s="14" t="s">
        <v>105</v>
      </c>
    </row>
    <row r="7" spans="1:20">
      <c r="A7" s="9" t="s">
        <v>91</v>
      </c>
      <c r="B7" s="90">
        <f>AVERAGE(B15:B15,B18:B19,B22:B31,B35:B39)</f>
        <v>105.227</v>
      </c>
      <c r="C7" s="90">
        <f>AVERAGE(C15:C15,C18:C19,C22:C31,C35:C39)</f>
        <v>176.94774999999998</v>
      </c>
      <c r="D7" s="91">
        <f>H15</f>
        <v>0.82526931193471098</v>
      </c>
      <c r="E7" s="91">
        <f t="shared" ref="E7:G7" si="0">I15</f>
        <v>82.5269311934711</v>
      </c>
      <c r="F7" s="91">
        <f t="shared" si="0"/>
        <v>27.506226166783915</v>
      </c>
      <c r="G7" s="91">
        <f t="shared" si="0"/>
        <v>82.5269311934711</v>
      </c>
    </row>
    <row r="10" spans="1:20" ht="90">
      <c r="A10" s="72" t="s">
        <v>92</v>
      </c>
      <c r="B10" s="73" t="s">
        <v>93</v>
      </c>
      <c r="C10" s="73" t="s">
        <v>94</v>
      </c>
      <c r="D10" s="73" t="s">
        <v>95</v>
      </c>
      <c r="E10" s="73" t="s">
        <v>161</v>
      </c>
      <c r="F10" s="73" t="s">
        <v>160</v>
      </c>
      <c r="G10" s="73" t="s">
        <v>96</v>
      </c>
      <c r="H10" s="73" t="s">
        <v>97</v>
      </c>
      <c r="I10" s="73" t="s">
        <v>98</v>
      </c>
      <c r="J10" s="74" t="s">
        <v>99</v>
      </c>
      <c r="K10" s="74" t="s">
        <v>100</v>
      </c>
      <c r="L10" s="16"/>
    </row>
    <row r="11" spans="1:20">
      <c r="A11" s="29" t="s">
        <v>201</v>
      </c>
      <c r="B11" s="10">
        <v>105.227</v>
      </c>
      <c r="C11" s="10">
        <v>218.54</v>
      </c>
      <c r="D11">
        <f>PI()*B11*C11</f>
        <v>72245.034094611925</v>
      </c>
      <c r="E11" s="10"/>
      <c r="S11" t="s">
        <v>162</v>
      </c>
      <c r="T11" t="s">
        <v>64</v>
      </c>
    </row>
    <row r="12" spans="1:20" ht="16" customHeight="1">
      <c r="A12" s="10"/>
      <c r="B12" s="87"/>
      <c r="C12" s="10">
        <v>197.41</v>
      </c>
      <c r="D12">
        <f t="shared" ref="D12:D14" si="1">PI()*B12*C12</f>
        <v>0</v>
      </c>
      <c r="E12" s="28"/>
      <c r="F12" s="28"/>
      <c r="G12" s="28"/>
      <c r="H12" s="28"/>
      <c r="I12" s="28"/>
      <c r="J12" s="28"/>
      <c r="K12" s="28"/>
      <c r="S12" t="s">
        <v>163</v>
      </c>
      <c r="T12" t="s">
        <v>196</v>
      </c>
    </row>
    <row r="13" spans="1:20">
      <c r="A13" s="10"/>
      <c r="B13" s="88"/>
      <c r="C13" s="10">
        <v>156.547</v>
      </c>
      <c r="D13">
        <f t="shared" si="1"/>
        <v>0</v>
      </c>
      <c r="E13" s="10"/>
      <c r="F13" s="10"/>
      <c r="G13" s="37"/>
      <c r="H13" s="7"/>
      <c r="I13" s="34"/>
      <c r="J13" s="10"/>
      <c r="K13" s="34"/>
    </row>
    <row r="14" spans="1:20">
      <c r="A14" s="10"/>
      <c r="B14" s="87"/>
      <c r="C14" s="7">
        <v>135.29400000000001</v>
      </c>
      <c r="D14">
        <f t="shared" si="1"/>
        <v>0</v>
      </c>
      <c r="E14" s="35"/>
      <c r="F14" s="10"/>
      <c r="G14" s="36"/>
      <c r="H14" s="36"/>
      <c r="I14" s="10"/>
      <c r="J14" s="10"/>
      <c r="K14" s="10"/>
    </row>
    <row r="15" spans="1:20">
      <c r="A15" s="10"/>
      <c r="B15" s="92">
        <f>AVERAGE(B11:B14)</f>
        <v>105.227</v>
      </c>
      <c r="C15" s="92">
        <f>AVERAGE(C11:C14)</f>
        <v>176.94774999999998</v>
      </c>
      <c r="D15">
        <f>PI()*B15*C15</f>
        <v>58495.452693854066</v>
      </c>
      <c r="E15">
        <f>178.057*1592.309</f>
        <v>283521.76361299999</v>
      </c>
      <c r="F15" s="86">
        <f>COUNT(C11:C14)</f>
        <v>4</v>
      </c>
      <c r="G15" s="93">
        <f>F15*D15</f>
        <v>233981.81077541626</v>
      </c>
      <c r="H15" s="93">
        <f>G15/E15</f>
        <v>0.82526931193471098</v>
      </c>
      <c r="I15" s="83">
        <f>H15*100</f>
        <v>82.5269311934711</v>
      </c>
      <c r="J15" s="83">
        <f>H15*33.33</f>
        <v>27.506226166783915</v>
      </c>
      <c r="K15" s="83">
        <f>I15</f>
        <v>82.5269311934711</v>
      </c>
    </row>
    <row r="16" spans="1:20">
      <c r="A16" s="10"/>
      <c r="B16" s="10"/>
      <c r="C16" s="10"/>
      <c r="D16" s="10"/>
      <c r="E16" s="10"/>
      <c r="F16" s="10"/>
      <c r="G16" s="10"/>
      <c r="H16" s="36"/>
      <c r="I16" s="71"/>
      <c r="J16" s="10"/>
      <c r="K16" s="10"/>
      <c r="L16" s="10"/>
    </row>
    <row r="17" spans="1:12">
      <c r="A17" s="10"/>
      <c r="B17" s="10"/>
      <c r="C17" s="10"/>
      <c r="D17" s="10"/>
      <c r="E17" s="35"/>
      <c r="F17" s="10"/>
      <c r="G17" s="10"/>
      <c r="H17" s="36"/>
      <c r="I17" s="36"/>
      <c r="J17" s="10"/>
      <c r="K17" s="10"/>
      <c r="L17" s="10"/>
    </row>
    <row r="18" spans="1:12">
      <c r="A18" s="10"/>
      <c r="B18" s="10"/>
      <c r="C18" s="7"/>
      <c r="D18" s="10"/>
      <c r="E18" s="35"/>
      <c r="F18" s="10"/>
      <c r="G18" s="10"/>
      <c r="H18" s="36"/>
      <c r="I18" s="36"/>
      <c r="J18" s="10"/>
      <c r="K18" s="10"/>
      <c r="L18" s="10"/>
    </row>
    <row r="19" spans="1:12">
      <c r="A19" s="10"/>
      <c r="B19" s="7"/>
      <c r="C19" s="7"/>
      <c r="D19" s="10"/>
      <c r="E19" s="35"/>
      <c r="F19" s="10"/>
      <c r="G19" s="10"/>
      <c r="H19" s="10"/>
      <c r="I19" s="10"/>
      <c r="J19" s="10"/>
      <c r="K19" s="10"/>
      <c r="L19" s="10"/>
    </row>
    <row r="20" spans="1:12">
      <c r="A20" s="10"/>
      <c r="B20" s="10"/>
      <c r="C20" s="10"/>
      <c r="D20" s="10"/>
      <c r="E20" s="35"/>
      <c r="F20" s="10"/>
      <c r="G20" s="10"/>
      <c r="H20" s="36"/>
      <c r="I20" s="71"/>
      <c r="J20" s="10"/>
      <c r="K20" s="10"/>
      <c r="L20" s="10"/>
    </row>
    <row r="21" spans="1:12">
      <c r="A21" s="10"/>
      <c r="B21" s="34"/>
      <c r="C21" s="34"/>
      <c r="D21" s="34"/>
      <c r="E21" s="34"/>
      <c r="F21" s="10"/>
      <c r="G21" s="10"/>
      <c r="H21" s="10"/>
      <c r="I21" s="10"/>
      <c r="J21" s="10"/>
      <c r="K21" s="10"/>
      <c r="L21" s="10"/>
    </row>
    <row r="22" spans="1:12">
      <c r="A22" s="10"/>
      <c r="B22" s="7"/>
      <c r="C22" s="7"/>
      <c r="D22" s="7"/>
      <c r="E22" s="10"/>
      <c r="F22" s="10"/>
      <c r="G22" s="10"/>
      <c r="H22" s="10"/>
      <c r="I22" s="10"/>
      <c r="J22" s="7"/>
      <c r="K22" s="10"/>
      <c r="L22" s="10"/>
    </row>
    <row r="23" spans="1:12">
      <c r="A23" s="10"/>
      <c r="B23" s="7"/>
      <c r="C23" s="7"/>
      <c r="D23" s="7"/>
      <c r="E23" s="10"/>
      <c r="F23" s="7"/>
      <c r="G23" s="7"/>
      <c r="H23" s="7"/>
      <c r="I23" s="7"/>
      <c r="J23" s="7"/>
      <c r="K23" s="7"/>
      <c r="L23" s="7"/>
    </row>
    <row r="24" spans="1:12">
      <c r="A24" s="7"/>
      <c r="B24" s="7"/>
      <c r="C24" s="7"/>
      <c r="D24" s="7"/>
      <c r="E24" s="10"/>
      <c r="F24" s="7"/>
      <c r="G24" s="7"/>
      <c r="H24" s="7"/>
      <c r="I24" s="7"/>
      <c r="J24" s="7"/>
      <c r="K24" s="7"/>
      <c r="L24" s="7"/>
    </row>
    <row r="25" spans="1:12">
      <c r="A25" s="7"/>
      <c r="B25" s="7"/>
      <c r="C25" s="7"/>
      <c r="D25" s="7"/>
      <c r="E25" s="10"/>
      <c r="F25" s="7"/>
      <c r="G25" s="7"/>
      <c r="H25" s="7"/>
      <c r="I25" s="7"/>
      <c r="J25" s="7"/>
      <c r="K25" s="7"/>
      <c r="L25" s="7"/>
    </row>
    <row r="26" spans="1:12">
      <c r="A26" s="7"/>
      <c r="B26" s="7"/>
      <c r="C26" s="7"/>
      <c r="D26" s="7"/>
      <c r="E26" s="10"/>
      <c r="F26" s="7"/>
      <c r="G26" s="7"/>
      <c r="H26" s="7"/>
      <c r="I26" s="7"/>
      <c r="J26" s="7"/>
      <c r="K26" s="7"/>
      <c r="L26" s="7"/>
    </row>
    <row r="27" spans="1:12">
      <c r="A27" s="7"/>
      <c r="B27" s="7"/>
      <c r="C27" s="7"/>
      <c r="D27" s="7"/>
      <c r="E27" s="10"/>
      <c r="F27" s="7"/>
      <c r="G27" s="7"/>
      <c r="H27" s="7"/>
      <c r="I27" s="7"/>
      <c r="J27" s="7"/>
      <c r="K27" s="7"/>
      <c r="L27" s="7"/>
    </row>
    <row r="28" spans="1:12">
      <c r="A28" s="7"/>
      <c r="B28" s="7"/>
      <c r="C28" s="7"/>
      <c r="D28" s="7"/>
      <c r="E28" s="10"/>
      <c r="F28" s="7"/>
      <c r="G28" s="7"/>
      <c r="H28" s="7"/>
      <c r="I28" s="7"/>
      <c r="J28" s="7"/>
      <c r="K28" s="7"/>
      <c r="L28" s="7"/>
    </row>
    <row r="29" spans="1:12">
      <c r="A29" s="7"/>
      <c r="B29" s="7"/>
      <c r="C29" s="7"/>
      <c r="D29" s="7"/>
      <c r="E29" s="10"/>
      <c r="F29" s="7"/>
      <c r="G29" s="7"/>
      <c r="H29" s="7"/>
      <c r="I29" s="7"/>
      <c r="J29" s="7"/>
      <c r="K29" s="7"/>
      <c r="L29" s="7"/>
    </row>
    <row r="30" spans="1:12">
      <c r="A30" s="7"/>
      <c r="B30" s="7"/>
      <c r="C30" s="7"/>
      <c r="D30" s="7"/>
      <c r="E30" s="10"/>
      <c r="F30" s="7"/>
      <c r="G30" s="7"/>
      <c r="H30" s="7"/>
      <c r="I30" s="7"/>
      <c r="J30" s="7"/>
      <c r="K30" s="7"/>
      <c r="L30" s="7"/>
    </row>
    <row r="31" spans="1:12">
      <c r="A31" s="7"/>
      <c r="B31" s="7"/>
      <c r="C31" s="7"/>
      <c r="D31" s="7"/>
      <c r="E31" s="10"/>
      <c r="F31" s="7"/>
      <c r="G31" s="7"/>
      <c r="H31" s="7"/>
      <c r="I31" s="7"/>
      <c r="J31" s="7"/>
      <c r="K31" s="7"/>
      <c r="L31" s="7"/>
    </row>
    <row r="32" spans="1:12">
      <c r="A32" s="7"/>
      <c r="B32" s="7"/>
      <c r="C32" s="7"/>
      <c r="D32" s="7"/>
      <c r="E32" s="10"/>
      <c r="F32" s="7"/>
      <c r="G32" s="7"/>
      <c r="H32" s="7"/>
      <c r="I32" s="7"/>
      <c r="J32" s="7"/>
      <c r="K32" s="7"/>
      <c r="L32" s="7"/>
    </row>
    <row r="33" spans="1:12">
      <c r="A33" s="7"/>
      <c r="B33" s="7"/>
      <c r="C33" s="7"/>
      <c r="D33" s="7"/>
      <c r="E33" s="7"/>
      <c r="F33" s="7"/>
      <c r="G33" s="7"/>
      <c r="H33" s="7"/>
      <c r="I33" s="7"/>
      <c r="J33" s="7"/>
      <c r="K33" s="7"/>
      <c r="L33" s="7"/>
    </row>
    <row r="34" spans="1:12" ht="16" customHeight="1">
      <c r="A34" s="10"/>
      <c r="B34" s="28"/>
      <c r="C34" s="28"/>
      <c r="D34" s="28"/>
      <c r="E34" s="28"/>
      <c r="F34" s="28"/>
      <c r="G34" s="28"/>
      <c r="H34" s="28"/>
      <c r="I34" s="28"/>
      <c r="J34" s="28"/>
      <c r="K34" s="28"/>
      <c r="L34" s="28"/>
    </row>
    <row r="35" spans="1:12">
      <c r="A35" s="7"/>
      <c r="B35" s="7"/>
      <c r="C35" s="7"/>
      <c r="D35" s="7"/>
      <c r="E35" s="7"/>
      <c r="F35" s="7"/>
      <c r="G35" s="7"/>
      <c r="H35" s="7"/>
      <c r="I35" s="7"/>
      <c r="J35" s="7"/>
      <c r="K35" s="7"/>
      <c r="L35" s="7"/>
    </row>
    <row r="36" spans="1:12">
      <c r="A36" s="7"/>
      <c r="B36" s="7"/>
      <c r="C36" s="7"/>
      <c r="D36" s="7"/>
      <c r="E36" s="7"/>
      <c r="F36" s="7"/>
      <c r="G36" s="7"/>
      <c r="H36" s="7"/>
      <c r="I36" s="7"/>
      <c r="J36" s="7"/>
      <c r="K36" s="7"/>
      <c r="L36" s="7"/>
    </row>
    <row r="37" spans="1:12">
      <c r="A37" s="7"/>
      <c r="B37" s="7"/>
      <c r="C37" s="7"/>
      <c r="D37" s="7"/>
      <c r="E37" s="7"/>
      <c r="F37" s="7"/>
      <c r="G37" s="7"/>
      <c r="H37" s="7"/>
      <c r="I37" s="7"/>
      <c r="J37" s="7"/>
      <c r="K37" s="7"/>
      <c r="L37" s="7"/>
    </row>
    <row r="38" spans="1:12">
      <c r="A38" s="7"/>
      <c r="B38" s="7"/>
      <c r="C38" s="7"/>
      <c r="D38" s="7"/>
      <c r="E38" s="7"/>
      <c r="F38" s="7"/>
      <c r="G38" s="7"/>
      <c r="H38" s="7"/>
      <c r="I38" s="7"/>
      <c r="J38" s="7"/>
      <c r="K38" s="7"/>
      <c r="L38" s="7"/>
    </row>
    <row r="39" spans="1:12">
      <c r="A39" s="7"/>
      <c r="B39" s="7"/>
      <c r="C39" s="7"/>
      <c r="D39" s="7"/>
      <c r="E39" s="7"/>
      <c r="F39" s="7"/>
      <c r="G39" s="7"/>
      <c r="H39" s="7"/>
      <c r="I39" s="7"/>
      <c r="J39" s="7"/>
      <c r="K39" s="7"/>
      <c r="L39" s="7"/>
    </row>
    <row r="40" spans="1:12">
      <c r="A40" s="7"/>
      <c r="B40" s="7"/>
      <c r="C40" s="7"/>
      <c r="D40" s="7"/>
      <c r="E40" s="7"/>
      <c r="F40" s="7"/>
      <c r="G40" s="7"/>
      <c r="H40" s="7"/>
      <c r="I40" s="7"/>
      <c r="J40" s="7"/>
      <c r="K40" s="7"/>
      <c r="L40" s="7"/>
    </row>
    <row r="41" spans="1:12">
      <c r="A41" s="7"/>
      <c r="B41" s="7"/>
      <c r="C41" s="7"/>
      <c r="D41" s="7"/>
      <c r="E41" s="7"/>
      <c r="F41" s="7"/>
      <c r="G41" s="7"/>
      <c r="H41" s="7"/>
      <c r="I41" s="7"/>
      <c r="J41" s="7"/>
      <c r="K41" s="7"/>
      <c r="L41" s="7"/>
    </row>
    <row r="42" spans="1:12">
      <c r="A42" s="7"/>
      <c r="B42" s="7"/>
      <c r="C42" s="7"/>
      <c r="D42" s="7"/>
      <c r="E42" s="7"/>
      <c r="F42" s="7"/>
      <c r="G42" s="7"/>
      <c r="H42" s="7"/>
      <c r="I42" s="7"/>
      <c r="J42" s="7"/>
      <c r="K42" s="7"/>
      <c r="L42" s="7"/>
    </row>
    <row r="43" spans="1:12">
      <c r="A43" s="7"/>
      <c r="B43" s="7"/>
      <c r="C43" s="7"/>
      <c r="D43" s="7"/>
      <c r="E43" s="7"/>
      <c r="F43" s="7"/>
      <c r="G43" s="7"/>
      <c r="H43" s="7"/>
      <c r="I43" s="7"/>
      <c r="J43" s="7"/>
      <c r="K43" s="7"/>
      <c r="L43" s="7"/>
    </row>
    <row r="44" spans="1:12">
      <c r="A44" s="7"/>
      <c r="B44" s="7"/>
      <c r="C44" s="7"/>
      <c r="D44" s="7"/>
      <c r="E44" s="7"/>
      <c r="F44" s="7"/>
      <c r="G44" s="7"/>
      <c r="H44" s="7"/>
      <c r="I44" s="7"/>
      <c r="J44" s="7"/>
      <c r="K44" s="7"/>
      <c r="L44" s="7"/>
    </row>
    <row r="45" spans="1:12">
      <c r="A45" s="7"/>
      <c r="B45" s="7"/>
      <c r="C45" s="7"/>
      <c r="D45" s="7"/>
      <c r="E45" s="7"/>
      <c r="F45" s="7"/>
      <c r="G45" s="7"/>
      <c r="H45" s="7"/>
      <c r="I45" s="7"/>
      <c r="J45" s="7"/>
      <c r="K45" s="7"/>
      <c r="L45" s="7"/>
    </row>
    <row r="46" spans="1:12">
      <c r="A46" s="7"/>
      <c r="B46" s="7"/>
      <c r="C46" s="7"/>
      <c r="D46" s="7"/>
      <c r="E46" s="7"/>
      <c r="F46" s="7"/>
      <c r="G46" s="7"/>
      <c r="H46" s="7"/>
      <c r="I46" s="7"/>
      <c r="J46" s="7"/>
      <c r="K46" s="7"/>
      <c r="L46" s="7"/>
    </row>
    <row r="47" spans="1:12">
      <c r="A47" s="7"/>
      <c r="B47" s="7"/>
      <c r="C47" s="7"/>
      <c r="D47" s="7"/>
      <c r="E47" s="7"/>
      <c r="F47" s="7"/>
      <c r="G47" s="7"/>
      <c r="H47" s="7"/>
      <c r="I47" s="7"/>
      <c r="J47" s="7"/>
      <c r="K47" s="7"/>
      <c r="L47" s="7"/>
    </row>
    <row r="48" spans="1:12">
      <c r="A48" s="7"/>
      <c r="B48" s="7"/>
      <c r="C48" s="7"/>
      <c r="D48" s="7"/>
      <c r="E48" s="7"/>
      <c r="F48" s="7"/>
      <c r="G48" s="7"/>
      <c r="H48" s="7"/>
      <c r="I48" s="7"/>
      <c r="J48" s="7"/>
      <c r="K48" s="7"/>
      <c r="L48" s="7"/>
    </row>
    <row r="49" spans="1:12">
      <c r="A49" s="7"/>
      <c r="B49" s="7"/>
      <c r="C49" s="7"/>
      <c r="D49" s="7"/>
      <c r="E49" s="7"/>
      <c r="F49" s="7"/>
      <c r="G49" s="7"/>
      <c r="H49" s="7"/>
      <c r="I49" s="7"/>
      <c r="J49" s="7"/>
      <c r="K49" s="7"/>
      <c r="L49" s="7"/>
    </row>
    <row r="50" spans="1:12">
      <c r="A50" s="7"/>
      <c r="B50" s="7"/>
      <c r="C50" s="7"/>
      <c r="D50" s="7"/>
      <c r="E50" s="7"/>
      <c r="F50" s="7"/>
      <c r="G50" s="7"/>
      <c r="H50" s="7"/>
      <c r="I50" s="7"/>
      <c r="J50" s="7"/>
      <c r="K50" s="7"/>
      <c r="L50" s="7"/>
    </row>
    <row r="51" spans="1:12">
      <c r="A51" s="7"/>
      <c r="B51" s="7"/>
      <c r="C51" s="7"/>
      <c r="D51" s="7"/>
      <c r="E51" s="7"/>
      <c r="F51" s="7"/>
      <c r="G51" s="7"/>
      <c r="H51" s="7"/>
      <c r="I51" s="7"/>
      <c r="J51" s="7"/>
      <c r="K51" s="7"/>
      <c r="L51" s="7"/>
    </row>
    <row r="52" spans="1:12">
      <c r="A52" s="7"/>
      <c r="B52" s="7"/>
      <c r="C52" s="7"/>
      <c r="D52" s="7"/>
      <c r="E52" s="7"/>
      <c r="F52" s="7"/>
      <c r="G52" s="7"/>
      <c r="H52" s="7"/>
      <c r="I52" s="7"/>
      <c r="J52" s="7"/>
      <c r="K52" s="7"/>
      <c r="L52" s="7"/>
    </row>
    <row r="53" spans="1:12">
      <c r="A53" s="7"/>
      <c r="B53" s="7"/>
      <c r="C53" s="7"/>
      <c r="D53" s="7"/>
      <c r="E53" s="7"/>
      <c r="F53" s="7"/>
      <c r="G53" s="7"/>
      <c r="H53" s="7"/>
      <c r="I53" s="7"/>
      <c r="J53" s="7"/>
      <c r="K53" s="7"/>
      <c r="L53" s="7"/>
    </row>
    <row r="54" spans="1:12">
      <c r="A54" s="7"/>
      <c r="B54" s="7"/>
      <c r="C54" s="7"/>
      <c r="D54" s="7"/>
      <c r="E54" s="7"/>
      <c r="F54" s="7"/>
      <c r="G54" s="7"/>
      <c r="H54" s="7"/>
      <c r="I54" s="7"/>
      <c r="J54" s="7"/>
      <c r="K54" s="7"/>
      <c r="L54" s="7"/>
    </row>
    <row r="55" spans="1:12">
      <c r="A55" s="7"/>
      <c r="B55" s="7"/>
      <c r="C55" s="7"/>
      <c r="D55" s="7"/>
      <c r="E55" s="7"/>
      <c r="F55" s="7"/>
      <c r="G55" s="7"/>
      <c r="H55" s="7"/>
      <c r="I55" s="7"/>
      <c r="J55" s="7"/>
      <c r="K55" s="7"/>
      <c r="L55" s="7"/>
    </row>
    <row r="56" spans="1:12">
      <c r="A56" s="7"/>
      <c r="B56" s="7"/>
      <c r="C56" s="7"/>
      <c r="D56" s="7"/>
      <c r="E56" s="7"/>
      <c r="F56" s="7"/>
      <c r="G56" s="7"/>
      <c r="H56" s="7"/>
      <c r="I56" s="7"/>
      <c r="J56" s="7"/>
      <c r="K56" s="7"/>
      <c r="L56" s="7"/>
    </row>
    <row r="57" spans="1:12">
      <c r="A57" s="7"/>
      <c r="B57" s="7"/>
      <c r="C57" s="7"/>
      <c r="D57" s="7"/>
      <c r="E57" s="7"/>
      <c r="F57" s="7"/>
      <c r="G57" s="7"/>
      <c r="H57" s="7"/>
      <c r="I57" s="7"/>
      <c r="J57" s="7"/>
      <c r="K57" s="7"/>
      <c r="L57" s="7"/>
    </row>
    <row r="58" spans="1:12">
      <c r="A58" s="7"/>
      <c r="B58" s="7"/>
      <c r="C58" s="7"/>
      <c r="D58" s="7"/>
      <c r="E58" s="7"/>
      <c r="F58" s="7"/>
      <c r="G58" s="7"/>
      <c r="H58" s="7"/>
      <c r="I58" s="7"/>
      <c r="J58" s="7"/>
      <c r="K58" s="7"/>
      <c r="L58" s="7"/>
    </row>
    <row r="59" spans="1:12">
      <c r="A59" s="7"/>
      <c r="B59" s="7"/>
      <c r="C59" s="7"/>
      <c r="D59" s="7"/>
      <c r="E59" s="7"/>
      <c r="F59" s="7"/>
      <c r="G59" s="7"/>
      <c r="H59" s="7"/>
      <c r="I59" s="7"/>
      <c r="J59" s="7"/>
      <c r="K59" s="7"/>
      <c r="L59" s="7"/>
    </row>
    <row r="60" spans="1:12">
      <c r="A60" s="7"/>
      <c r="B60" s="7"/>
      <c r="C60" s="7"/>
      <c r="D60" s="7"/>
      <c r="E60" s="7"/>
      <c r="F60" s="7"/>
      <c r="G60" s="7"/>
      <c r="H60" s="7"/>
      <c r="I60" s="7"/>
      <c r="J60" s="7"/>
      <c r="K60" s="7"/>
      <c r="L60" s="7"/>
    </row>
    <row r="61" spans="1:12">
      <c r="A61" s="7"/>
      <c r="B61" s="7"/>
      <c r="C61" s="7"/>
      <c r="D61" s="7"/>
      <c r="E61" s="7"/>
      <c r="F61" s="7"/>
      <c r="G61" s="7"/>
      <c r="H61" s="7"/>
      <c r="I61" s="7"/>
      <c r="J61" s="7"/>
      <c r="K61" s="7"/>
      <c r="L61" s="7"/>
    </row>
    <row r="62" spans="1:12">
      <c r="A62" s="7"/>
      <c r="B62" s="7"/>
      <c r="C62" s="7"/>
      <c r="D62" s="7"/>
      <c r="E62" s="7"/>
      <c r="F62" s="7"/>
      <c r="G62" s="7"/>
      <c r="H62" s="7"/>
      <c r="I62" s="7"/>
      <c r="J62" s="7"/>
      <c r="K62" s="7"/>
      <c r="L62" s="7"/>
    </row>
    <row r="63" spans="1:12">
      <c r="A63" s="7"/>
      <c r="B63" s="7"/>
      <c r="C63" s="7"/>
      <c r="D63" s="7"/>
      <c r="E63" s="7"/>
      <c r="F63" s="7"/>
      <c r="G63" s="7"/>
      <c r="H63" s="7"/>
      <c r="I63" s="7"/>
      <c r="J63" s="7"/>
      <c r="K63" s="7"/>
      <c r="L63" s="7"/>
    </row>
    <row r="64" spans="1:12">
      <c r="A64" s="7"/>
      <c r="B64" s="7"/>
      <c r="C64" s="7"/>
      <c r="D64" s="7"/>
      <c r="E64" s="7"/>
      <c r="F64" s="7"/>
      <c r="G64" s="7"/>
      <c r="H64" s="7"/>
      <c r="I64" s="7"/>
      <c r="J64" s="7"/>
      <c r="K64" s="7"/>
      <c r="L64" s="7"/>
    </row>
    <row r="65" spans="1:12">
      <c r="A65" s="7"/>
      <c r="B65" s="7"/>
      <c r="C65" s="7"/>
      <c r="D65" s="7"/>
      <c r="E65" s="7"/>
      <c r="F65" s="7"/>
      <c r="G65" s="7"/>
      <c r="H65" s="7"/>
      <c r="I65" s="7"/>
      <c r="J65" s="7"/>
      <c r="K65" s="7"/>
      <c r="L65" s="7"/>
    </row>
    <row r="66" spans="1:12">
      <c r="A66" s="7"/>
      <c r="B66" s="7"/>
      <c r="C66" s="7"/>
      <c r="D66" s="7"/>
      <c r="E66" s="7"/>
      <c r="F66" s="7"/>
      <c r="G66" s="7"/>
      <c r="H66" s="7"/>
      <c r="I66" s="7"/>
      <c r="J66" s="7"/>
      <c r="K66" s="7"/>
      <c r="L66" s="7"/>
    </row>
    <row r="67" spans="1:12">
      <c r="A67" s="7"/>
      <c r="B67" s="7"/>
      <c r="C67" s="7"/>
      <c r="D67" s="7"/>
      <c r="E67" s="7"/>
      <c r="F67" s="7"/>
      <c r="G67" s="7"/>
      <c r="H67" s="7"/>
      <c r="I67" s="7"/>
      <c r="J67" s="7"/>
      <c r="K67" s="7"/>
      <c r="L67" s="7"/>
    </row>
    <row r="68" spans="1:12">
      <c r="A68" s="7"/>
      <c r="B68" s="7"/>
      <c r="C68" s="7"/>
      <c r="D68" s="7"/>
      <c r="E68" s="7"/>
      <c r="F68" s="7"/>
      <c r="G68" s="7"/>
      <c r="H68" s="7"/>
      <c r="I68" s="7"/>
      <c r="J68" s="7"/>
      <c r="K68" s="7"/>
      <c r="L68" s="7"/>
    </row>
    <row r="69" spans="1:12">
      <c r="A69" s="7"/>
      <c r="B69" s="7"/>
      <c r="C69" s="7"/>
      <c r="D69" s="7"/>
      <c r="E69" s="7"/>
      <c r="F69" s="7"/>
      <c r="G69" s="7"/>
      <c r="H69" s="7"/>
      <c r="I69" s="7"/>
      <c r="J69" s="7"/>
      <c r="K69" s="7"/>
      <c r="L69" s="7"/>
    </row>
    <row r="70" spans="1:12">
      <c r="A70" s="7"/>
      <c r="B70" s="7"/>
      <c r="C70" s="7"/>
      <c r="D70" s="7"/>
      <c r="E70" s="7"/>
      <c r="F70" s="7"/>
      <c r="G70" s="7"/>
      <c r="H70" s="7"/>
      <c r="I70" s="7"/>
      <c r="J70" s="7"/>
      <c r="K70" s="7"/>
      <c r="L70" s="7"/>
    </row>
    <row r="71" spans="1:12">
      <c r="A71" s="7"/>
      <c r="B71" s="7"/>
      <c r="C71" s="7"/>
      <c r="D71" s="7"/>
      <c r="E71" s="7"/>
      <c r="F71" s="7"/>
      <c r="G71" s="7"/>
      <c r="H71" s="7"/>
      <c r="I71" s="7"/>
      <c r="J71" s="7"/>
      <c r="K71" s="7"/>
      <c r="L71" s="7"/>
    </row>
    <row r="72" spans="1:12">
      <c r="A72" s="7"/>
      <c r="B72" s="7"/>
      <c r="C72" s="7"/>
      <c r="D72" s="7"/>
      <c r="E72" s="7"/>
      <c r="F72" s="7"/>
      <c r="G72" s="7"/>
      <c r="H72" s="7"/>
      <c r="I72" s="7"/>
      <c r="J72" s="7"/>
      <c r="K72" s="7"/>
      <c r="L72" s="7"/>
    </row>
    <row r="73" spans="1:12">
      <c r="A73" s="7"/>
      <c r="B73" s="7"/>
      <c r="C73" s="7"/>
      <c r="D73" s="7"/>
      <c r="E73" s="7"/>
      <c r="F73" s="7"/>
      <c r="G73" s="7"/>
      <c r="H73" s="7"/>
      <c r="I73" s="7"/>
      <c r="J73" s="7"/>
      <c r="K73" s="7"/>
      <c r="L73" s="7"/>
    </row>
    <row r="74" spans="1:12">
      <c r="A74" s="7"/>
      <c r="B74" s="7"/>
      <c r="C74" s="7"/>
      <c r="D74" s="7"/>
      <c r="E74" s="7"/>
      <c r="F74" s="7"/>
      <c r="G74" s="7"/>
      <c r="H74" s="7"/>
      <c r="I74" s="7"/>
      <c r="J74" s="7"/>
      <c r="K74" s="7"/>
      <c r="L74" s="7"/>
    </row>
    <row r="75" spans="1:12">
      <c r="A75" s="7"/>
      <c r="B75" s="7"/>
      <c r="C75" s="7"/>
      <c r="D75" s="7"/>
      <c r="E75" s="7"/>
      <c r="F75" s="7"/>
      <c r="G75" s="7"/>
      <c r="H75" s="7"/>
      <c r="I75" s="7"/>
      <c r="J75" s="7"/>
      <c r="K75" s="7"/>
      <c r="L75" s="7"/>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C160"/>
  <sheetViews>
    <sheetView topLeftCell="D1" workbookViewId="0">
      <selection activeCell="R18" sqref="R18"/>
    </sheetView>
  </sheetViews>
  <sheetFormatPr baseColWidth="10" defaultColWidth="11" defaultRowHeight="15" x14ac:dyDescent="0"/>
  <cols>
    <col min="1" max="1" width="25" customWidth="1"/>
    <col min="2" max="2" width="14.6640625" customWidth="1"/>
    <col min="3" max="4" width="15" customWidth="1"/>
    <col min="8" max="8" width="13" customWidth="1"/>
    <col min="9" max="9" width="14.5" customWidth="1"/>
    <col min="10" max="10" width="12.1640625" customWidth="1"/>
    <col min="11" max="11" width="13.1640625" customWidth="1"/>
    <col min="12" max="12" width="14.5" customWidth="1"/>
  </cols>
  <sheetData>
    <row r="1" spans="1:19">
      <c r="A1" t="s">
        <v>15</v>
      </c>
      <c r="C1" s="81"/>
      <c r="D1" t="s">
        <v>181</v>
      </c>
    </row>
    <row r="2" spans="1:19">
      <c r="C2" s="79"/>
      <c r="D2" t="s">
        <v>182</v>
      </c>
    </row>
    <row r="3" spans="1:19">
      <c r="C3" s="16"/>
    </row>
    <row r="4" spans="1:19">
      <c r="A4" t="s">
        <v>198</v>
      </c>
      <c r="C4" s="16"/>
    </row>
    <row r="5" spans="1:19">
      <c r="C5" s="16"/>
    </row>
    <row r="6" spans="1:19">
      <c r="A6" t="s">
        <v>16</v>
      </c>
    </row>
    <row r="8" spans="1:19">
      <c r="A8" t="s">
        <v>187</v>
      </c>
    </row>
    <row r="9" spans="1:19">
      <c r="A9" t="s">
        <v>188</v>
      </c>
    </row>
    <row r="10" spans="1:19">
      <c r="A10" t="s">
        <v>114</v>
      </c>
      <c r="B10">
        <v>250</v>
      </c>
    </row>
    <row r="11" spans="1:19">
      <c r="A11" t="s">
        <v>25</v>
      </c>
      <c r="B11">
        <v>100</v>
      </c>
    </row>
    <row r="12" spans="1:19">
      <c r="A12" t="s">
        <v>26</v>
      </c>
      <c r="B12">
        <v>0</v>
      </c>
    </row>
    <row r="14" spans="1:19">
      <c r="A14" s="5" t="s">
        <v>17</v>
      </c>
      <c r="B14" s="16"/>
      <c r="C14" s="16"/>
      <c r="D14" s="16"/>
      <c r="E14" s="16"/>
      <c r="F14" s="16"/>
      <c r="G14" s="16"/>
      <c r="H14" s="16"/>
      <c r="I14" s="16"/>
      <c r="J14" s="16"/>
      <c r="K14" s="16"/>
      <c r="L14" s="16"/>
    </row>
    <row r="15" spans="1:19" ht="31" customHeight="1" thickBot="1">
      <c r="A15" s="49" t="s">
        <v>18</v>
      </c>
      <c r="B15" s="49"/>
      <c r="C15" s="49" t="s">
        <v>19</v>
      </c>
      <c r="D15" s="49"/>
      <c r="E15" s="49" t="s">
        <v>20</v>
      </c>
      <c r="F15" s="49"/>
      <c r="G15" s="49" t="s">
        <v>6</v>
      </c>
      <c r="H15" s="49" t="s">
        <v>21</v>
      </c>
      <c r="I15" s="49" t="s">
        <v>22</v>
      </c>
      <c r="J15" s="49" t="s">
        <v>8</v>
      </c>
      <c r="K15" s="50" t="s">
        <v>23</v>
      </c>
      <c r="L15" s="50" t="s">
        <v>24</v>
      </c>
      <c r="M15" s="50" t="s">
        <v>107</v>
      </c>
      <c r="O15" s="53" t="s">
        <v>82</v>
      </c>
      <c r="P15" s="54" t="s">
        <v>4</v>
      </c>
      <c r="Q15" s="53" t="s">
        <v>83</v>
      </c>
      <c r="R15" s="53" t="s">
        <v>25</v>
      </c>
      <c r="S15" s="53" t="s">
        <v>26</v>
      </c>
    </row>
    <row r="16" spans="1:19">
      <c r="A16" s="81" t="str">
        <f>A38</f>
        <v>Tethya-RR-cho-C-02</v>
      </c>
      <c r="B16" s="86" t="s">
        <v>138</v>
      </c>
      <c r="C16" s="86">
        <f>C52</f>
        <v>304.43400000000003</v>
      </c>
      <c r="D16" s="86">
        <f t="shared" ref="D16:L16" si="0">D52</f>
        <v>304.43400000000003</v>
      </c>
      <c r="E16" s="86">
        <f t="shared" si="0"/>
        <v>152.21700000000001</v>
      </c>
      <c r="F16" s="86">
        <f t="shared" si="0"/>
        <v>152.21700000000001</v>
      </c>
      <c r="G16" s="86">
        <f t="shared" si="0"/>
        <v>72790.749187167065</v>
      </c>
      <c r="H16" s="86">
        <f t="shared" si="0"/>
        <v>1</v>
      </c>
      <c r="I16" s="86">
        <f t="shared" si="0"/>
        <v>72790.749187167065</v>
      </c>
      <c r="J16" s="86">
        <f t="shared" si="0"/>
        <v>405142.99300000002</v>
      </c>
      <c r="K16" s="86">
        <f t="shared" si="0"/>
        <v>0.17966681010121052</v>
      </c>
      <c r="L16" s="86">
        <f t="shared" si="0"/>
        <v>17.966681010121054</v>
      </c>
      <c r="M16" s="86">
        <f>K16*100</f>
        <v>17.966681010121054</v>
      </c>
      <c r="O16" s="53"/>
      <c r="P16" s="53" t="str">
        <f>A58</f>
        <v>Tethya-cho-RR-09</v>
      </c>
      <c r="Q16" s="99"/>
      <c r="R16" s="99"/>
      <c r="S16">
        <v>68.858999999999995</v>
      </c>
    </row>
    <row r="17" spans="1:19">
      <c r="A17" s="86"/>
      <c r="B17" s="86" t="s">
        <v>137</v>
      </c>
      <c r="C17" s="86">
        <f t="shared" ref="C17:L18" si="1">C53</f>
        <v>168.01125000000002</v>
      </c>
      <c r="D17" s="86">
        <f t="shared" si="1"/>
        <v>168.01125000000002</v>
      </c>
      <c r="E17" s="86">
        <f t="shared" si="1"/>
        <v>84.005625000000009</v>
      </c>
      <c r="F17" s="86">
        <f t="shared" si="1"/>
        <v>84.005625000000009</v>
      </c>
      <c r="G17" s="86">
        <f t="shared" si="1"/>
        <v>22939.361134769966</v>
      </c>
      <c r="H17" s="86">
        <f t="shared" si="1"/>
        <v>4</v>
      </c>
      <c r="I17" s="86">
        <f t="shared" si="1"/>
        <v>91757.444539079865</v>
      </c>
      <c r="J17" s="86">
        <f t="shared" si="1"/>
        <v>405142.99300000002</v>
      </c>
      <c r="K17" s="86">
        <f t="shared" si="1"/>
        <v>0.22648162778192207</v>
      </c>
      <c r="L17" s="86">
        <f t="shared" si="1"/>
        <v>22.648162778192209</v>
      </c>
      <c r="M17" s="86">
        <f t="shared" ref="M17:M21" si="2">K17*100</f>
        <v>22.648162778192209</v>
      </c>
      <c r="O17" s="53"/>
      <c r="P17" s="53" t="str">
        <f>A74</f>
        <v>Tethya-ost-RR-04</v>
      </c>
      <c r="Q17">
        <v>1118.278</v>
      </c>
      <c r="R17" s="99">
        <f>Q17</f>
        <v>1118.278</v>
      </c>
      <c r="S17" s="99"/>
    </row>
    <row r="18" spans="1:19">
      <c r="A18" s="86"/>
      <c r="B18" s="86" t="s">
        <v>136</v>
      </c>
      <c r="C18" s="86">
        <f t="shared" si="1"/>
        <v>53.335999999999999</v>
      </c>
      <c r="D18" s="86">
        <f t="shared" si="1"/>
        <v>53.335999999999999</v>
      </c>
      <c r="E18" s="86">
        <f t="shared" si="1"/>
        <v>26.667999999999999</v>
      </c>
      <c r="F18" s="86">
        <f t="shared" si="1"/>
        <v>26.667999999999999</v>
      </c>
      <c r="G18" s="86">
        <f t="shared" si="1"/>
        <v>2631.5554457954995</v>
      </c>
      <c r="H18" s="86">
        <f t="shared" si="1"/>
        <v>8</v>
      </c>
      <c r="I18" s="86">
        <f t="shared" si="1"/>
        <v>21052.443566363996</v>
      </c>
      <c r="J18" s="86">
        <f t="shared" si="1"/>
        <v>405142.99300000002</v>
      </c>
      <c r="K18" s="86">
        <f t="shared" si="1"/>
        <v>5.1962995609216904E-2</v>
      </c>
      <c r="L18" s="86">
        <f t="shared" si="1"/>
        <v>5.1962995609216902</v>
      </c>
      <c r="M18" s="86">
        <f t="shared" si="2"/>
        <v>5.1962995609216902</v>
      </c>
      <c r="O18" s="53"/>
      <c r="P18" s="53"/>
      <c r="Q18" s="99"/>
      <c r="R18" s="99"/>
      <c r="S18" s="99"/>
    </row>
    <row r="19" spans="1:19">
      <c r="A19" s="86" t="str">
        <f>A58</f>
        <v>Tethya-cho-RR-09</v>
      </c>
      <c r="B19" s="86" t="s">
        <v>137</v>
      </c>
      <c r="C19" s="86">
        <f>C69</f>
        <v>171.15</v>
      </c>
      <c r="D19" s="86">
        <f t="shared" ref="D19:L19" si="3">D69</f>
        <v>171.15</v>
      </c>
      <c r="E19" s="86">
        <f t="shared" si="3"/>
        <v>85.575000000000003</v>
      </c>
      <c r="F19" s="86">
        <f t="shared" si="3"/>
        <v>85.575000000000003</v>
      </c>
      <c r="G19" s="86">
        <f t="shared" si="3"/>
        <v>23006.136293145752</v>
      </c>
      <c r="H19" s="86">
        <f t="shared" si="3"/>
        <v>1</v>
      </c>
      <c r="I19" s="86">
        <f t="shared" si="3"/>
        <v>23006.136293145752</v>
      </c>
      <c r="J19" s="86">
        <f t="shared" si="3"/>
        <v>85274.237999999998</v>
      </c>
      <c r="K19" s="86">
        <f t="shared" si="3"/>
        <v>0.26978999558044425</v>
      </c>
      <c r="L19" s="86">
        <f t="shared" si="3"/>
        <v>26.978999558044425</v>
      </c>
      <c r="M19" s="86">
        <f t="shared" si="2"/>
        <v>26.978999558044425</v>
      </c>
      <c r="O19" s="53"/>
      <c r="P19" s="53"/>
      <c r="Q19" s="99"/>
      <c r="R19" s="99"/>
      <c r="S19" s="99"/>
    </row>
    <row r="20" spans="1:19">
      <c r="A20" s="86"/>
      <c r="B20" s="86" t="s">
        <v>136</v>
      </c>
      <c r="C20" s="86">
        <f>C70</f>
        <v>16.092999999999996</v>
      </c>
      <c r="D20" s="86">
        <f t="shared" ref="D20:L20" si="4">D70</f>
        <v>16.092999999999996</v>
      </c>
      <c r="E20" s="86">
        <f t="shared" si="4"/>
        <v>8.0464999999999982</v>
      </c>
      <c r="F20" s="86">
        <f t="shared" si="4"/>
        <v>8.0464999999999982</v>
      </c>
      <c r="G20" s="86">
        <f t="shared" si="4"/>
        <v>226.91847731614124</v>
      </c>
      <c r="H20" s="86">
        <f t="shared" si="4"/>
        <v>8</v>
      </c>
      <c r="I20" s="86">
        <f t="shared" si="4"/>
        <v>1815.3478185291299</v>
      </c>
      <c r="J20" s="86">
        <f t="shared" si="4"/>
        <v>85274.237999999998</v>
      </c>
      <c r="K20" s="86">
        <f t="shared" si="4"/>
        <v>2.1288349929660232E-2</v>
      </c>
      <c r="L20" s="86">
        <f t="shared" si="4"/>
        <v>2.1288349929660231</v>
      </c>
      <c r="M20" s="86">
        <f t="shared" si="2"/>
        <v>2.1288349929660231</v>
      </c>
      <c r="O20" s="53"/>
      <c r="P20" s="53"/>
      <c r="Q20" s="99"/>
      <c r="R20" s="99"/>
      <c r="S20" s="99"/>
    </row>
    <row r="21" spans="1:19">
      <c r="A21" s="86" t="str">
        <f>A74</f>
        <v>Tethya-ost-RR-04</v>
      </c>
      <c r="B21" s="86" t="s">
        <v>138</v>
      </c>
      <c r="C21" s="86">
        <f>C75</f>
        <v>1052.222</v>
      </c>
      <c r="D21" s="86">
        <f t="shared" ref="D21:L21" si="5">D75</f>
        <v>1052.222</v>
      </c>
      <c r="E21" s="86">
        <f t="shared" si="5"/>
        <v>526.11099999999999</v>
      </c>
      <c r="F21" s="86">
        <f t="shared" si="5"/>
        <v>526.11099999999999</v>
      </c>
      <c r="G21" s="86">
        <f t="shared" si="5"/>
        <v>869570.17778951756</v>
      </c>
      <c r="H21" s="86">
        <f t="shared" si="5"/>
        <v>1</v>
      </c>
      <c r="I21" s="86">
        <f t="shared" si="5"/>
        <v>869570.17778951756</v>
      </c>
      <c r="J21" s="86">
        <f t="shared" si="5"/>
        <v>3418287.1970000002</v>
      </c>
      <c r="K21" s="86">
        <f t="shared" si="5"/>
        <v>0.25438768824125735</v>
      </c>
      <c r="L21" s="86">
        <f t="shared" si="5"/>
        <v>25.438768824125734</v>
      </c>
      <c r="M21" s="86">
        <f t="shared" si="2"/>
        <v>25.438768824125734</v>
      </c>
      <c r="O21" s="53"/>
      <c r="P21" s="53"/>
      <c r="Q21" s="99"/>
      <c r="R21" s="99"/>
      <c r="S21" s="99"/>
    </row>
    <row r="22" spans="1:19">
      <c r="A22" s="86"/>
      <c r="B22" s="86"/>
      <c r="C22" s="86"/>
      <c r="D22" s="86"/>
      <c r="E22" s="86"/>
      <c r="F22" s="86"/>
      <c r="G22" s="86"/>
      <c r="H22" s="86"/>
      <c r="I22" s="86"/>
      <c r="J22" s="86"/>
      <c r="K22" s="86"/>
      <c r="L22" s="86"/>
      <c r="M22" s="86"/>
      <c r="O22" s="53"/>
      <c r="P22" s="53"/>
      <c r="Q22" s="99"/>
      <c r="R22" s="99"/>
      <c r="S22" s="99"/>
    </row>
    <row r="23" spans="1:19">
      <c r="A23" s="86"/>
      <c r="B23" s="86"/>
      <c r="C23" s="86"/>
      <c r="D23" s="86"/>
      <c r="E23" s="86"/>
      <c r="F23" s="86"/>
      <c r="G23" s="86"/>
      <c r="H23" s="86"/>
      <c r="I23" s="86"/>
      <c r="J23" s="86"/>
      <c r="K23" s="86"/>
      <c r="L23" s="86"/>
      <c r="M23" s="86"/>
      <c r="O23" s="53"/>
      <c r="P23" s="53"/>
      <c r="Q23" s="99"/>
      <c r="R23" s="99"/>
      <c r="S23" s="99"/>
    </row>
    <row r="24" spans="1:19">
      <c r="A24" s="86"/>
      <c r="B24" s="86"/>
      <c r="C24" s="86"/>
      <c r="D24" s="86"/>
      <c r="E24" s="86"/>
      <c r="F24" s="86"/>
      <c r="G24" s="86"/>
      <c r="H24" s="86"/>
      <c r="I24" s="86"/>
      <c r="J24" s="86"/>
      <c r="K24" s="86"/>
      <c r="L24" s="86"/>
      <c r="M24" s="86"/>
      <c r="P24" t="s">
        <v>106</v>
      </c>
      <c r="Q24" s="79">
        <f>AVERAGE(Q16:Q23)</f>
        <v>1118.278</v>
      </c>
      <c r="R24" s="79">
        <f t="shared" ref="R24:S24" si="6">AVERAGE(R16:R23)</f>
        <v>1118.278</v>
      </c>
      <c r="S24" s="79">
        <f t="shared" si="6"/>
        <v>68.858999999999995</v>
      </c>
    </row>
    <row r="25" spans="1:19">
      <c r="A25" s="86"/>
      <c r="B25" s="86"/>
      <c r="C25" s="86"/>
      <c r="D25" s="86"/>
      <c r="E25" s="86"/>
      <c r="F25" s="86"/>
      <c r="G25" s="86"/>
      <c r="H25" s="86"/>
      <c r="I25" s="86"/>
      <c r="J25" s="86"/>
      <c r="K25" s="86"/>
      <c r="L25" s="86"/>
      <c r="M25" s="86"/>
    </row>
    <row r="26" spans="1:19">
      <c r="A26" s="86"/>
      <c r="B26" s="86"/>
      <c r="C26" s="86"/>
      <c r="D26" s="86"/>
      <c r="E26" s="86"/>
      <c r="F26" s="86"/>
      <c r="G26" s="86"/>
      <c r="H26" s="86"/>
      <c r="I26" s="86"/>
      <c r="J26" s="86"/>
      <c r="K26" s="86"/>
      <c r="L26" s="86"/>
      <c r="M26" s="86"/>
    </row>
    <row r="27" spans="1:19">
      <c r="A27" s="86"/>
      <c r="B27" s="86"/>
      <c r="C27" s="86"/>
      <c r="D27" s="86"/>
      <c r="E27" s="86"/>
      <c r="F27" s="86"/>
      <c r="G27" s="86"/>
      <c r="H27" s="86"/>
      <c r="I27" s="86"/>
      <c r="J27" s="86"/>
      <c r="K27" s="86"/>
      <c r="L27" s="86"/>
      <c r="M27" s="86"/>
    </row>
    <row r="28" spans="1:19">
      <c r="A28" s="86"/>
      <c r="B28" s="86"/>
      <c r="C28" s="86"/>
      <c r="D28" s="86"/>
      <c r="E28" s="86"/>
      <c r="F28" s="86"/>
      <c r="G28" s="86"/>
      <c r="H28" s="86"/>
      <c r="I28" s="86"/>
      <c r="J28" s="86"/>
      <c r="K28" s="86"/>
      <c r="L28" s="86"/>
      <c r="M28" s="86"/>
    </row>
    <row r="29" spans="1:19">
      <c r="A29" s="89"/>
      <c r="B29" s="89"/>
      <c r="C29" s="89"/>
      <c r="D29" s="89"/>
      <c r="E29" s="89"/>
      <c r="F29" s="89"/>
      <c r="G29" s="89"/>
      <c r="H29" s="89"/>
      <c r="I29" s="89"/>
      <c r="J29" s="89"/>
      <c r="K29" s="89"/>
      <c r="L29" s="89"/>
      <c r="M29" s="89"/>
    </row>
    <row r="30" spans="1:19">
      <c r="A30" s="38" t="s">
        <v>106</v>
      </c>
      <c r="B30" s="38" t="s">
        <v>83</v>
      </c>
      <c r="C30" s="83">
        <f>AVERAGE(C16,C21)</f>
        <v>678.32799999999997</v>
      </c>
      <c r="D30" s="83">
        <f t="shared" ref="D30:M30" si="7">AVERAGE(D16,D21)</f>
        <v>678.32799999999997</v>
      </c>
      <c r="E30" s="83">
        <f t="shared" si="7"/>
        <v>339.16399999999999</v>
      </c>
      <c r="F30" s="83">
        <f t="shared" si="7"/>
        <v>339.16399999999999</v>
      </c>
      <c r="G30" s="83">
        <f t="shared" si="7"/>
        <v>471180.4634883423</v>
      </c>
      <c r="H30" s="83">
        <f t="shared" si="7"/>
        <v>1</v>
      </c>
      <c r="I30" s="83">
        <f t="shared" si="7"/>
        <v>471180.4634883423</v>
      </c>
      <c r="J30" s="83">
        <f t="shared" si="7"/>
        <v>1911715.0950000002</v>
      </c>
      <c r="K30" s="83">
        <f t="shared" si="7"/>
        <v>0.21702724917123395</v>
      </c>
      <c r="L30" s="83">
        <f t="shared" si="7"/>
        <v>21.702724917123394</v>
      </c>
      <c r="M30" s="83">
        <f t="shared" si="7"/>
        <v>21.702724917123394</v>
      </c>
    </row>
    <row r="31" spans="1:19">
      <c r="A31" s="38"/>
      <c r="B31" s="38" t="s">
        <v>25</v>
      </c>
      <c r="C31" s="83">
        <f>AVERAGE(C17,C19)</f>
        <v>169.580625</v>
      </c>
      <c r="D31" s="83">
        <f t="shared" ref="D31:M31" si="8">AVERAGE(D17,D19)</f>
        <v>169.580625</v>
      </c>
      <c r="E31" s="83">
        <f t="shared" si="8"/>
        <v>84.790312499999999</v>
      </c>
      <c r="F31" s="83">
        <f t="shared" si="8"/>
        <v>84.790312499999999</v>
      </c>
      <c r="G31" s="83">
        <f t="shared" si="8"/>
        <v>22972.748713957859</v>
      </c>
      <c r="H31" s="83">
        <f t="shared" si="8"/>
        <v>2.5</v>
      </c>
      <c r="I31" s="83">
        <f t="shared" si="8"/>
        <v>57381.79041611281</v>
      </c>
      <c r="J31" s="83">
        <f t="shared" si="8"/>
        <v>245208.61550000001</v>
      </c>
      <c r="K31" s="83">
        <f t="shared" si="8"/>
        <v>0.24813581168118315</v>
      </c>
      <c r="L31" s="83">
        <f t="shared" si="8"/>
        <v>24.813581168118318</v>
      </c>
      <c r="M31" s="83">
        <f t="shared" si="8"/>
        <v>24.813581168118318</v>
      </c>
    </row>
    <row r="32" spans="1:19" ht="16" thickBot="1">
      <c r="A32" s="39"/>
      <c r="B32" s="39" t="s">
        <v>26</v>
      </c>
      <c r="C32" s="94">
        <f>AVERAGE(C18,C20)</f>
        <v>34.714500000000001</v>
      </c>
      <c r="D32" s="94">
        <f t="shared" ref="D32:L32" si="9">AVERAGE(D18,D20)</f>
        <v>34.714500000000001</v>
      </c>
      <c r="E32" s="94">
        <f t="shared" si="9"/>
        <v>17.357250000000001</v>
      </c>
      <c r="F32" s="94">
        <f t="shared" si="9"/>
        <v>17.357250000000001</v>
      </c>
      <c r="G32" s="94">
        <f t="shared" si="9"/>
        <v>1429.2369615558205</v>
      </c>
      <c r="H32" s="94">
        <f t="shared" si="9"/>
        <v>8</v>
      </c>
      <c r="I32" s="94">
        <f t="shared" si="9"/>
        <v>11433.895692446564</v>
      </c>
      <c r="J32" s="94">
        <f t="shared" si="9"/>
        <v>245208.61550000001</v>
      </c>
      <c r="K32" s="94">
        <f t="shared" si="9"/>
        <v>3.6625672769438566E-2</v>
      </c>
      <c r="L32" s="94">
        <f t="shared" si="9"/>
        <v>3.6625672769438564</v>
      </c>
      <c r="M32" s="94">
        <f>AVERAGE(M18,M20)</f>
        <v>3.6625672769438564</v>
      </c>
    </row>
    <row r="33" spans="1:13">
      <c r="A33" s="7"/>
      <c r="B33" s="10"/>
      <c r="C33" s="32"/>
      <c r="D33" s="32"/>
      <c r="E33" s="32"/>
      <c r="F33" s="32"/>
      <c r="G33" s="32"/>
      <c r="H33" s="32"/>
      <c r="I33" s="32"/>
      <c r="J33" s="32"/>
      <c r="K33" s="32"/>
      <c r="L33" s="32"/>
    </row>
    <row r="35" spans="1:13">
      <c r="A35" s="10"/>
      <c r="B35" s="10"/>
      <c r="C35" s="10"/>
      <c r="D35" s="10"/>
      <c r="E35" s="10"/>
      <c r="F35" s="10"/>
      <c r="G35" s="10"/>
      <c r="H35" s="10"/>
      <c r="I35" s="10"/>
      <c r="J35" s="10"/>
      <c r="K35" s="10"/>
      <c r="L35" s="10"/>
    </row>
    <row r="36" spans="1:13">
      <c r="A36" s="10"/>
      <c r="B36" s="10"/>
      <c r="C36" s="10"/>
      <c r="D36" s="10"/>
      <c r="E36" s="10"/>
      <c r="F36" s="10"/>
      <c r="G36" s="10"/>
      <c r="H36" s="10"/>
      <c r="I36" s="10"/>
      <c r="J36" s="10"/>
      <c r="K36" s="10"/>
      <c r="L36" s="10"/>
      <c r="M36" s="3"/>
    </row>
    <row r="37" spans="1:13" ht="30">
      <c r="A37" s="2" t="s">
        <v>112</v>
      </c>
      <c r="B37" s="2" t="s">
        <v>113</v>
      </c>
      <c r="C37" s="2" t="s">
        <v>19</v>
      </c>
      <c r="D37" s="2" t="s">
        <v>84</v>
      </c>
      <c r="E37" s="2" t="s">
        <v>20</v>
      </c>
      <c r="F37" s="2" t="s">
        <v>85</v>
      </c>
      <c r="G37" s="2" t="s">
        <v>6</v>
      </c>
      <c r="H37" s="2" t="s">
        <v>21</v>
      </c>
      <c r="I37" s="2" t="s">
        <v>22</v>
      </c>
      <c r="J37" s="2" t="s">
        <v>8</v>
      </c>
      <c r="K37" s="2" t="s">
        <v>23</v>
      </c>
      <c r="L37" s="2" t="s">
        <v>24</v>
      </c>
    </row>
    <row r="38" spans="1:13">
      <c r="A38" t="s">
        <v>199</v>
      </c>
      <c r="B38" s="2"/>
      <c r="C38">
        <v>304.43400000000003</v>
      </c>
      <c r="D38">
        <v>304.43400000000003</v>
      </c>
      <c r="E38">
        <f>C38/2</f>
        <v>152.21700000000001</v>
      </c>
      <c r="F38">
        <f>D38/2</f>
        <v>152.21700000000001</v>
      </c>
      <c r="G38">
        <f>PI()*E38*F38</f>
        <v>72790.749187167065</v>
      </c>
      <c r="H38" s="2"/>
      <c r="I38" s="2"/>
      <c r="J38" s="2"/>
      <c r="K38" s="2"/>
      <c r="L38" s="2"/>
    </row>
    <row r="39" spans="1:13">
      <c r="C39">
        <v>159.001</v>
      </c>
      <c r="D39">
        <v>159.001</v>
      </c>
      <c r="E39">
        <f t="shared" ref="E39:E40" si="10">C39/2</f>
        <v>79.500500000000002</v>
      </c>
      <c r="F39">
        <f t="shared" ref="F39:F40" si="11">D39/2</f>
        <v>79.500500000000002</v>
      </c>
      <c r="G39">
        <f t="shared" ref="G39:G40" si="12">PI()*E39*F39</f>
        <v>19855.90072625225</v>
      </c>
    </row>
    <row r="40" spans="1:13">
      <c r="C40">
        <v>24.753</v>
      </c>
      <c r="D40">
        <v>24.753</v>
      </c>
      <c r="E40">
        <f t="shared" si="10"/>
        <v>12.3765</v>
      </c>
      <c r="F40">
        <f t="shared" si="11"/>
        <v>12.3765</v>
      </c>
      <c r="G40">
        <f t="shared" si="12"/>
        <v>481.22210116199739</v>
      </c>
    </row>
    <row r="41" spans="1:13">
      <c r="C41">
        <v>29.04</v>
      </c>
      <c r="D41">
        <v>29.04</v>
      </c>
      <c r="E41">
        <f t="shared" ref="E41:E50" si="13">C41/2</f>
        <v>14.52</v>
      </c>
      <c r="F41">
        <f t="shared" ref="F41:F50" si="14">D41/2</f>
        <v>14.52</v>
      </c>
      <c r="G41">
        <f t="shared" ref="G41:G50" si="15">PI()*E41*F41</f>
        <v>662.34323579339741</v>
      </c>
    </row>
    <row r="42" spans="1:13">
      <c r="C42" s="29">
        <v>53.606999999999999</v>
      </c>
      <c r="D42" s="29">
        <v>53.606999999999999</v>
      </c>
      <c r="E42">
        <f t="shared" si="13"/>
        <v>26.8035</v>
      </c>
      <c r="F42">
        <f t="shared" si="14"/>
        <v>26.8035</v>
      </c>
      <c r="G42">
        <f t="shared" si="15"/>
        <v>2257.0069087806564</v>
      </c>
    </row>
    <row r="43" spans="1:13">
      <c r="C43">
        <v>60.488999999999997</v>
      </c>
      <c r="D43">
        <v>60.488999999999997</v>
      </c>
      <c r="E43">
        <f t="shared" si="13"/>
        <v>30.244499999999999</v>
      </c>
      <c r="F43">
        <f t="shared" si="14"/>
        <v>30.244499999999999</v>
      </c>
      <c r="G43">
        <f t="shared" si="15"/>
        <v>2873.7083576532054</v>
      </c>
    </row>
    <row r="44" spans="1:13">
      <c r="C44">
        <v>82.418999999999997</v>
      </c>
      <c r="D44">
        <v>82.418999999999997</v>
      </c>
      <c r="E44">
        <f t="shared" si="13"/>
        <v>41.209499999999998</v>
      </c>
      <c r="F44">
        <f t="shared" si="14"/>
        <v>41.209499999999998</v>
      </c>
      <c r="G44">
        <f t="shared" si="15"/>
        <v>5335.124556167425</v>
      </c>
    </row>
    <row r="45" spans="1:13">
      <c r="C45">
        <v>135.05799999999999</v>
      </c>
      <c r="D45">
        <v>135.05799999999999</v>
      </c>
      <c r="E45">
        <f t="shared" si="13"/>
        <v>67.528999999999996</v>
      </c>
      <c r="F45">
        <f t="shared" si="14"/>
        <v>67.528999999999996</v>
      </c>
      <c r="G45">
        <f t="shared" si="15"/>
        <v>14326.183505236719</v>
      </c>
    </row>
    <row r="46" spans="1:13">
      <c r="C46">
        <v>90.22</v>
      </c>
      <c r="D46">
        <v>90.22</v>
      </c>
      <c r="E46">
        <f t="shared" si="13"/>
        <v>45.11</v>
      </c>
      <c r="F46">
        <f t="shared" si="14"/>
        <v>45.11</v>
      </c>
      <c r="G46">
        <f t="shared" si="15"/>
        <v>6392.8649040609789</v>
      </c>
    </row>
    <row r="47" spans="1:13">
      <c r="C47">
        <v>219.57499999999999</v>
      </c>
      <c r="D47">
        <v>219.57499999999999</v>
      </c>
      <c r="E47">
        <f t="shared" si="13"/>
        <v>109.78749999999999</v>
      </c>
      <c r="F47">
        <f t="shared" si="14"/>
        <v>109.78749999999999</v>
      </c>
      <c r="G47">
        <f t="shared" si="15"/>
        <v>37866.543514424433</v>
      </c>
    </row>
    <row r="48" spans="1:13">
      <c r="C48">
        <v>158.411</v>
      </c>
      <c r="D48">
        <v>158.411</v>
      </c>
      <c r="E48">
        <f t="shared" si="13"/>
        <v>79.205500000000001</v>
      </c>
      <c r="F48">
        <f t="shared" si="14"/>
        <v>79.205500000000001</v>
      </c>
      <c r="G48">
        <f t="shared" si="15"/>
        <v>19708.816793166465</v>
      </c>
    </row>
    <row r="49" spans="1:29">
      <c r="C49">
        <v>52.348999999999997</v>
      </c>
      <c r="D49">
        <v>52.348999999999997</v>
      </c>
      <c r="E49">
        <f t="shared" si="13"/>
        <v>26.174499999999998</v>
      </c>
      <c r="F49">
        <f t="shared" si="14"/>
        <v>26.174499999999998</v>
      </c>
      <c r="G49">
        <f t="shared" si="15"/>
        <v>2152.3191078470736</v>
      </c>
    </row>
    <row r="50" spans="1:29">
      <c r="C50">
        <v>33.811</v>
      </c>
      <c r="D50">
        <v>33.811</v>
      </c>
      <c r="E50">
        <f t="shared" si="13"/>
        <v>16.9055</v>
      </c>
      <c r="F50">
        <f t="shared" si="14"/>
        <v>16.9055</v>
      </c>
      <c r="G50">
        <f t="shared" si="15"/>
        <v>897.85439489926102</v>
      </c>
    </row>
    <row r="51" spans="1:29">
      <c r="A51" s="30" t="s">
        <v>79</v>
      </c>
      <c r="B51" s="95">
        <f>COUNT(C38:C50)</f>
        <v>13</v>
      </c>
      <c r="C51" s="95">
        <f>AVERAGE(C38:C50)</f>
        <v>107.93592307692307</v>
      </c>
      <c r="D51" s="95">
        <f>AVERAGE(D38:D50)</f>
        <v>107.93592307692307</v>
      </c>
      <c r="E51" s="95">
        <f>AVERAGE(E38:E50)</f>
        <v>53.967961538461537</v>
      </c>
      <c r="F51" s="95">
        <f>AVERAGE(F38:F50)</f>
        <v>53.967961538461537</v>
      </c>
      <c r="G51" s="95">
        <f>AVERAGE(G38:G50)</f>
        <v>14276.972099431614</v>
      </c>
      <c r="H51" s="95">
        <f>B51</f>
        <v>13</v>
      </c>
      <c r="I51" s="96">
        <f>H51*G51</f>
        <v>185600.63729261098</v>
      </c>
      <c r="J51" s="10">
        <v>405142.99300000002</v>
      </c>
      <c r="K51" s="96">
        <f>I51/J51</f>
        <v>0.45811143349234962</v>
      </c>
      <c r="L51" s="96">
        <f>K51*100</f>
        <v>45.81114334923496</v>
      </c>
    </row>
    <row r="52" spans="1:29">
      <c r="A52" s="31" t="s">
        <v>83</v>
      </c>
      <c r="B52" s="97">
        <f>COUNTIF(C38:C50,"&gt;"&amp;$B$10)</f>
        <v>1</v>
      </c>
      <c r="C52" s="98">
        <f>AVERAGEIF(C38:C50,"&gt;"&amp;$B$10)</f>
        <v>304.43400000000003</v>
      </c>
      <c r="D52" s="98">
        <f>AVERAGEIF(D38:D50,"&gt;"&amp;$B$10)</f>
        <v>304.43400000000003</v>
      </c>
      <c r="E52" s="98">
        <f>AVERAGEIF(C38:C50,"&gt;"&amp;$B$10,E38:E50)</f>
        <v>152.21700000000001</v>
      </c>
      <c r="F52" s="98">
        <f>AVERAGEIF(D38:D50,"&gt;"&amp;$B$10,F38:F50)</f>
        <v>152.21700000000001</v>
      </c>
      <c r="G52" s="98">
        <f>AVERAGEIF(C38:C50,"&gt;"&amp;$B$10,G38:G50)</f>
        <v>72790.749187167065</v>
      </c>
      <c r="H52" s="98">
        <f>B52</f>
        <v>1</v>
      </c>
      <c r="I52" s="98">
        <f>H52*G52</f>
        <v>72790.749187167065</v>
      </c>
      <c r="J52" s="97">
        <f>J51</f>
        <v>405142.99300000002</v>
      </c>
      <c r="K52" s="96">
        <f>I52/J52</f>
        <v>0.17966681010121052</v>
      </c>
      <c r="L52" s="96">
        <f>K52*100</f>
        <v>17.966681010121054</v>
      </c>
    </row>
    <row r="53" spans="1:29">
      <c r="A53" s="29" t="s">
        <v>25</v>
      </c>
      <c r="B53" s="97">
        <f>COUNTIF(C38:C50,"&gt;"&amp;$B$11)-COUNTIF(C38:C50,"&gt;"&amp;$B$10)</f>
        <v>4</v>
      </c>
      <c r="C53" s="97">
        <f>AVERAGEIFS(C38:C50,C38:C50,"&gt;"&amp;$B$11,C38:C50,"&lt;"&amp;$B$10)</f>
        <v>168.01125000000002</v>
      </c>
      <c r="D53" s="97">
        <f>AVERAGEIFS(D38:D50,D38:D50,"&gt;"&amp;$B$11,D38:D50,"&lt;"&amp;$B$10)</f>
        <v>168.01125000000002</v>
      </c>
      <c r="E53" s="97">
        <f>AVERAGEIFS(E38:E50,C38:C50,"&gt;"&amp;$B$11,C38:C50,"&lt;"&amp;$B$10)</f>
        <v>84.005625000000009</v>
      </c>
      <c r="F53" s="97">
        <f>AVERAGEIFS(F38:F50,D38:D50,"&gt;"&amp;$B$11,D38:D50,"&lt;"&amp;$B$10)</f>
        <v>84.005625000000009</v>
      </c>
      <c r="G53" s="97">
        <f>AVERAGEIFS(G38:G50,C38:C50,"&gt;"&amp;$B$11,C38:C50,"&lt;"&amp;$B$10)</f>
        <v>22939.361134769966</v>
      </c>
      <c r="H53" s="98">
        <f t="shared" ref="H53" si="16">B53</f>
        <v>4</v>
      </c>
      <c r="I53" s="98">
        <f>H53*G53</f>
        <v>91757.444539079865</v>
      </c>
      <c r="J53" s="97">
        <f>J51</f>
        <v>405142.99300000002</v>
      </c>
      <c r="K53" s="98">
        <f>I53/J53</f>
        <v>0.22648162778192207</v>
      </c>
      <c r="L53" s="98">
        <f>K53*100</f>
        <v>22.648162778192209</v>
      </c>
    </row>
    <row r="54" spans="1:29" s="29" customFormat="1">
      <c r="A54" s="32" t="s">
        <v>26</v>
      </c>
      <c r="B54" s="97">
        <f>COUNTIF(C38:C50,"&gt;"&amp;$B$12)-COUNTIF(C38:C50,"&gt;"&amp;$B$11)</f>
        <v>8</v>
      </c>
      <c r="C54" s="97">
        <f>AVERAGEIFS(C38:C50,C38:C50,"&gt;"&amp;$B$12,C38:C50,"&lt;"&amp;$B$11)</f>
        <v>53.335999999999999</v>
      </c>
      <c r="D54" s="97">
        <f>AVERAGEIFS(D38:D50,D38:D50,"&gt;"&amp;$B$12,D38:D50,"&lt;"&amp;$B$11)</f>
        <v>53.335999999999999</v>
      </c>
      <c r="E54" s="97">
        <f>AVERAGEIFS(E38:E50,C38:C50,"&gt;"&amp;$B$12,C38:C50,"&lt;"&amp;$B$11)</f>
        <v>26.667999999999999</v>
      </c>
      <c r="F54" s="97">
        <f>AVERAGEIFS(F38:F50,D38:D50,"&gt;"&amp;$B$12,D38:D50,"&lt;"&amp;$B$11)</f>
        <v>26.667999999999999</v>
      </c>
      <c r="G54" s="97">
        <f>AVERAGEIFS(G38:G50,C38:C50,"&gt;"&amp;$B$12,C38:C50,"&lt;"&amp;$B$11)</f>
        <v>2631.5554457954995</v>
      </c>
      <c r="H54" s="98">
        <f>B54</f>
        <v>8</v>
      </c>
      <c r="I54" s="98">
        <f>H54*G54</f>
        <v>21052.443566363996</v>
      </c>
      <c r="J54" s="97">
        <f>J51</f>
        <v>405142.99300000002</v>
      </c>
      <c r="K54" s="98">
        <f>I54/J54</f>
        <v>5.1962995609216904E-2</v>
      </c>
      <c r="L54" s="98">
        <f>K54*100</f>
        <v>5.1962995609216902</v>
      </c>
    </row>
    <row r="55" spans="1:29">
      <c r="A55" s="10"/>
      <c r="B55" s="10"/>
      <c r="C55" s="10"/>
      <c r="D55" s="10"/>
      <c r="E55" s="10"/>
      <c r="F55" s="10"/>
      <c r="G55" s="10"/>
      <c r="H55" s="10"/>
      <c r="I55" s="48"/>
      <c r="J55" s="48"/>
      <c r="K55" s="48"/>
      <c r="L55" s="48"/>
    </row>
    <row r="56" spans="1:29">
      <c r="A56" s="10"/>
      <c r="B56" s="10"/>
      <c r="C56" s="10"/>
      <c r="D56" s="10"/>
      <c r="E56" s="10"/>
      <c r="F56" s="10"/>
      <c r="G56" s="10"/>
      <c r="H56" s="10"/>
      <c r="I56" s="48"/>
      <c r="J56" s="48"/>
      <c r="K56" s="48"/>
      <c r="L56" s="48"/>
    </row>
    <row r="57" spans="1:29" ht="30">
      <c r="A57" s="2" t="s">
        <v>112</v>
      </c>
      <c r="B57" s="2" t="s">
        <v>113</v>
      </c>
      <c r="C57" s="2" t="s">
        <v>19</v>
      </c>
      <c r="D57" s="2" t="s">
        <v>84</v>
      </c>
      <c r="E57" s="2" t="s">
        <v>20</v>
      </c>
      <c r="F57" s="2" t="s">
        <v>85</v>
      </c>
      <c r="G57" s="2" t="s">
        <v>6</v>
      </c>
      <c r="H57" s="2" t="s">
        <v>21</v>
      </c>
      <c r="I57" s="2" t="s">
        <v>22</v>
      </c>
      <c r="J57" s="2" t="s">
        <v>8</v>
      </c>
      <c r="K57" s="2" t="s">
        <v>23</v>
      </c>
      <c r="L57" s="2" t="s">
        <v>24</v>
      </c>
      <c r="AC57" s="7"/>
    </row>
    <row r="58" spans="1:29">
      <c r="A58" t="s">
        <v>200</v>
      </c>
      <c r="B58" s="2"/>
      <c r="C58">
        <v>171.15</v>
      </c>
      <c r="D58">
        <v>171.15</v>
      </c>
      <c r="E58">
        <f>C58/2</f>
        <v>85.575000000000003</v>
      </c>
      <c r="F58">
        <f>D58/2</f>
        <v>85.575000000000003</v>
      </c>
      <c r="G58">
        <f>PI()*E58*F58</f>
        <v>23006.136293145752</v>
      </c>
      <c r="H58" s="2"/>
      <c r="I58" s="2"/>
      <c r="J58" s="2"/>
      <c r="K58" s="2"/>
      <c r="L58" s="2"/>
      <c r="AC58" s="7"/>
    </row>
    <row r="59" spans="1:29">
      <c r="C59">
        <v>18.834</v>
      </c>
      <c r="D59">
        <v>18.834</v>
      </c>
      <c r="E59">
        <f t="shared" ref="E59:E66" si="17">C59/2</f>
        <v>9.4169999999999998</v>
      </c>
      <c r="F59">
        <f t="shared" ref="F59:F66" si="18">D59/2</f>
        <v>9.4169999999999998</v>
      </c>
      <c r="G59">
        <f t="shared" ref="G59:G66" si="19">PI()*E59*F59</f>
        <v>278.59608780355831</v>
      </c>
      <c r="AC59" s="7"/>
    </row>
    <row r="60" spans="1:29">
      <c r="C60">
        <v>20.533000000000001</v>
      </c>
      <c r="D60">
        <v>20.533000000000001</v>
      </c>
      <c r="E60">
        <f t="shared" si="17"/>
        <v>10.266500000000001</v>
      </c>
      <c r="F60">
        <f t="shared" si="18"/>
        <v>10.266500000000001</v>
      </c>
      <c r="G60">
        <f t="shared" si="19"/>
        <v>331.12707718145435</v>
      </c>
      <c r="AC60" s="7"/>
    </row>
    <row r="61" spans="1:29">
      <c r="C61">
        <v>20.145</v>
      </c>
      <c r="D61">
        <v>20.145</v>
      </c>
      <c r="E61">
        <f t="shared" si="17"/>
        <v>10.0725</v>
      </c>
      <c r="F61">
        <f t="shared" si="18"/>
        <v>10.0725</v>
      </c>
      <c r="G61">
        <f t="shared" si="19"/>
        <v>318.73108770306993</v>
      </c>
      <c r="AC61" s="7"/>
    </row>
    <row r="62" spans="1:29">
      <c r="C62">
        <v>9.4149999999999991</v>
      </c>
      <c r="D62">
        <v>9.4149999999999991</v>
      </c>
      <c r="E62">
        <f t="shared" si="17"/>
        <v>4.7074999999999996</v>
      </c>
      <c r="F62">
        <f t="shared" si="18"/>
        <v>4.7074999999999996</v>
      </c>
      <c r="G62">
        <f t="shared" si="19"/>
        <v>69.619440714463366</v>
      </c>
      <c r="AC62" s="7"/>
    </row>
    <row r="63" spans="1:29">
      <c r="C63">
        <v>7.234</v>
      </c>
      <c r="D63">
        <v>7.234</v>
      </c>
      <c r="E63">
        <f t="shared" si="17"/>
        <v>3.617</v>
      </c>
      <c r="F63">
        <f t="shared" si="18"/>
        <v>3.617</v>
      </c>
      <c r="G63">
        <f t="shared" si="19"/>
        <v>41.100479651599997</v>
      </c>
    </row>
    <row r="64" spans="1:29">
      <c r="C64">
        <v>10.877000000000001</v>
      </c>
      <c r="D64">
        <v>10.877000000000001</v>
      </c>
      <c r="E64">
        <f t="shared" si="17"/>
        <v>5.4385000000000003</v>
      </c>
      <c r="F64">
        <f t="shared" si="18"/>
        <v>5.4385000000000003</v>
      </c>
      <c r="G64">
        <f t="shared" si="19"/>
        <v>92.91977262975179</v>
      </c>
    </row>
    <row r="65" spans="1:12">
      <c r="C65">
        <v>20.498999999999999</v>
      </c>
      <c r="D65">
        <v>20.498999999999999</v>
      </c>
      <c r="E65">
        <f t="shared" si="17"/>
        <v>10.249499999999999</v>
      </c>
      <c r="F65">
        <f t="shared" si="18"/>
        <v>10.249499999999999</v>
      </c>
      <c r="G65">
        <f t="shared" si="19"/>
        <v>330.03137762847643</v>
      </c>
    </row>
    <row r="66" spans="1:12">
      <c r="C66">
        <v>21.207000000000001</v>
      </c>
      <c r="D66">
        <v>21.207000000000001</v>
      </c>
      <c r="E66">
        <f t="shared" si="17"/>
        <v>10.6035</v>
      </c>
      <c r="F66">
        <f t="shared" si="18"/>
        <v>10.6035</v>
      </c>
      <c r="G66">
        <f t="shared" si="19"/>
        <v>353.22249521675553</v>
      </c>
    </row>
    <row r="67" spans="1:12">
      <c r="A67" s="30" t="s">
        <v>79</v>
      </c>
      <c r="B67" s="95">
        <f>COUNT(C58:C66)</f>
        <v>9</v>
      </c>
      <c r="C67" s="95">
        <f>AVERAGE(C58:C66)</f>
        <v>33.321555555555555</v>
      </c>
      <c r="D67" s="95">
        <f>AVERAGE(D58:D66)</f>
        <v>33.321555555555555</v>
      </c>
      <c r="E67" s="95">
        <f>AVERAGE(E58:E66)</f>
        <v>16.660777777777778</v>
      </c>
      <c r="F67" s="95">
        <f>AVERAGE(F58:F66)</f>
        <v>16.660777777777778</v>
      </c>
      <c r="G67" s="95">
        <f>AVERAGE(G58:G66)</f>
        <v>2757.9426790749872</v>
      </c>
      <c r="H67" s="95">
        <f>B67</f>
        <v>9</v>
      </c>
      <c r="I67" s="96">
        <f>H67*G67</f>
        <v>24821.484111674883</v>
      </c>
      <c r="J67">
        <v>85274.237999999998</v>
      </c>
      <c r="K67" s="96">
        <f>I67/J67</f>
        <v>0.29107834551010453</v>
      </c>
      <c r="L67" s="96">
        <f>K67*100</f>
        <v>29.107834551010452</v>
      </c>
    </row>
    <row r="68" spans="1:12">
      <c r="A68" s="31" t="s">
        <v>83</v>
      </c>
      <c r="B68" s="97">
        <f>COUNTIF(C58:C66,"&gt;"&amp;$B$10)</f>
        <v>0</v>
      </c>
      <c r="C68" s="98" t="e">
        <f>AVERAGEIF(C58:C66,"&gt;"&amp;$B$10)</f>
        <v>#DIV/0!</v>
      </c>
      <c r="D68" s="98" t="e">
        <f>AVERAGEIF(D58:D66,"&gt;"&amp;$B$10)</f>
        <v>#DIV/0!</v>
      </c>
      <c r="E68" s="98" t="e">
        <f>AVERAGEIF(C58:C66,"&gt;"&amp;$B$10,E58:E66)</f>
        <v>#DIV/0!</v>
      </c>
      <c r="F68" s="98" t="e">
        <f>AVERAGEIF(D58:D66,"&gt;"&amp;$B$10,F58:F66)</f>
        <v>#DIV/0!</v>
      </c>
      <c r="G68" s="98" t="e">
        <f>AVERAGEIF(C58:C66,"&gt;"&amp;$B$10,G58:G66)</f>
        <v>#DIV/0!</v>
      </c>
      <c r="H68" s="98">
        <f>B68</f>
        <v>0</v>
      </c>
      <c r="I68" s="98" t="e">
        <f>H68*G68</f>
        <v>#DIV/0!</v>
      </c>
      <c r="J68" s="97">
        <f>J67</f>
        <v>85274.237999999998</v>
      </c>
      <c r="K68" s="96" t="e">
        <f>I68/J68</f>
        <v>#DIV/0!</v>
      </c>
      <c r="L68" s="96" t="e">
        <f>K68*100</f>
        <v>#DIV/0!</v>
      </c>
    </row>
    <row r="69" spans="1:12">
      <c r="A69" s="29" t="s">
        <v>25</v>
      </c>
      <c r="B69" s="97">
        <f>COUNTIF(C58:C66,"&gt;"&amp;$B$11)-COUNTIF(C58:C66,"&gt;"&amp;$B$10)</f>
        <v>1</v>
      </c>
      <c r="C69" s="97">
        <f>AVERAGEIFS(C58:C66,C58:C66,"&gt;"&amp;$B$11,C58:C66,"&lt;"&amp;$B$10)</f>
        <v>171.15</v>
      </c>
      <c r="D69" s="97">
        <f>AVERAGEIFS(D58:D66,D58:D66,"&gt;"&amp;$B$11,D58:D66,"&lt;"&amp;$B$10)</f>
        <v>171.15</v>
      </c>
      <c r="E69" s="97">
        <f>AVERAGEIFS(E58:E66,C58:C66,"&gt;"&amp;$B$11,C58:C66,"&lt;"&amp;$B$10)</f>
        <v>85.575000000000003</v>
      </c>
      <c r="F69" s="97">
        <f>AVERAGEIFS(F58:F66,D58:D66,"&gt;"&amp;$B$11,D58:D66,"&lt;"&amp;$B$10)</f>
        <v>85.575000000000003</v>
      </c>
      <c r="G69" s="97">
        <f>AVERAGEIFS(G58:G66,C58:C66,"&gt;"&amp;$B$11,C58:C66,"&lt;"&amp;$B$10)</f>
        <v>23006.136293145752</v>
      </c>
      <c r="H69" s="98">
        <f t="shared" ref="H69" si="20">B69</f>
        <v>1</v>
      </c>
      <c r="I69" s="98">
        <f>H69*G69</f>
        <v>23006.136293145752</v>
      </c>
      <c r="J69" s="97">
        <f>J67</f>
        <v>85274.237999999998</v>
      </c>
      <c r="K69" s="98">
        <f>I69/J69</f>
        <v>0.26978999558044425</v>
      </c>
      <c r="L69" s="98">
        <f>K69*100</f>
        <v>26.978999558044425</v>
      </c>
    </row>
    <row r="70" spans="1:12">
      <c r="A70" s="32" t="s">
        <v>26</v>
      </c>
      <c r="B70" s="97">
        <f>COUNTIF(C58:C66,"&gt;"&amp;$B$12)-COUNTIF(C58:C66,"&gt;"&amp;$B$11)</f>
        <v>8</v>
      </c>
      <c r="C70" s="97">
        <f>AVERAGEIFS(C58:C66,C58:C66,"&gt;"&amp;$B$12,C58:C66,"&lt;"&amp;$B$11)</f>
        <v>16.092999999999996</v>
      </c>
      <c r="D70" s="97">
        <f>AVERAGEIFS(D58:D66,D58:D66,"&gt;"&amp;$B$12,D58:D66,"&lt;"&amp;$B$11)</f>
        <v>16.092999999999996</v>
      </c>
      <c r="E70" s="97">
        <f>AVERAGEIFS(E58:E66,C58:C66,"&gt;"&amp;$B$12,C58:C66,"&lt;"&amp;$B$11)</f>
        <v>8.0464999999999982</v>
      </c>
      <c r="F70" s="97">
        <f>AVERAGEIFS(F58:F66,D58:D66,"&gt;"&amp;$B$12,D58:D66,"&lt;"&amp;$B$11)</f>
        <v>8.0464999999999982</v>
      </c>
      <c r="G70" s="97">
        <f>AVERAGEIFS(G58:G66,C58:C66,"&gt;"&amp;$B$12,C58:C66,"&lt;"&amp;$B$11)</f>
        <v>226.91847731614124</v>
      </c>
      <c r="H70" s="98">
        <f>B70</f>
        <v>8</v>
      </c>
      <c r="I70" s="98">
        <f>H70*G70</f>
        <v>1815.3478185291299</v>
      </c>
      <c r="J70" s="97">
        <f>J67</f>
        <v>85274.237999999998</v>
      </c>
      <c r="K70" s="98">
        <f>I70/J70</f>
        <v>2.1288349929660232E-2</v>
      </c>
      <c r="L70" s="98">
        <f>K70*100</f>
        <v>2.1288349929660231</v>
      </c>
    </row>
    <row r="71" spans="1:12">
      <c r="A71" s="10"/>
      <c r="B71" s="10"/>
      <c r="C71" s="10"/>
      <c r="D71" s="10"/>
      <c r="E71" s="10"/>
      <c r="F71" s="10"/>
      <c r="G71" s="10"/>
      <c r="H71" s="10"/>
      <c r="I71" s="10"/>
      <c r="J71" s="10"/>
      <c r="K71" s="10"/>
      <c r="L71" s="10"/>
    </row>
    <row r="72" spans="1:12">
      <c r="A72" s="10"/>
      <c r="B72" s="10"/>
      <c r="C72" s="10"/>
      <c r="D72" s="10"/>
      <c r="E72" s="10"/>
      <c r="F72" s="10"/>
      <c r="G72" s="10"/>
      <c r="H72" s="10"/>
      <c r="I72" s="10"/>
      <c r="J72" s="10"/>
      <c r="K72" s="10"/>
      <c r="L72" s="10"/>
    </row>
    <row r="73" spans="1:12" ht="30">
      <c r="A73" s="2" t="s">
        <v>112</v>
      </c>
      <c r="B73" s="2" t="s">
        <v>113</v>
      </c>
      <c r="C73" s="2" t="s">
        <v>19</v>
      </c>
      <c r="D73" s="2" t="s">
        <v>84</v>
      </c>
      <c r="E73" s="2" t="s">
        <v>20</v>
      </c>
      <c r="F73" s="2" t="s">
        <v>85</v>
      </c>
      <c r="G73" s="2" t="s">
        <v>6</v>
      </c>
      <c r="H73" s="2" t="s">
        <v>21</v>
      </c>
      <c r="I73" s="2" t="s">
        <v>22</v>
      </c>
      <c r="J73" s="2" t="s">
        <v>8</v>
      </c>
      <c r="K73" s="2" t="s">
        <v>23</v>
      </c>
      <c r="L73" s="2" t="s">
        <v>24</v>
      </c>
    </row>
    <row r="74" spans="1:12">
      <c r="A74" s="29" t="s">
        <v>201</v>
      </c>
      <c r="B74" s="2"/>
      <c r="C74" s="10">
        <v>1052.222</v>
      </c>
      <c r="D74" s="10">
        <v>1052.222</v>
      </c>
      <c r="E74">
        <f>C74/2</f>
        <v>526.11099999999999</v>
      </c>
      <c r="F74">
        <f>D74/2</f>
        <v>526.11099999999999</v>
      </c>
      <c r="G74">
        <f>PI()*E74*F74</f>
        <v>869570.17778951756</v>
      </c>
      <c r="H74" s="2"/>
      <c r="I74" s="2"/>
      <c r="J74" s="2"/>
      <c r="K74" s="2"/>
      <c r="L74" s="2"/>
    </row>
    <row r="75" spans="1:12">
      <c r="A75" s="31" t="s">
        <v>83</v>
      </c>
      <c r="B75" s="97">
        <f>COUNTIF(C74:C74,"&gt;"&amp;$B$10)</f>
        <v>1</v>
      </c>
      <c r="C75" s="98">
        <f>AVERAGEIF(C74:C74,"&gt;"&amp;$B$10)</f>
        <v>1052.222</v>
      </c>
      <c r="D75" s="98">
        <f>AVERAGEIF(D74:D74,"&gt;"&amp;$B$10)</f>
        <v>1052.222</v>
      </c>
      <c r="E75" s="98">
        <f>AVERAGEIF(C74:C74,"&gt;"&amp;$B$10,E74:E74)</f>
        <v>526.11099999999999</v>
      </c>
      <c r="F75" s="98">
        <f>AVERAGEIF(D74:D74,"&gt;"&amp;$B$10,F74:F74)</f>
        <v>526.11099999999999</v>
      </c>
      <c r="G75" s="98">
        <f>AVERAGEIF(C74:C74,"&gt;"&amp;$B$10,G74:G74)</f>
        <v>869570.17778951756</v>
      </c>
      <c r="H75" s="98">
        <f>B75</f>
        <v>1</v>
      </c>
      <c r="I75" s="98">
        <f>H75*G75</f>
        <v>869570.17778951756</v>
      </c>
      <c r="J75" s="10">
        <v>3418287.1970000002</v>
      </c>
      <c r="K75" s="96">
        <f>I75/J75</f>
        <v>0.25438768824125735</v>
      </c>
      <c r="L75" s="96">
        <f>K75*100</f>
        <v>25.438768824125734</v>
      </c>
    </row>
    <row r="76" spans="1:12">
      <c r="A76" s="32"/>
      <c r="B76" s="10"/>
      <c r="C76" s="10"/>
      <c r="D76" s="10"/>
      <c r="E76" s="10"/>
      <c r="F76" s="10"/>
      <c r="G76" s="10"/>
      <c r="H76" s="10"/>
      <c r="I76" s="10"/>
      <c r="J76" s="10"/>
      <c r="K76" s="32"/>
      <c r="L76" s="32"/>
    </row>
    <row r="77" spans="1:12">
      <c r="A77" s="10"/>
      <c r="B77" s="10"/>
      <c r="C77" s="10"/>
      <c r="D77" s="10"/>
      <c r="E77" s="10"/>
      <c r="F77" s="10"/>
      <c r="G77" s="10"/>
      <c r="H77" s="10"/>
      <c r="I77" s="10"/>
      <c r="J77" s="10"/>
      <c r="K77" s="10"/>
      <c r="L77" s="10"/>
    </row>
    <row r="78" spans="1:12">
      <c r="A78" s="10"/>
      <c r="B78" s="10"/>
      <c r="C78" s="10"/>
      <c r="D78" s="10"/>
      <c r="E78" s="10"/>
      <c r="F78" s="10"/>
      <c r="G78" s="10"/>
      <c r="H78" s="10"/>
      <c r="I78" s="10"/>
      <c r="J78" s="10"/>
      <c r="K78" s="10"/>
      <c r="L78" s="10"/>
    </row>
    <row r="79" spans="1:12">
      <c r="A79" s="10"/>
      <c r="B79" s="10"/>
      <c r="C79" s="10"/>
      <c r="D79" s="10"/>
      <c r="E79" s="10"/>
      <c r="F79" s="10"/>
      <c r="G79" s="10"/>
      <c r="H79" s="10"/>
      <c r="I79" s="10"/>
      <c r="J79" s="10"/>
      <c r="K79" s="10"/>
      <c r="L79" s="10"/>
    </row>
    <row r="80" spans="1:12" ht="16">
      <c r="A80" s="10"/>
      <c r="B80" s="10"/>
      <c r="C80" s="10"/>
      <c r="D80" s="10"/>
      <c r="E80" s="139"/>
      <c r="F80" s="10"/>
      <c r="G80" s="10"/>
      <c r="H80" s="10"/>
      <c r="I80" s="10"/>
      <c r="J80" s="10"/>
      <c r="K80" s="10"/>
      <c r="L80" s="10"/>
    </row>
    <row r="81" spans="1:12">
      <c r="A81" s="10"/>
      <c r="B81" s="10"/>
      <c r="C81" s="10"/>
      <c r="D81" s="10"/>
      <c r="E81" s="10"/>
      <c r="F81" s="10"/>
      <c r="G81" s="10"/>
      <c r="H81" s="10"/>
      <c r="I81" s="10"/>
      <c r="J81" s="10"/>
      <c r="K81" s="28"/>
      <c r="L81" s="28"/>
    </row>
    <row r="82" spans="1:12">
      <c r="A82" s="10"/>
      <c r="B82" s="10"/>
      <c r="C82" s="10"/>
      <c r="D82" s="10"/>
      <c r="E82" s="10"/>
      <c r="F82" s="10"/>
      <c r="G82" s="10"/>
      <c r="H82" s="10"/>
      <c r="I82" s="10"/>
      <c r="J82" s="10"/>
      <c r="K82" s="10"/>
      <c r="L82" s="10"/>
    </row>
    <row r="83" spans="1:12">
      <c r="A83" s="10"/>
      <c r="B83" s="10"/>
      <c r="C83" s="10"/>
      <c r="D83" s="10"/>
      <c r="E83" s="10"/>
      <c r="F83" s="10"/>
      <c r="G83" s="10"/>
      <c r="H83" s="10"/>
      <c r="I83" s="10"/>
      <c r="J83" s="10"/>
      <c r="K83" s="10"/>
      <c r="L83" s="10"/>
    </row>
    <row r="84" spans="1:12">
      <c r="A84" s="10"/>
      <c r="B84" s="10"/>
      <c r="C84" s="10"/>
      <c r="D84" s="10"/>
      <c r="E84" s="10"/>
      <c r="F84" s="10"/>
      <c r="G84" s="10"/>
      <c r="H84" s="10"/>
      <c r="I84" s="10"/>
      <c r="J84" s="10"/>
      <c r="K84" s="10"/>
      <c r="L84" s="10"/>
    </row>
    <row r="85" spans="1:12">
      <c r="A85" s="10"/>
      <c r="B85" s="10"/>
      <c r="C85" s="10"/>
      <c r="D85" s="10"/>
      <c r="E85" s="10"/>
      <c r="F85" s="10"/>
      <c r="G85" s="10"/>
      <c r="H85" s="10"/>
      <c r="I85" s="10"/>
      <c r="J85" s="10"/>
      <c r="K85" s="10"/>
      <c r="L85" s="10"/>
    </row>
    <row r="86" spans="1:12">
      <c r="A86" s="10"/>
      <c r="B86" s="10"/>
      <c r="C86" s="10"/>
      <c r="D86" s="10"/>
      <c r="E86" s="10"/>
      <c r="F86" s="10"/>
      <c r="G86" s="10"/>
      <c r="H86" s="10"/>
      <c r="I86" s="10"/>
      <c r="J86" s="10"/>
      <c r="K86" s="10"/>
      <c r="L86" s="10"/>
    </row>
    <row r="87" spans="1:12">
      <c r="A87" s="10"/>
      <c r="B87" s="10"/>
      <c r="C87" s="10"/>
      <c r="D87" s="10"/>
      <c r="E87" s="10"/>
      <c r="F87" s="10"/>
      <c r="G87" s="10"/>
      <c r="H87" s="10"/>
      <c r="I87" s="10"/>
      <c r="J87" s="10"/>
      <c r="K87" s="10"/>
      <c r="L87" s="10"/>
    </row>
    <row r="88" spans="1:12">
      <c r="A88" s="32"/>
      <c r="B88" s="32"/>
      <c r="C88" s="32"/>
      <c r="D88" s="32"/>
      <c r="E88" s="32"/>
      <c r="F88" s="32"/>
      <c r="G88" s="32"/>
      <c r="H88" s="32"/>
      <c r="I88" s="32"/>
      <c r="J88" s="10"/>
      <c r="K88" s="32"/>
      <c r="L88" s="32"/>
    </row>
    <row r="89" spans="1:12">
      <c r="A89" s="10"/>
      <c r="B89" s="10"/>
      <c r="C89" s="10"/>
      <c r="D89" s="10"/>
      <c r="E89" s="10"/>
      <c r="F89" s="10"/>
      <c r="G89" s="10"/>
      <c r="H89" s="10"/>
      <c r="I89" s="10"/>
      <c r="J89" s="10"/>
      <c r="K89" s="32"/>
      <c r="L89" s="32"/>
    </row>
    <row r="90" spans="1:12">
      <c r="A90" s="10"/>
      <c r="B90" s="10"/>
      <c r="C90" s="10"/>
      <c r="D90" s="10"/>
      <c r="E90" s="10"/>
      <c r="F90" s="10"/>
      <c r="G90" s="10"/>
      <c r="H90" s="10"/>
      <c r="I90" s="10"/>
      <c r="J90" s="10"/>
      <c r="K90" s="32"/>
      <c r="L90" s="32"/>
    </row>
    <row r="91" spans="1:12">
      <c r="A91" s="32"/>
      <c r="B91" s="10"/>
      <c r="C91" s="10"/>
      <c r="D91" s="10"/>
      <c r="E91" s="10"/>
      <c r="F91" s="10"/>
      <c r="G91" s="10"/>
      <c r="H91" s="10"/>
      <c r="I91" s="10"/>
      <c r="J91" s="10"/>
      <c r="K91" s="32"/>
      <c r="L91" s="32"/>
    </row>
    <row r="92" spans="1:12">
      <c r="A92" s="10"/>
      <c r="B92" s="10"/>
      <c r="C92" s="10"/>
      <c r="D92" s="10"/>
      <c r="E92" s="10"/>
      <c r="F92" s="10"/>
      <c r="G92" s="10"/>
      <c r="H92" s="10"/>
      <c r="I92" s="10"/>
      <c r="J92" s="10"/>
      <c r="K92" s="10"/>
      <c r="L92" s="10"/>
    </row>
    <row r="93" spans="1:12">
      <c r="A93" s="10"/>
      <c r="B93" s="10"/>
      <c r="C93" s="10"/>
      <c r="D93" s="10"/>
      <c r="E93" s="10"/>
      <c r="F93" s="10"/>
      <c r="G93" s="10"/>
      <c r="H93" s="10"/>
      <c r="I93" s="10"/>
      <c r="J93" s="10"/>
      <c r="K93" s="10"/>
      <c r="L93" s="10"/>
    </row>
    <row r="94" spans="1:12">
      <c r="A94" s="10"/>
      <c r="B94" s="10"/>
      <c r="C94" s="10"/>
      <c r="D94" s="10"/>
      <c r="E94" s="10"/>
      <c r="F94" s="10"/>
      <c r="G94" s="10"/>
      <c r="H94" s="10"/>
      <c r="I94" s="10"/>
      <c r="J94" s="10"/>
      <c r="K94" s="10"/>
      <c r="L94" s="10"/>
    </row>
    <row r="95" spans="1:12">
      <c r="A95" s="10"/>
      <c r="B95" s="10"/>
      <c r="C95" s="10"/>
      <c r="D95" s="10"/>
      <c r="E95" s="10"/>
      <c r="F95" s="10"/>
      <c r="G95" s="10"/>
      <c r="H95" s="10"/>
      <c r="I95" s="10"/>
      <c r="J95" s="10"/>
      <c r="K95" s="28"/>
      <c r="L95" s="28"/>
    </row>
    <row r="96" spans="1:12">
      <c r="A96" s="10"/>
      <c r="B96" s="10"/>
      <c r="C96" s="10"/>
      <c r="D96" s="10"/>
      <c r="E96" s="10"/>
      <c r="F96" s="10"/>
      <c r="G96" s="10"/>
      <c r="H96" s="10"/>
      <c r="I96" s="10"/>
      <c r="J96" s="10"/>
      <c r="K96" s="10"/>
      <c r="L96" s="10"/>
    </row>
    <row r="97" spans="1:12">
      <c r="A97" s="10"/>
      <c r="B97" s="10"/>
      <c r="C97" s="10"/>
      <c r="D97" s="10"/>
      <c r="E97" s="10"/>
      <c r="F97" s="10"/>
      <c r="G97" s="10"/>
      <c r="H97" s="10"/>
      <c r="I97" s="10"/>
      <c r="J97" s="10"/>
      <c r="K97" s="10"/>
      <c r="L97" s="10"/>
    </row>
    <row r="98" spans="1:12">
      <c r="A98" s="10"/>
      <c r="B98" s="10"/>
      <c r="C98" s="10"/>
      <c r="D98" s="10"/>
      <c r="E98" s="10"/>
      <c r="F98" s="10"/>
      <c r="G98" s="10"/>
      <c r="H98" s="10"/>
      <c r="I98" s="10"/>
      <c r="J98" s="10"/>
      <c r="K98" s="10"/>
      <c r="L98" s="10"/>
    </row>
    <row r="99" spans="1:12">
      <c r="A99" s="10"/>
      <c r="B99" s="10"/>
      <c r="C99" s="10"/>
      <c r="D99" s="10"/>
      <c r="E99" s="10"/>
      <c r="F99" s="10"/>
      <c r="G99" s="10"/>
      <c r="H99" s="10"/>
      <c r="I99" s="10"/>
      <c r="J99" s="10"/>
      <c r="K99" s="10"/>
      <c r="L99" s="10"/>
    </row>
    <row r="100" spans="1:12">
      <c r="A100" s="10"/>
      <c r="B100" s="10"/>
      <c r="C100" s="10"/>
      <c r="D100" s="10"/>
      <c r="E100" s="10"/>
      <c r="F100" s="10"/>
      <c r="G100" s="10"/>
      <c r="H100" s="10"/>
      <c r="I100" s="10"/>
      <c r="J100" s="10"/>
      <c r="K100" s="10"/>
      <c r="L100" s="10"/>
    </row>
    <row r="101" spans="1:12">
      <c r="A101" s="10"/>
      <c r="B101" s="10"/>
      <c r="C101" s="10"/>
      <c r="D101" s="10"/>
      <c r="E101" s="10"/>
      <c r="F101" s="10"/>
      <c r="G101" s="10"/>
      <c r="H101" s="10"/>
      <c r="I101" s="10"/>
      <c r="J101" s="10"/>
      <c r="K101" s="10"/>
      <c r="L101" s="10"/>
    </row>
    <row r="102" spans="1:12">
      <c r="A102" s="10"/>
      <c r="B102" s="10"/>
      <c r="C102" s="10"/>
      <c r="D102" s="10"/>
      <c r="E102" s="10"/>
      <c r="F102" s="10"/>
      <c r="G102" s="10"/>
      <c r="H102" s="10"/>
      <c r="I102" s="10"/>
      <c r="J102" s="10"/>
      <c r="K102" s="10"/>
      <c r="L102" s="10"/>
    </row>
    <row r="103" spans="1:12">
      <c r="A103" s="10"/>
      <c r="B103" s="10"/>
      <c r="C103" s="10"/>
      <c r="D103" s="10"/>
      <c r="E103" s="10"/>
      <c r="F103" s="10"/>
      <c r="G103" s="10"/>
      <c r="H103" s="10"/>
      <c r="I103" s="10"/>
      <c r="J103" s="10"/>
      <c r="K103" s="10"/>
      <c r="L103" s="10"/>
    </row>
    <row r="104" spans="1:12">
      <c r="A104" s="10"/>
      <c r="B104" s="10"/>
      <c r="C104" s="10"/>
      <c r="D104" s="10"/>
      <c r="E104" s="10"/>
      <c r="F104" s="10"/>
      <c r="G104" s="10"/>
      <c r="H104" s="10"/>
      <c r="I104" s="10"/>
      <c r="J104" s="10"/>
      <c r="K104" s="10"/>
      <c r="L104" s="10"/>
    </row>
    <row r="105" spans="1:12">
      <c r="A105" s="10"/>
      <c r="B105" s="10"/>
      <c r="C105" s="10"/>
      <c r="D105" s="10"/>
      <c r="E105" s="10"/>
      <c r="F105" s="10"/>
      <c r="G105" s="10"/>
      <c r="H105" s="10"/>
      <c r="I105" s="10"/>
      <c r="J105" s="10"/>
      <c r="K105" s="10"/>
      <c r="L105" s="10"/>
    </row>
    <row r="106" spans="1:12">
      <c r="A106" s="10"/>
      <c r="B106" s="10"/>
      <c r="C106" s="10"/>
      <c r="D106" s="10"/>
      <c r="E106" s="10"/>
      <c r="F106" s="10"/>
      <c r="G106" s="10"/>
      <c r="H106" s="10"/>
      <c r="I106" s="10"/>
      <c r="J106" s="10"/>
      <c r="K106" s="10"/>
      <c r="L106" s="10"/>
    </row>
    <row r="107" spans="1:12">
      <c r="A107" s="32"/>
      <c r="B107" s="32"/>
      <c r="C107" s="32"/>
      <c r="D107" s="32"/>
      <c r="E107" s="32"/>
      <c r="F107" s="32"/>
      <c r="G107" s="32"/>
      <c r="H107" s="32"/>
      <c r="I107" s="32"/>
      <c r="J107" s="10"/>
      <c r="K107" s="32"/>
      <c r="L107" s="32"/>
    </row>
    <row r="108" spans="1:12">
      <c r="A108" s="10"/>
      <c r="B108" s="10"/>
      <c r="C108" s="10"/>
      <c r="D108" s="10"/>
      <c r="E108" s="10"/>
      <c r="F108" s="10"/>
      <c r="G108" s="10"/>
      <c r="H108" s="10"/>
      <c r="I108" s="10"/>
      <c r="J108" s="10"/>
      <c r="K108" s="32"/>
      <c r="L108" s="32"/>
    </row>
    <row r="109" spans="1:12">
      <c r="A109" s="10"/>
      <c r="B109" s="10"/>
      <c r="C109" s="10"/>
      <c r="D109" s="10"/>
      <c r="E109" s="10"/>
      <c r="F109" s="10"/>
      <c r="G109" s="10"/>
      <c r="H109" s="10"/>
      <c r="I109" s="10"/>
      <c r="J109" s="10"/>
      <c r="K109" s="32"/>
      <c r="L109" s="32"/>
    </row>
    <row r="110" spans="1:12">
      <c r="A110" s="32"/>
      <c r="B110" s="10"/>
      <c r="C110" s="10"/>
      <c r="D110" s="10"/>
      <c r="E110" s="10"/>
      <c r="F110" s="10"/>
      <c r="G110" s="10"/>
      <c r="H110" s="10"/>
      <c r="I110" s="10"/>
      <c r="J110" s="10"/>
      <c r="K110" s="32"/>
      <c r="L110" s="32"/>
    </row>
    <row r="111" spans="1:12">
      <c r="A111" s="10"/>
      <c r="B111" s="10"/>
      <c r="C111" s="10"/>
      <c r="D111" s="10"/>
      <c r="E111" s="10"/>
      <c r="F111" s="10"/>
      <c r="G111" s="10"/>
      <c r="H111" s="10"/>
      <c r="I111" s="10"/>
      <c r="J111" s="10"/>
      <c r="K111" s="10"/>
      <c r="L111" s="10"/>
    </row>
    <row r="112" spans="1:12">
      <c r="A112" s="10"/>
      <c r="B112" s="10"/>
      <c r="C112" s="10"/>
      <c r="D112" s="10"/>
      <c r="E112" s="10"/>
      <c r="F112" s="10"/>
      <c r="G112" s="10"/>
      <c r="H112" s="10"/>
      <c r="I112" s="10"/>
      <c r="J112" s="10"/>
      <c r="K112" s="10"/>
      <c r="L112" s="10"/>
    </row>
    <row r="113" spans="1:12">
      <c r="A113" s="10"/>
      <c r="B113" s="10"/>
      <c r="C113" s="10"/>
      <c r="D113" s="10"/>
      <c r="E113" s="10"/>
      <c r="F113" s="10"/>
      <c r="G113" s="10"/>
      <c r="H113" s="10"/>
      <c r="I113" s="10"/>
      <c r="J113" s="10"/>
      <c r="K113" s="10"/>
      <c r="L113" s="10"/>
    </row>
    <row r="114" spans="1:12">
      <c r="A114" s="10"/>
      <c r="B114" s="10"/>
      <c r="C114" s="10"/>
      <c r="D114" s="10"/>
      <c r="E114" s="10"/>
      <c r="F114" s="10"/>
      <c r="G114" s="10"/>
      <c r="H114" s="10"/>
      <c r="I114" s="10"/>
      <c r="J114" s="10"/>
      <c r="K114" s="28"/>
      <c r="L114" s="28"/>
    </row>
    <row r="115" spans="1:12">
      <c r="A115" s="10"/>
      <c r="B115" s="10"/>
      <c r="C115" s="10"/>
      <c r="D115" s="10"/>
      <c r="E115" s="10"/>
      <c r="F115" s="10"/>
      <c r="G115" s="10"/>
      <c r="H115" s="10"/>
      <c r="I115" s="10"/>
      <c r="J115" s="10"/>
      <c r="K115" s="10"/>
      <c r="L115" s="10"/>
    </row>
    <row r="116" spans="1:12">
      <c r="A116" s="10"/>
      <c r="B116" s="10"/>
      <c r="C116" s="10"/>
      <c r="D116" s="10"/>
      <c r="E116" s="10"/>
      <c r="F116" s="10"/>
      <c r="G116" s="10"/>
      <c r="H116" s="10"/>
      <c r="I116" s="10"/>
      <c r="J116" s="10"/>
      <c r="K116" s="10"/>
      <c r="L116" s="10"/>
    </row>
    <row r="117" spans="1:12">
      <c r="A117" s="10"/>
      <c r="B117" s="10"/>
      <c r="C117" s="10"/>
      <c r="D117" s="10"/>
      <c r="E117" s="10"/>
      <c r="F117" s="10"/>
      <c r="G117" s="10"/>
      <c r="H117" s="10"/>
      <c r="I117" s="10"/>
      <c r="J117" s="10"/>
      <c r="K117" s="10"/>
      <c r="L117" s="10"/>
    </row>
    <row r="118" spans="1:12">
      <c r="A118" s="10"/>
      <c r="B118" s="10"/>
      <c r="C118" s="10"/>
      <c r="D118" s="10"/>
      <c r="E118" s="10"/>
      <c r="F118" s="10"/>
      <c r="G118" s="10"/>
      <c r="H118" s="10"/>
      <c r="I118" s="10"/>
      <c r="J118" s="10"/>
      <c r="K118" s="10"/>
      <c r="L118" s="10"/>
    </row>
    <row r="119" spans="1:12">
      <c r="A119" s="10"/>
      <c r="B119" s="10"/>
      <c r="C119" s="10"/>
      <c r="D119" s="10"/>
      <c r="E119" s="10"/>
      <c r="F119" s="10"/>
      <c r="G119" s="10"/>
      <c r="H119" s="10"/>
      <c r="I119" s="10"/>
      <c r="J119" s="10"/>
      <c r="K119" s="10"/>
      <c r="L119" s="10"/>
    </row>
    <row r="120" spans="1:12">
      <c r="A120" s="10"/>
      <c r="B120" s="10"/>
      <c r="C120" s="10"/>
      <c r="D120" s="10"/>
      <c r="E120" s="10"/>
      <c r="F120" s="10"/>
      <c r="G120" s="10"/>
      <c r="H120" s="10"/>
      <c r="I120" s="10"/>
      <c r="J120" s="10"/>
      <c r="K120" s="10"/>
      <c r="L120" s="10"/>
    </row>
    <row r="121" spans="1:12">
      <c r="A121" s="10"/>
      <c r="B121" s="10"/>
      <c r="C121" s="10"/>
      <c r="D121" s="10"/>
      <c r="E121" s="10"/>
      <c r="F121" s="10"/>
      <c r="G121" s="10"/>
      <c r="H121" s="10"/>
      <c r="I121" s="10"/>
      <c r="J121" s="10"/>
      <c r="K121" s="10"/>
      <c r="L121" s="10"/>
    </row>
    <row r="122" spans="1:12">
      <c r="A122" s="10"/>
      <c r="B122" s="10"/>
      <c r="C122" s="10"/>
      <c r="D122" s="10"/>
      <c r="E122" s="10"/>
      <c r="F122" s="10"/>
      <c r="G122" s="10"/>
      <c r="H122" s="10"/>
      <c r="I122" s="10"/>
      <c r="J122" s="10"/>
      <c r="K122" s="10"/>
      <c r="L122" s="10"/>
    </row>
    <row r="123" spans="1:12">
      <c r="A123" s="10"/>
      <c r="B123" s="10"/>
      <c r="C123" s="10"/>
      <c r="D123" s="10"/>
      <c r="E123" s="10"/>
      <c r="F123" s="10"/>
      <c r="G123" s="10"/>
      <c r="H123" s="10"/>
      <c r="I123" s="10"/>
      <c r="J123" s="10"/>
      <c r="K123" s="10"/>
      <c r="L123" s="10"/>
    </row>
    <row r="124" spans="1:12">
      <c r="A124" s="10"/>
      <c r="B124" s="10"/>
      <c r="C124" s="10"/>
      <c r="D124" s="10"/>
      <c r="E124" s="10"/>
      <c r="F124" s="10"/>
      <c r="G124" s="10"/>
      <c r="H124" s="10"/>
      <c r="I124" s="10"/>
      <c r="J124" s="10"/>
      <c r="K124" s="10"/>
      <c r="L124" s="10"/>
    </row>
    <row r="125" spans="1:12">
      <c r="A125" s="10"/>
      <c r="B125" s="10"/>
      <c r="C125" s="10"/>
      <c r="D125" s="10"/>
      <c r="E125" s="10"/>
      <c r="F125" s="10"/>
      <c r="G125" s="10"/>
      <c r="H125" s="10"/>
      <c r="I125" s="10"/>
      <c r="J125" s="10"/>
      <c r="K125" s="10"/>
      <c r="L125" s="10"/>
    </row>
    <row r="126" spans="1:12">
      <c r="A126" s="10"/>
      <c r="B126" s="10"/>
      <c r="C126" s="10"/>
      <c r="D126" s="10"/>
      <c r="E126" s="10"/>
      <c r="F126" s="10"/>
      <c r="G126" s="10"/>
      <c r="H126" s="10"/>
      <c r="I126" s="10"/>
      <c r="J126" s="10"/>
      <c r="K126" s="10"/>
      <c r="L126" s="10"/>
    </row>
    <row r="127" spans="1:12">
      <c r="A127" s="10"/>
      <c r="B127" s="10"/>
      <c r="C127" s="10"/>
      <c r="D127" s="10"/>
      <c r="E127" s="10"/>
      <c r="F127" s="10"/>
      <c r="G127" s="10"/>
      <c r="H127" s="10"/>
      <c r="I127" s="10"/>
      <c r="J127" s="10"/>
      <c r="K127" s="10"/>
      <c r="L127" s="10"/>
    </row>
    <row r="128" spans="1:12">
      <c r="A128" s="10"/>
      <c r="B128" s="10"/>
      <c r="C128" s="10"/>
      <c r="D128" s="10"/>
      <c r="E128" s="10"/>
      <c r="F128" s="10"/>
      <c r="G128" s="10"/>
      <c r="H128" s="10"/>
      <c r="I128" s="10"/>
      <c r="J128" s="10"/>
      <c r="K128" s="10"/>
      <c r="L128" s="10"/>
    </row>
    <row r="129" spans="1:12">
      <c r="A129" s="10"/>
      <c r="B129" s="10"/>
      <c r="C129" s="10"/>
      <c r="D129" s="10"/>
      <c r="E129" s="10"/>
      <c r="F129" s="10"/>
      <c r="G129" s="10"/>
      <c r="H129" s="10"/>
      <c r="I129" s="10"/>
      <c r="J129" s="10"/>
      <c r="K129" s="10"/>
      <c r="L129" s="10"/>
    </row>
    <row r="130" spans="1:12">
      <c r="A130" s="10"/>
      <c r="B130" s="10"/>
      <c r="C130" s="10"/>
      <c r="D130" s="10"/>
      <c r="E130" s="10"/>
      <c r="F130" s="10"/>
      <c r="G130" s="10"/>
      <c r="H130" s="10"/>
      <c r="I130" s="10"/>
      <c r="J130" s="10"/>
      <c r="K130" s="10"/>
      <c r="L130" s="10"/>
    </row>
    <row r="131" spans="1:12">
      <c r="A131" s="10"/>
      <c r="B131" s="10"/>
      <c r="C131" s="10"/>
      <c r="D131" s="10"/>
      <c r="E131" s="10"/>
      <c r="F131" s="10"/>
      <c r="G131" s="10"/>
      <c r="H131" s="10"/>
      <c r="I131" s="10"/>
      <c r="J131" s="10"/>
      <c r="K131" s="10"/>
      <c r="L131" s="10"/>
    </row>
    <row r="132" spans="1:12">
      <c r="A132" s="32"/>
      <c r="B132" s="32"/>
      <c r="C132" s="32"/>
      <c r="D132" s="32"/>
      <c r="E132" s="32"/>
      <c r="F132" s="32"/>
      <c r="G132" s="32"/>
      <c r="H132" s="32"/>
      <c r="I132" s="32"/>
      <c r="J132" s="10"/>
      <c r="K132" s="32"/>
      <c r="L132" s="32"/>
    </row>
    <row r="133" spans="1:12">
      <c r="A133" s="10"/>
      <c r="B133" s="10"/>
      <c r="C133" s="10"/>
      <c r="D133" s="10"/>
      <c r="E133" s="10"/>
      <c r="F133" s="10"/>
      <c r="G133" s="10"/>
      <c r="H133" s="10"/>
      <c r="I133" s="10"/>
      <c r="J133" s="10"/>
      <c r="K133" s="32"/>
      <c r="L133" s="32"/>
    </row>
    <row r="134" spans="1:12">
      <c r="A134" s="10"/>
      <c r="B134" s="10"/>
      <c r="C134" s="10"/>
      <c r="D134" s="10"/>
      <c r="E134" s="10"/>
      <c r="F134" s="10"/>
      <c r="G134" s="10"/>
      <c r="H134" s="10"/>
      <c r="I134" s="10"/>
      <c r="J134" s="10"/>
      <c r="K134" s="32"/>
      <c r="L134" s="32"/>
    </row>
    <row r="135" spans="1:12">
      <c r="A135" s="32"/>
      <c r="B135" s="10"/>
      <c r="C135" s="10"/>
      <c r="D135" s="10"/>
      <c r="E135" s="10"/>
      <c r="F135" s="10"/>
      <c r="G135" s="10"/>
      <c r="H135" s="10"/>
      <c r="I135" s="10"/>
      <c r="J135" s="10"/>
      <c r="K135" s="32"/>
      <c r="L135" s="32"/>
    </row>
    <row r="136" spans="1:12">
      <c r="A136" s="10"/>
      <c r="B136" s="10"/>
      <c r="C136" s="10"/>
      <c r="D136" s="10"/>
      <c r="E136" s="10"/>
      <c r="F136" s="10"/>
      <c r="G136" s="10"/>
      <c r="H136" s="10"/>
      <c r="I136" s="10"/>
      <c r="J136" s="10"/>
      <c r="K136" s="10"/>
      <c r="L136" s="10"/>
    </row>
    <row r="137" spans="1:12">
      <c r="A137" s="10"/>
      <c r="B137" s="10"/>
      <c r="C137" s="10"/>
      <c r="D137" s="10"/>
      <c r="E137" s="10"/>
      <c r="F137" s="10"/>
      <c r="G137" s="10"/>
      <c r="H137" s="10"/>
      <c r="I137" s="10"/>
      <c r="J137" s="10"/>
      <c r="K137" s="10"/>
      <c r="L137" s="10"/>
    </row>
    <row r="138" spans="1:12">
      <c r="A138" s="10"/>
      <c r="B138" s="10"/>
      <c r="C138" s="10"/>
      <c r="D138" s="10"/>
      <c r="E138" s="10"/>
      <c r="F138" s="10"/>
      <c r="G138" s="10"/>
      <c r="H138" s="10"/>
      <c r="I138" s="10"/>
      <c r="J138" s="10"/>
      <c r="K138" s="28"/>
      <c r="L138" s="28"/>
    </row>
    <row r="139" spans="1:12">
      <c r="A139" s="10"/>
      <c r="B139" s="10"/>
      <c r="C139" s="10"/>
      <c r="D139" s="10"/>
      <c r="E139" s="10"/>
      <c r="F139" s="10"/>
      <c r="G139" s="10"/>
      <c r="H139" s="10"/>
      <c r="I139" s="32"/>
      <c r="J139" s="10"/>
      <c r="K139" s="10"/>
      <c r="L139" s="10"/>
    </row>
    <row r="140" spans="1:12">
      <c r="A140" s="10"/>
      <c r="B140" s="10"/>
      <c r="C140" s="10"/>
      <c r="D140" s="10"/>
      <c r="E140" s="10"/>
      <c r="F140" s="10"/>
      <c r="G140" s="10"/>
      <c r="H140" s="10"/>
      <c r="I140" s="10"/>
      <c r="J140" s="10"/>
      <c r="K140" s="10"/>
      <c r="L140" s="10"/>
    </row>
    <row r="141" spans="1:12">
      <c r="A141" s="10"/>
      <c r="B141" s="10"/>
      <c r="C141" s="10"/>
      <c r="D141" s="10"/>
      <c r="E141" s="10"/>
      <c r="F141" s="10"/>
      <c r="G141" s="10"/>
      <c r="H141" s="10"/>
      <c r="I141" s="10"/>
      <c r="J141" s="10"/>
      <c r="K141" s="10"/>
      <c r="L141" s="10"/>
    </row>
    <row r="142" spans="1:12">
      <c r="A142" s="10"/>
      <c r="B142" s="10"/>
      <c r="C142" s="10"/>
      <c r="D142" s="10"/>
      <c r="E142" s="10"/>
      <c r="F142" s="10"/>
      <c r="G142" s="10"/>
      <c r="H142" s="10"/>
      <c r="I142" s="10"/>
      <c r="J142" s="10"/>
      <c r="K142" s="10"/>
      <c r="L142" s="10"/>
    </row>
    <row r="143" spans="1:12">
      <c r="A143" s="10"/>
      <c r="B143" s="10"/>
      <c r="C143" s="10"/>
      <c r="D143" s="10"/>
      <c r="E143" s="10"/>
      <c r="F143" s="10"/>
      <c r="G143" s="10"/>
      <c r="H143" s="10"/>
      <c r="I143" s="10"/>
      <c r="J143" s="10"/>
      <c r="K143" s="10"/>
      <c r="L143" s="10"/>
    </row>
    <row r="144" spans="1:12">
      <c r="A144" s="10"/>
      <c r="B144" s="10"/>
      <c r="C144" s="10"/>
      <c r="D144" s="10"/>
      <c r="E144" s="10"/>
      <c r="F144" s="10"/>
      <c r="G144" s="10"/>
      <c r="H144" s="10"/>
      <c r="I144" s="10"/>
      <c r="J144" s="10"/>
      <c r="K144" s="10"/>
      <c r="L144" s="10"/>
    </row>
    <row r="145" spans="1:12">
      <c r="A145" s="32"/>
      <c r="B145" s="32"/>
      <c r="C145" s="32"/>
      <c r="D145" s="32"/>
      <c r="E145" s="32"/>
      <c r="F145" s="32"/>
      <c r="G145" s="32"/>
      <c r="H145" s="32"/>
      <c r="I145" s="32"/>
      <c r="J145" s="10"/>
      <c r="K145" s="32"/>
      <c r="L145" s="32"/>
    </row>
    <row r="146" spans="1:12">
      <c r="A146" s="10"/>
      <c r="B146" s="10"/>
      <c r="C146" s="10"/>
      <c r="D146" s="10"/>
      <c r="E146" s="10"/>
      <c r="F146" s="10"/>
      <c r="G146" s="10"/>
      <c r="H146" s="10"/>
      <c r="I146" s="10"/>
      <c r="J146" s="10"/>
      <c r="K146" s="32"/>
      <c r="L146" s="32"/>
    </row>
    <row r="147" spans="1:12">
      <c r="A147" s="10"/>
      <c r="B147" s="10"/>
      <c r="C147" s="10"/>
      <c r="D147" s="10"/>
      <c r="E147" s="10"/>
      <c r="F147" s="10"/>
      <c r="G147" s="10"/>
      <c r="H147" s="10"/>
      <c r="I147" s="10"/>
      <c r="J147" s="10"/>
      <c r="K147" s="32"/>
      <c r="L147" s="32"/>
    </row>
    <row r="148" spans="1:12">
      <c r="A148" s="32"/>
      <c r="B148" s="10"/>
      <c r="C148" s="10"/>
      <c r="D148" s="10"/>
      <c r="E148" s="10"/>
      <c r="F148" s="10"/>
      <c r="G148" s="10"/>
      <c r="H148" s="10"/>
      <c r="I148" s="10"/>
      <c r="J148" s="10"/>
      <c r="K148" s="32"/>
      <c r="L148" s="32"/>
    </row>
    <row r="149" spans="1:12">
      <c r="A149" s="10"/>
      <c r="B149" s="10"/>
      <c r="C149" s="10"/>
      <c r="D149" s="10"/>
      <c r="E149" s="10"/>
      <c r="F149" s="10"/>
      <c r="G149" s="10"/>
      <c r="H149" s="10"/>
      <c r="I149" s="10"/>
      <c r="J149" s="10"/>
      <c r="K149" s="10"/>
      <c r="L149" s="10"/>
    </row>
    <row r="150" spans="1:12">
      <c r="A150" s="10"/>
      <c r="B150" s="10"/>
      <c r="C150" s="10"/>
      <c r="D150" s="10"/>
      <c r="E150" s="10"/>
      <c r="F150" s="10"/>
      <c r="G150" s="10"/>
      <c r="H150" s="10"/>
      <c r="I150" s="10"/>
      <c r="J150" s="10"/>
      <c r="K150" s="10"/>
      <c r="L150" s="10"/>
    </row>
    <row r="151" spans="1:12">
      <c r="A151" s="10"/>
      <c r="B151" s="10"/>
      <c r="C151" s="10"/>
      <c r="D151" s="10"/>
      <c r="E151" s="10"/>
      <c r="F151" s="10"/>
      <c r="G151" s="10"/>
      <c r="H151" s="10"/>
      <c r="I151" s="10"/>
      <c r="J151" s="10"/>
      <c r="K151" s="10"/>
      <c r="L151" s="10"/>
    </row>
    <row r="152" spans="1:12">
      <c r="A152" s="10"/>
      <c r="B152" s="10"/>
      <c r="C152" s="10"/>
      <c r="D152" s="10"/>
      <c r="E152" s="10"/>
      <c r="F152" s="10"/>
      <c r="G152" s="10"/>
      <c r="H152" s="10"/>
      <c r="I152" s="10"/>
      <c r="J152" s="10"/>
      <c r="K152" s="10"/>
      <c r="L152" s="10"/>
    </row>
    <row r="153" spans="1:12">
      <c r="A153" s="10"/>
      <c r="B153" s="10"/>
      <c r="C153" s="10"/>
      <c r="D153" s="10"/>
      <c r="E153" s="10"/>
      <c r="F153" s="10"/>
      <c r="G153" s="10"/>
      <c r="H153" s="10"/>
      <c r="I153" s="10"/>
      <c r="J153" s="10"/>
      <c r="K153" s="10"/>
      <c r="L153" s="10"/>
    </row>
    <row r="154" spans="1:12">
      <c r="A154" s="10"/>
      <c r="B154" s="10"/>
      <c r="C154" s="10"/>
      <c r="D154" s="10"/>
      <c r="E154" s="10"/>
      <c r="F154" s="10"/>
      <c r="G154" s="10"/>
      <c r="H154" s="10"/>
      <c r="I154" s="10"/>
      <c r="J154" s="10"/>
      <c r="K154" s="10"/>
      <c r="L154" s="10"/>
    </row>
    <row r="155" spans="1:12">
      <c r="A155" s="10"/>
      <c r="B155" s="10"/>
      <c r="C155" s="10"/>
      <c r="D155" s="10"/>
      <c r="E155" s="10"/>
      <c r="F155" s="10"/>
      <c r="G155" s="10"/>
      <c r="H155" s="10"/>
      <c r="I155" s="10"/>
      <c r="J155" s="10"/>
      <c r="K155" s="10"/>
      <c r="L155" s="10"/>
    </row>
    <row r="156" spans="1:12">
      <c r="A156" s="10"/>
      <c r="B156" s="10"/>
      <c r="C156" s="10"/>
      <c r="D156" s="10"/>
      <c r="E156" s="10"/>
      <c r="F156" s="10"/>
      <c r="G156" s="10"/>
      <c r="H156" s="10"/>
      <c r="I156" s="10"/>
      <c r="J156" s="10"/>
      <c r="K156" s="10"/>
      <c r="L156" s="10"/>
    </row>
    <row r="157" spans="1:12">
      <c r="A157" s="10"/>
      <c r="B157" s="10"/>
      <c r="C157" s="10"/>
      <c r="D157" s="10"/>
      <c r="E157" s="10"/>
      <c r="F157" s="10"/>
      <c r="G157" s="10"/>
      <c r="H157" s="10"/>
      <c r="I157" s="10"/>
      <c r="J157" s="10"/>
      <c r="K157" s="10"/>
      <c r="L157" s="10"/>
    </row>
    <row r="158" spans="1:12">
      <c r="A158" s="10"/>
      <c r="B158" s="10"/>
      <c r="C158" s="10"/>
      <c r="D158" s="10"/>
      <c r="E158" s="10"/>
      <c r="F158" s="10"/>
      <c r="G158" s="10"/>
      <c r="H158" s="10"/>
      <c r="I158" s="10"/>
      <c r="J158" s="10"/>
      <c r="K158" s="10"/>
      <c r="L158" s="10"/>
    </row>
    <row r="159" spans="1:12">
      <c r="A159" s="10"/>
      <c r="B159" s="10"/>
      <c r="C159" s="10"/>
      <c r="D159" s="10"/>
      <c r="E159" s="10"/>
      <c r="F159" s="10"/>
      <c r="G159" s="10"/>
      <c r="H159" s="10"/>
      <c r="I159" s="10"/>
      <c r="J159" s="10"/>
      <c r="K159" s="10"/>
      <c r="L159" s="10"/>
    </row>
    <row r="160" spans="1:12">
      <c r="A160" s="10"/>
      <c r="B160" s="10"/>
      <c r="C160" s="10"/>
      <c r="D160" s="10"/>
      <c r="E160" s="10"/>
      <c r="F160" s="10"/>
      <c r="G160" s="10"/>
      <c r="H160" s="10"/>
      <c r="I160" s="10"/>
      <c r="J160" s="10"/>
      <c r="K160" s="10"/>
      <c r="L160" s="10"/>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50"/>
  <sheetViews>
    <sheetView topLeftCell="A7" workbookViewId="0">
      <selection activeCell="C24" sqref="C24"/>
    </sheetView>
  </sheetViews>
  <sheetFormatPr baseColWidth="10" defaultColWidth="11" defaultRowHeight="15" x14ac:dyDescent="0"/>
  <cols>
    <col min="1" max="1" width="24.1640625" customWidth="1"/>
    <col min="3" max="3" width="11" customWidth="1"/>
    <col min="5" max="5" width="12.6640625" customWidth="1"/>
    <col min="7" max="7" width="18.33203125" customWidth="1"/>
    <col min="8" max="8" width="14.1640625" customWidth="1"/>
    <col min="9" max="9" width="15.33203125" customWidth="1"/>
    <col min="10" max="10" width="16.83203125" customWidth="1"/>
  </cols>
  <sheetData>
    <row r="1" spans="1:10">
      <c r="C1" s="81"/>
      <c r="D1" t="s">
        <v>181</v>
      </c>
    </row>
    <row r="2" spans="1:10">
      <c r="A2" t="s">
        <v>27</v>
      </c>
      <c r="C2" s="79"/>
      <c r="D2" t="s">
        <v>182</v>
      </c>
    </row>
    <row r="4" spans="1:10">
      <c r="A4" t="s">
        <v>202</v>
      </c>
    </row>
    <row r="5" spans="1:10">
      <c r="A5" s="45"/>
    </row>
    <row r="6" spans="1:10">
      <c r="A6" s="45"/>
    </row>
    <row r="8" spans="1:10">
      <c r="A8" t="s">
        <v>3</v>
      </c>
    </row>
    <row r="9" spans="1:10">
      <c r="A9" s="3"/>
      <c r="C9" s="7"/>
      <c r="D9" s="7"/>
      <c r="E9" s="7"/>
      <c r="F9" s="7"/>
      <c r="G9" s="7"/>
      <c r="H9" s="13"/>
      <c r="I9" s="12"/>
      <c r="J9" s="11"/>
    </row>
    <row r="10" spans="1:10">
      <c r="A10" t="s">
        <v>43</v>
      </c>
    </row>
    <row r="11" spans="1:10" ht="46" thickBot="1">
      <c r="A11" s="55" t="s">
        <v>18</v>
      </c>
      <c r="B11" s="56" t="s">
        <v>109</v>
      </c>
      <c r="C11" s="56" t="s">
        <v>110</v>
      </c>
      <c r="D11" s="56" t="s">
        <v>111</v>
      </c>
      <c r="E11" s="56" t="s">
        <v>115</v>
      </c>
    </row>
    <row r="12" spans="1:10" ht="16" thickTop="1">
      <c r="A12" s="103" t="str">
        <f>A32</f>
        <v>Tethya-cho-RR-11</v>
      </c>
      <c r="B12" s="81">
        <f>B39</f>
        <v>4.5840000000000005</v>
      </c>
      <c r="C12" s="81">
        <f>C39</f>
        <v>4.5840000000000005</v>
      </c>
      <c r="D12" s="81">
        <f>D39</f>
        <v>126.78696060573418</v>
      </c>
      <c r="E12" s="86">
        <f>G39</f>
        <v>8.9446291564784044</v>
      </c>
    </row>
    <row r="13" spans="1:10">
      <c r="A13" s="81" t="str">
        <f>A43</f>
        <v>Tethya-RR-cho-C-16</v>
      </c>
      <c r="B13" s="81">
        <f>B50</f>
        <v>4.4504285714285716</v>
      </c>
      <c r="C13" s="81">
        <f t="shared" ref="C13:D13" si="0">C50</f>
        <v>4.4504285714285716</v>
      </c>
      <c r="D13" s="81">
        <f t="shared" si="0"/>
        <v>111.97257860040351</v>
      </c>
      <c r="E13" s="86">
        <f>G50</f>
        <v>7.8994968133177412</v>
      </c>
    </row>
    <row r="14" spans="1:10">
      <c r="A14" s="104"/>
      <c r="B14" s="86"/>
      <c r="C14" s="86"/>
      <c r="D14" s="86"/>
      <c r="E14" s="86"/>
    </row>
    <row r="15" spans="1:10">
      <c r="A15" s="86"/>
      <c r="B15" s="86"/>
      <c r="C15" s="86"/>
      <c r="D15" s="86"/>
      <c r="E15" s="86"/>
    </row>
    <row r="16" spans="1:10">
      <c r="A16" t="s">
        <v>106</v>
      </c>
      <c r="B16" s="79">
        <f>AVERAGE(B12:B15)</f>
        <v>4.5172142857142861</v>
      </c>
      <c r="C16" s="79">
        <f>AVERAGE(C12:C15)</f>
        <v>4.5172142857142861</v>
      </c>
      <c r="D16" s="79">
        <f>AVERAGE(D12:D15)</f>
        <v>119.37976960306884</v>
      </c>
      <c r="E16" s="79">
        <f>AVERAGE(E12:E15)</f>
        <v>8.4220629848980728</v>
      </c>
    </row>
    <row r="17" spans="1:16">
      <c r="B17" s="16"/>
      <c r="C17" s="16"/>
      <c r="D17" s="16"/>
      <c r="E17" s="16"/>
      <c r="F17" s="16"/>
      <c r="G17" s="16"/>
      <c r="H17" s="16"/>
      <c r="I17" s="16"/>
      <c r="J17" s="16"/>
      <c r="K17" s="16"/>
      <c r="L17" s="16"/>
      <c r="M17" s="16"/>
      <c r="N17" s="16"/>
      <c r="O17" s="16"/>
      <c r="P17" s="16"/>
    </row>
    <row r="18" spans="1:16">
      <c r="B18" s="16"/>
      <c r="C18" s="16"/>
      <c r="D18" s="16"/>
      <c r="E18" s="16"/>
      <c r="F18" s="16"/>
      <c r="G18" s="16"/>
      <c r="H18" s="16"/>
      <c r="I18" s="16"/>
      <c r="J18" s="16"/>
      <c r="K18" s="16"/>
      <c r="L18" s="16"/>
      <c r="M18" s="16"/>
      <c r="N18" s="16"/>
      <c r="O18" s="16"/>
      <c r="P18" s="16"/>
    </row>
    <row r="19" spans="1:16">
      <c r="A19" t="s">
        <v>156</v>
      </c>
      <c r="B19" s="80">
        <f>Apopyle!F14</f>
        <v>2.068032375280719</v>
      </c>
      <c r="C19" s="16"/>
      <c r="D19" s="16"/>
      <c r="E19" s="16"/>
      <c r="F19" s="16"/>
      <c r="G19" s="16"/>
      <c r="H19" s="16"/>
      <c r="I19" s="16"/>
      <c r="J19" s="16"/>
      <c r="K19" s="16"/>
      <c r="L19" s="16"/>
      <c r="M19" s="16"/>
      <c r="N19" s="16"/>
      <c r="O19" s="16"/>
      <c r="P19" s="16"/>
    </row>
    <row r="20" spans="1:16">
      <c r="A20" t="s">
        <v>157</v>
      </c>
      <c r="B20" s="79">
        <f>'Choanocyte Chambers'!M13</f>
        <v>1417.4646973922343</v>
      </c>
      <c r="C20" s="16"/>
      <c r="D20" s="16"/>
      <c r="E20" s="16"/>
      <c r="F20" s="16"/>
      <c r="G20" s="16"/>
      <c r="H20" s="16"/>
      <c r="I20" s="16"/>
      <c r="J20" s="16"/>
      <c r="K20" s="16"/>
      <c r="L20" s="16"/>
      <c r="M20" s="16"/>
      <c r="N20" s="16"/>
      <c r="O20" s="16"/>
      <c r="P20" s="16"/>
    </row>
    <row r="21" spans="1:16">
      <c r="A21" t="s">
        <v>159</v>
      </c>
      <c r="B21" s="80">
        <f>B20-B19</f>
        <v>1415.3966650169536</v>
      </c>
      <c r="C21" s="16" t="s">
        <v>158</v>
      </c>
      <c r="D21" s="16"/>
      <c r="E21" s="16"/>
      <c r="F21" s="16"/>
      <c r="G21" s="16"/>
      <c r="H21" s="16"/>
      <c r="I21" s="16"/>
      <c r="J21" s="16"/>
      <c r="K21" s="16"/>
      <c r="L21" s="16"/>
      <c r="M21" s="16"/>
      <c r="N21" s="16"/>
      <c r="O21" s="16"/>
      <c r="P21" s="16"/>
    </row>
    <row r="23" spans="1:16" ht="49">
      <c r="A23" s="59"/>
      <c r="B23" s="57" t="s">
        <v>116</v>
      </c>
      <c r="C23" s="57" t="s">
        <v>117</v>
      </c>
      <c r="D23" s="57" t="s">
        <v>118</v>
      </c>
      <c r="E23" s="58" t="s">
        <v>119</v>
      </c>
    </row>
    <row r="24" spans="1:16">
      <c r="A24" s="59"/>
      <c r="B24" s="101">
        <f>'Choanocyte Chambers'!G13</f>
        <v>14403.187311031927</v>
      </c>
      <c r="C24" s="101">
        <f>(E16/100)*B21</f>
        <v>119.20559861387461</v>
      </c>
      <c r="D24" s="102">
        <f>B24*C24</f>
        <v>1716940.5653593238</v>
      </c>
      <c r="E24" s="100">
        <f>D24/1000000</f>
        <v>1.7169405653593237</v>
      </c>
    </row>
    <row r="26" spans="1:16">
      <c r="D26" s="7"/>
    </row>
    <row r="27" spans="1:16">
      <c r="D27" s="7"/>
    </row>
    <row r="28" spans="1:16">
      <c r="D28" s="7"/>
    </row>
    <row r="29" spans="1:16">
      <c r="D29" s="7"/>
    </row>
    <row r="30" spans="1:16">
      <c r="D30" s="7"/>
    </row>
    <row r="31" spans="1:16" ht="61" thickBot="1">
      <c r="A31" s="42" t="s">
        <v>18</v>
      </c>
      <c r="B31" s="44" t="s">
        <v>109</v>
      </c>
      <c r="C31" s="44" t="s">
        <v>110</v>
      </c>
      <c r="D31" s="44" t="s">
        <v>111</v>
      </c>
      <c r="E31" s="44" t="s">
        <v>203</v>
      </c>
      <c r="F31" s="47" t="s">
        <v>204</v>
      </c>
      <c r="G31" s="44" t="s">
        <v>115</v>
      </c>
    </row>
    <row r="32" spans="1:16" ht="16" thickTop="1">
      <c r="A32" t="s">
        <v>205</v>
      </c>
      <c r="B32">
        <v>3.2949999999999999</v>
      </c>
      <c r="C32">
        <v>3.2949999999999999</v>
      </c>
      <c r="D32" s="79">
        <f>PI()*((B32/2)*(C32/2))</f>
        <v>8.5270874949601811</v>
      </c>
    </row>
    <row r="33" spans="1:8">
      <c r="B33">
        <v>2.8530000000000002</v>
      </c>
      <c r="C33">
        <v>2.8530000000000002</v>
      </c>
      <c r="D33" s="79">
        <f t="shared" ref="D33:D38" si="1">PI()*((B33/2)*(C33/2))</f>
        <v>6.3928339593733421</v>
      </c>
    </row>
    <row r="34" spans="1:8">
      <c r="B34">
        <v>6.9020000000000001</v>
      </c>
      <c r="C34">
        <v>6.9020000000000001</v>
      </c>
      <c r="D34" s="79">
        <f t="shared" si="1"/>
        <v>37.41448669025494</v>
      </c>
    </row>
    <row r="35" spans="1:8">
      <c r="B35">
        <v>3.6120000000000001</v>
      </c>
      <c r="C35">
        <v>3.6120000000000001</v>
      </c>
      <c r="D35" s="79">
        <f t="shared" si="1"/>
        <v>10.246731696284</v>
      </c>
      <c r="E35" s="7"/>
      <c r="F35" s="7"/>
      <c r="G35" s="7"/>
      <c r="H35" s="7"/>
    </row>
    <row r="36" spans="1:8">
      <c r="B36">
        <v>6.399</v>
      </c>
      <c r="C36">
        <v>6.399</v>
      </c>
      <c r="D36" s="79">
        <f t="shared" si="1"/>
        <v>32.159856461666159</v>
      </c>
      <c r="E36" s="7"/>
      <c r="F36" s="7"/>
      <c r="G36" s="7"/>
      <c r="H36" s="7"/>
    </row>
    <row r="37" spans="1:8">
      <c r="B37">
        <v>4.3419999999999996</v>
      </c>
      <c r="C37">
        <v>4.3419999999999996</v>
      </c>
      <c r="D37" s="79">
        <f t="shared" si="1"/>
        <v>14.807083300198208</v>
      </c>
      <c r="E37" s="7"/>
      <c r="F37" s="7"/>
      <c r="G37" s="7"/>
      <c r="H37" s="7"/>
    </row>
    <row r="38" spans="1:8">
      <c r="B38">
        <v>4.6849999999999996</v>
      </c>
      <c r="C38">
        <v>4.6849999999999996</v>
      </c>
      <c r="D38" s="79">
        <f t="shared" si="1"/>
        <v>17.238881002997353</v>
      </c>
      <c r="E38" s="46"/>
      <c r="F38" s="46"/>
      <c r="G38" s="46"/>
      <c r="H38" s="7"/>
    </row>
    <row r="39" spans="1:8">
      <c r="B39" s="83">
        <f>AVERAGE(B32:B38)</f>
        <v>4.5840000000000005</v>
      </c>
      <c r="C39" s="83">
        <f>AVERAGE(C32:C38)</f>
        <v>4.5840000000000005</v>
      </c>
      <c r="D39" s="82">
        <f>SUM(D32:D38)</f>
        <v>126.78696060573418</v>
      </c>
      <c r="E39" s="86">
        <v>1</v>
      </c>
      <c r="F39" s="79">
        <f>'Choanocyte Chambers'!$M$13</f>
        <v>1417.4646973922343</v>
      </c>
      <c r="G39" s="83">
        <f>((D39*E39)/F39)*100</f>
        <v>8.9446291564784044</v>
      </c>
      <c r="H39" s="7"/>
    </row>
    <row r="40" spans="1:8">
      <c r="B40" s="7"/>
      <c r="C40" s="7"/>
      <c r="D40" s="7"/>
      <c r="E40" s="7"/>
      <c r="F40" s="7"/>
      <c r="G40" s="7"/>
      <c r="H40" s="7"/>
    </row>
    <row r="41" spans="1:8">
      <c r="B41" s="7"/>
      <c r="C41" s="7"/>
      <c r="D41" s="7"/>
      <c r="E41" s="7"/>
      <c r="F41" s="7"/>
      <c r="G41" s="7"/>
      <c r="H41" s="7"/>
    </row>
    <row r="42" spans="1:8" ht="61" thickBot="1">
      <c r="A42" s="42" t="s">
        <v>18</v>
      </c>
      <c r="B42" s="44" t="s">
        <v>109</v>
      </c>
      <c r="C42" s="44" t="s">
        <v>110</v>
      </c>
      <c r="D42" s="44" t="s">
        <v>111</v>
      </c>
      <c r="E42" s="44" t="s">
        <v>203</v>
      </c>
      <c r="F42" s="47" t="s">
        <v>204</v>
      </c>
      <c r="G42" s="44" t="s">
        <v>115</v>
      </c>
      <c r="H42" s="7"/>
    </row>
    <row r="43" spans="1:8" ht="16" thickTop="1">
      <c r="A43" t="s">
        <v>206</v>
      </c>
      <c r="B43">
        <v>4.2389999999999999</v>
      </c>
      <c r="C43">
        <v>4.2389999999999999</v>
      </c>
      <c r="D43" s="79">
        <f>PI()*((B43/2)*(C43/2))</f>
        <v>14.112914631266518</v>
      </c>
      <c r="H43" s="7"/>
    </row>
    <row r="44" spans="1:8">
      <c r="B44">
        <v>4.6150000000000002</v>
      </c>
      <c r="C44">
        <v>4.6150000000000002</v>
      </c>
      <c r="D44" s="79">
        <f t="shared" ref="D44:D49" si="2">PI()*((B44/2)*(C44/2))</f>
        <v>16.727586798625619</v>
      </c>
    </row>
    <row r="45" spans="1:8">
      <c r="B45">
        <v>5.399</v>
      </c>
      <c r="C45">
        <v>5.399</v>
      </c>
      <c r="D45" s="79">
        <f t="shared" si="2"/>
        <v>22.893728929903062</v>
      </c>
    </row>
    <row r="46" spans="1:8">
      <c r="B46">
        <v>3.6739999999999999</v>
      </c>
      <c r="C46">
        <v>3.6739999999999999</v>
      </c>
      <c r="D46" s="79">
        <f t="shared" si="2"/>
        <v>10.601521179431854</v>
      </c>
      <c r="E46" s="7"/>
      <c r="F46" s="7"/>
      <c r="G46" s="7"/>
    </row>
    <row r="47" spans="1:8">
      <c r="B47">
        <v>3.3719999999999999</v>
      </c>
      <c r="C47">
        <v>3.3719999999999999</v>
      </c>
      <c r="D47" s="79">
        <f t="shared" si="2"/>
        <v>8.9302787107237318</v>
      </c>
      <c r="E47" s="7"/>
      <c r="F47" s="7"/>
      <c r="G47" s="7"/>
    </row>
    <row r="48" spans="1:8">
      <c r="B48">
        <v>5.532</v>
      </c>
      <c r="C48">
        <v>5.532</v>
      </c>
      <c r="D48" s="79">
        <f t="shared" si="2"/>
        <v>24.035558844008033</v>
      </c>
      <c r="E48" s="7"/>
      <c r="F48" s="7"/>
      <c r="G48" s="7"/>
    </row>
    <row r="49" spans="2:7">
      <c r="B49">
        <v>4.3220000000000001</v>
      </c>
      <c r="C49">
        <v>4.3220000000000001</v>
      </c>
      <c r="D49" s="79">
        <f t="shared" si="2"/>
        <v>14.670989506444702</v>
      </c>
      <c r="E49" s="46"/>
      <c r="F49" s="46"/>
      <c r="G49" s="46"/>
    </row>
    <row r="50" spans="2:7">
      <c r="B50" s="83">
        <f>AVERAGE(B43:B49)</f>
        <v>4.4504285714285716</v>
      </c>
      <c r="C50" s="83">
        <f>AVERAGE(C43:C49)</f>
        <v>4.4504285714285716</v>
      </c>
      <c r="D50" s="82">
        <f>SUM(D43:D49)</f>
        <v>111.97257860040351</v>
      </c>
      <c r="E50" s="86">
        <v>1</v>
      </c>
      <c r="F50" s="79">
        <f>'Choanocyte Chambers'!$M$13</f>
        <v>1417.4646973922343</v>
      </c>
      <c r="G50" s="83">
        <f>((D50*E50)/F50)*100</f>
        <v>7.8994968133177412</v>
      </c>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T1048530"/>
  <sheetViews>
    <sheetView workbookViewId="0">
      <selection activeCell="E63" sqref="E63"/>
    </sheetView>
  </sheetViews>
  <sheetFormatPr baseColWidth="10" defaultColWidth="11" defaultRowHeight="15" x14ac:dyDescent="0.75"/>
  <cols>
    <col min="1" max="1" width="21.83203125" customWidth="1"/>
    <col min="2" max="2" width="13.5" customWidth="1"/>
    <col min="3" max="3" width="13.1640625" customWidth="1"/>
    <col min="4" max="4" width="13" customWidth="1"/>
    <col min="5" max="5" width="14.1640625" customWidth="1"/>
    <col min="6" max="6" width="16.6640625" customWidth="1"/>
    <col min="7" max="7" width="13.83203125" customWidth="1"/>
    <col min="8" max="8" width="13.1640625" customWidth="1"/>
    <col min="9" max="9" width="14" customWidth="1"/>
    <col min="10" max="10" width="14.1640625" customWidth="1"/>
    <col min="11" max="11" width="14" customWidth="1"/>
    <col min="12" max="13" width="15.5" customWidth="1"/>
    <col min="14" max="16" width="15" customWidth="1"/>
    <col min="17" max="17" width="16.6640625" customWidth="1"/>
    <col min="18" max="18" width="14.83203125" customWidth="1"/>
    <col min="19" max="19" width="14.5" customWidth="1"/>
    <col min="20" max="20" width="17" customWidth="1"/>
  </cols>
  <sheetData>
    <row r="1" spans="1:20">
      <c r="C1" s="137"/>
      <c r="D1" s="3" t="s">
        <v>181</v>
      </c>
    </row>
    <row r="2" spans="1:20">
      <c r="C2" s="138"/>
      <c r="D2" s="3" t="s">
        <v>182</v>
      </c>
    </row>
    <row r="4" spans="1:20">
      <c r="A4" t="s">
        <v>207</v>
      </c>
    </row>
    <row r="5" spans="1:20">
      <c r="A5" t="s">
        <v>208</v>
      </c>
    </row>
    <row r="6" spans="1:20">
      <c r="A6" t="s">
        <v>164</v>
      </c>
    </row>
    <row r="7" spans="1:20">
      <c r="A7" t="s">
        <v>165</v>
      </c>
    </row>
    <row r="11" spans="1:20">
      <c r="A11" t="s">
        <v>28</v>
      </c>
    </row>
    <row r="13" spans="1:20">
      <c r="A13" t="s">
        <v>3</v>
      </c>
    </row>
    <row r="15" spans="1:20" ht="61" thickBot="1">
      <c r="A15" s="8" t="s">
        <v>18</v>
      </c>
      <c r="B15" s="8" t="s">
        <v>29</v>
      </c>
      <c r="C15" s="8" t="s">
        <v>30</v>
      </c>
      <c r="D15" s="8" t="s">
        <v>31</v>
      </c>
      <c r="E15" s="8" t="s">
        <v>32</v>
      </c>
      <c r="F15" s="8" t="s">
        <v>166</v>
      </c>
      <c r="G15" s="8" t="s">
        <v>33</v>
      </c>
      <c r="H15" s="8" t="s">
        <v>34</v>
      </c>
      <c r="I15" s="8" t="s">
        <v>39</v>
      </c>
      <c r="J15" s="8" t="s">
        <v>35</v>
      </c>
      <c r="K15" s="8" t="s">
        <v>36</v>
      </c>
      <c r="L15" s="8" t="s">
        <v>37</v>
      </c>
      <c r="M15" s="8" t="s">
        <v>38</v>
      </c>
      <c r="N15" s="8" t="s">
        <v>40</v>
      </c>
      <c r="O15" s="8" t="s">
        <v>41</v>
      </c>
      <c r="P15" s="28"/>
      <c r="Q15" s="28"/>
      <c r="R15" s="28"/>
      <c r="S15" s="28"/>
      <c r="T15" s="28"/>
    </row>
    <row r="16" spans="1:20" ht="16" thickTop="1">
      <c r="A16" s="5"/>
      <c r="B16" s="79">
        <f>B63</f>
        <v>38.666666666666664</v>
      </c>
      <c r="C16" s="79">
        <f t="shared" ref="C16:I16" si="0">C63</f>
        <v>8.5761904761904775E-2</v>
      </c>
      <c r="D16" s="79">
        <f t="shared" si="0"/>
        <v>6.621052631578947E-2</v>
      </c>
      <c r="E16" s="79">
        <f t="shared" si="0"/>
        <v>3.3879999999999999</v>
      </c>
      <c r="F16" s="79">
        <f t="shared" si="0"/>
        <v>5.8999999999999997E-2</v>
      </c>
      <c r="G16" s="79">
        <f t="shared" si="0"/>
        <v>0.22432126315789469</v>
      </c>
      <c r="H16" s="79">
        <f t="shared" si="0"/>
        <v>8.6737555087719276</v>
      </c>
      <c r="I16" s="79">
        <f t="shared" si="0"/>
        <v>99</v>
      </c>
      <c r="J16" s="79">
        <f>J63</f>
        <v>858.70179536842079</v>
      </c>
      <c r="K16" s="79">
        <f>'Choanocyte Chambers'!G13</f>
        <v>14403.187311031927</v>
      </c>
      <c r="L16" s="79">
        <f>J16*K16</f>
        <v>12368042.803010773</v>
      </c>
      <c r="M16" s="79">
        <f>L16/1000000</f>
        <v>12.368042803010773</v>
      </c>
      <c r="N16" s="79">
        <f>N63</f>
        <v>2.2294166666666668</v>
      </c>
      <c r="O16" s="79">
        <f>O63</f>
        <v>1.5851666666666666</v>
      </c>
      <c r="P16" s="10"/>
      <c r="Q16" s="10"/>
      <c r="R16" s="10"/>
      <c r="S16" s="10"/>
      <c r="T16" s="10"/>
    </row>
    <row r="17" spans="1:20">
      <c r="A17" s="5"/>
      <c r="B17" s="5"/>
      <c r="C17" s="5"/>
      <c r="D17" s="5"/>
      <c r="E17" s="5"/>
      <c r="F17" s="5"/>
      <c r="G17" s="5"/>
      <c r="H17" s="5"/>
      <c r="I17" s="5"/>
      <c r="J17" s="5"/>
      <c r="K17" s="5"/>
      <c r="L17" s="5"/>
      <c r="M17" s="5"/>
      <c r="N17" s="5"/>
      <c r="O17" s="5"/>
      <c r="P17" s="10"/>
      <c r="Q17" s="10"/>
      <c r="R17" s="10"/>
      <c r="S17" s="10"/>
      <c r="T17" s="10"/>
    </row>
    <row r="18" spans="1:20" ht="75">
      <c r="C18" s="2" t="s">
        <v>154</v>
      </c>
      <c r="D18" s="79">
        <f>(C16+D16)/1000</f>
        <v>1.5197243107769427E-4</v>
      </c>
      <c r="P18" s="10"/>
      <c r="Q18" s="10"/>
      <c r="R18" s="10"/>
      <c r="S18" s="10"/>
      <c r="T18" s="10"/>
    </row>
    <row r="19" spans="1:20">
      <c r="C19" s="2"/>
      <c r="P19" s="10"/>
      <c r="Q19" s="10"/>
      <c r="R19" s="10"/>
      <c r="S19" s="10"/>
      <c r="T19" s="10"/>
    </row>
    <row r="20" spans="1:20">
      <c r="A20" s="75" t="s">
        <v>174</v>
      </c>
      <c r="B20" s="76"/>
      <c r="C20" s="76"/>
      <c r="D20" s="76"/>
      <c r="E20" s="76"/>
      <c r="F20" s="76"/>
      <c r="G20" s="76"/>
      <c r="P20" s="10"/>
      <c r="Q20" s="10"/>
      <c r="R20" s="10"/>
      <c r="S20" s="10"/>
      <c r="T20" s="10"/>
    </row>
    <row r="21" spans="1:20" ht="45">
      <c r="A21" s="77"/>
      <c r="B21" s="2" t="s">
        <v>19</v>
      </c>
      <c r="C21" s="2" t="s">
        <v>175</v>
      </c>
      <c r="D21" s="2" t="s">
        <v>141</v>
      </c>
      <c r="E21" s="2" t="s">
        <v>176</v>
      </c>
      <c r="F21" s="2" t="s">
        <v>177</v>
      </c>
      <c r="G21" s="2" t="s">
        <v>178</v>
      </c>
      <c r="P21" s="10"/>
      <c r="Q21" s="10"/>
      <c r="R21" s="10"/>
      <c r="S21" s="10"/>
      <c r="T21" s="10"/>
    </row>
    <row r="22" spans="1:20">
      <c r="A22" s="78" t="s">
        <v>179</v>
      </c>
      <c r="B22" s="105">
        <f>O16</f>
        <v>1.5851666666666666</v>
      </c>
      <c r="C22" s="106">
        <f>N16</f>
        <v>2.2294166666666668</v>
      </c>
      <c r="D22" s="79">
        <f>B22*C22</f>
        <v>3.5339969861111111</v>
      </c>
      <c r="E22" s="107">
        <f>D22*I16</f>
        <v>349.86570162499999</v>
      </c>
      <c r="F22" s="79">
        <f>E22*K16</f>
        <v>5039181.2342104819</v>
      </c>
      <c r="G22" s="100">
        <f>F22/1000000</f>
        <v>5.0391812342104823</v>
      </c>
      <c r="P22" s="10"/>
      <c r="Q22" s="10"/>
      <c r="R22" s="10"/>
      <c r="S22" s="10"/>
      <c r="T22" s="10"/>
    </row>
    <row r="23" spans="1:20">
      <c r="A23" s="78" t="s">
        <v>180</v>
      </c>
      <c r="B23" s="83">
        <f>N16</f>
        <v>2.2294166666666668</v>
      </c>
      <c r="C23" s="83">
        <f>E16</f>
        <v>3.3879999999999999</v>
      </c>
      <c r="D23" s="79">
        <f>B23*C23</f>
        <v>7.553263666666667</v>
      </c>
      <c r="E23" s="107">
        <f>D23*I16</f>
        <v>747.77310299999999</v>
      </c>
      <c r="F23" s="79">
        <f>E23*K16</f>
        <v>10770316.06866057</v>
      </c>
      <c r="G23" s="100">
        <f>F23/1000000</f>
        <v>10.77031606866057</v>
      </c>
      <c r="P23" s="10"/>
      <c r="Q23" s="10"/>
      <c r="R23" s="10"/>
      <c r="S23" s="10"/>
      <c r="T23" s="10"/>
    </row>
    <row r="24" spans="1:20">
      <c r="A24" s="16"/>
      <c r="B24" s="10"/>
      <c r="C24" s="10"/>
      <c r="D24" s="16"/>
      <c r="E24" s="69"/>
      <c r="F24" s="16"/>
      <c r="G24" s="35"/>
      <c r="P24" s="10"/>
      <c r="Q24" s="10"/>
      <c r="R24" s="10"/>
      <c r="S24" s="10"/>
      <c r="T24" s="10"/>
    </row>
    <row r="25" spans="1:20">
      <c r="A25" s="16"/>
      <c r="B25" s="10"/>
      <c r="C25" s="10"/>
      <c r="D25" s="16"/>
      <c r="E25" s="69"/>
      <c r="F25" s="16"/>
      <c r="G25" s="35"/>
      <c r="P25" s="10"/>
      <c r="Q25" s="10"/>
      <c r="R25" s="10"/>
      <c r="S25" s="10"/>
      <c r="T25" s="10"/>
    </row>
    <row r="26" spans="1:20" ht="60">
      <c r="A26" s="2" t="s">
        <v>18</v>
      </c>
      <c r="B26" s="62" t="s">
        <v>29</v>
      </c>
      <c r="C26" s="62" t="s">
        <v>30</v>
      </c>
      <c r="D26" s="62" t="s">
        <v>31</v>
      </c>
      <c r="E26" s="62" t="s">
        <v>32</v>
      </c>
      <c r="F26" s="62" t="s">
        <v>166</v>
      </c>
      <c r="G26" s="2" t="s">
        <v>33</v>
      </c>
      <c r="H26" s="2" t="s">
        <v>34</v>
      </c>
      <c r="I26" s="62" t="s">
        <v>39</v>
      </c>
      <c r="J26" s="2" t="s">
        <v>35</v>
      </c>
      <c r="K26" s="2" t="s">
        <v>36</v>
      </c>
      <c r="L26" s="2" t="s">
        <v>37</v>
      </c>
      <c r="M26" s="2" t="s">
        <v>38</v>
      </c>
      <c r="N26" s="62" t="s">
        <v>40</v>
      </c>
      <c r="O26" s="62" t="s">
        <v>41</v>
      </c>
      <c r="P26" s="28"/>
      <c r="Q26" s="28"/>
      <c r="R26" s="28"/>
      <c r="S26" s="28"/>
      <c r="T26" s="28"/>
    </row>
    <row r="27" spans="1:20">
      <c r="A27" s="6" t="s">
        <v>209</v>
      </c>
      <c r="B27" s="108"/>
      <c r="C27" s="142">
        <v>6.5000000000000002E-2</v>
      </c>
      <c r="D27" s="6">
        <v>3.6999999999999998E-2</v>
      </c>
      <c r="E27" s="108"/>
      <c r="F27" s="6">
        <v>6.3E-2</v>
      </c>
      <c r="G27" s="6"/>
      <c r="H27" s="6"/>
      <c r="I27" s="108"/>
      <c r="J27" s="6"/>
      <c r="K27" s="6"/>
      <c r="L27" s="6"/>
      <c r="M27" s="6"/>
      <c r="N27" s="108"/>
      <c r="O27" s="108"/>
    </row>
    <row r="28" spans="1:20">
      <c r="A28" s="7"/>
      <c r="B28" s="86"/>
      <c r="C28" s="142">
        <v>8.3000000000000004E-2</v>
      </c>
      <c r="D28" s="7">
        <v>3.1E-2</v>
      </c>
      <c r="E28" s="86"/>
      <c r="F28" s="7">
        <v>6.4000000000000001E-2</v>
      </c>
      <c r="G28" s="7"/>
      <c r="H28" s="7"/>
      <c r="I28" s="86"/>
      <c r="J28" s="7"/>
      <c r="K28" s="7"/>
      <c r="L28" s="7"/>
      <c r="M28" s="7"/>
      <c r="N28" s="86"/>
      <c r="O28" s="86"/>
      <c r="R28" s="60"/>
      <c r="S28" s="60"/>
    </row>
    <row r="29" spans="1:20">
      <c r="A29" s="7"/>
      <c r="B29" s="86"/>
      <c r="C29" s="142">
        <v>7.6999999999999999E-2</v>
      </c>
      <c r="D29" s="86"/>
      <c r="E29" s="86"/>
      <c r="F29" s="7">
        <v>5.2999999999999999E-2</v>
      </c>
      <c r="G29" s="7"/>
      <c r="H29" s="7"/>
      <c r="I29" s="86"/>
      <c r="J29" s="7"/>
      <c r="K29" s="7"/>
      <c r="L29" s="7"/>
      <c r="M29" s="7"/>
      <c r="N29" s="86"/>
      <c r="O29" s="86"/>
      <c r="Q29" s="60"/>
      <c r="R29" s="60"/>
      <c r="S29" s="60"/>
    </row>
    <row r="30" spans="1:20">
      <c r="A30" s="46"/>
      <c r="B30" s="89"/>
      <c r="C30" s="143">
        <v>0.08</v>
      </c>
      <c r="D30" s="89"/>
      <c r="E30" s="89"/>
      <c r="F30" s="46">
        <v>5.6000000000000001E-2</v>
      </c>
      <c r="G30" s="46"/>
      <c r="H30" s="46"/>
      <c r="I30" s="89"/>
      <c r="J30" s="46"/>
      <c r="K30" s="46"/>
      <c r="L30" s="46"/>
      <c r="M30" s="46"/>
      <c r="N30" s="89"/>
      <c r="O30" s="89"/>
      <c r="Q30" s="60"/>
      <c r="S30" s="60"/>
    </row>
    <row r="31" spans="1:20">
      <c r="A31" s="7" t="s">
        <v>210</v>
      </c>
      <c r="B31" s="86"/>
      <c r="C31" s="86"/>
      <c r="D31" s="86"/>
      <c r="E31" s="86"/>
      <c r="F31" s="86"/>
      <c r="G31" s="7"/>
      <c r="H31" s="7"/>
      <c r="I31" s="86"/>
      <c r="J31" s="7"/>
      <c r="K31" s="7"/>
      <c r="L31" s="7"/>
      <c r="M31" s="7"/>
      <c r="N31">
        <v>2.2650000000000001</v>
      </c>
      <c r="O31">
        <v>1.012</v>
      </c>
      <c r="Q31" s="60"/>
      <c r="S31" s="60"/>
    </row>
    <row r="32" spans="1:20">
      <c r="A32" s="7"/>
      <c r="B32" s="86"/>
      <c r="C32" s="86"/>
      <c r="D32" s="86"/>
      <c r="E32" s="86"/>
      <c r="F32" s="86"/>
      <c r="G32" s="7"/>
      <c r="H32" s="7"/>
      <c r="I32" s="86"/>
      <c r="J32" s="7"/>
      <c r="K32" s="7"/>
      <c r="L32" s="7"/>
      <c r="M32" s="7"/>
      <c r="N32">
        <v>2.1659999999999999</v>
      </c>
      <c r="O32">
        <v>1.022</v>
      </c>
      <c r="Q32" s="60"/>
    </row>
    <row r="33" spans="1:17">
      <c r="A33" s="46"/>
      <c r="B33" s="89"/>
      <c r="C33" s="89"/>
      <c r="D33" s="89"/>
      <c r="E33" s="89"/>
      <c r="F33" s="89"/>
      <c r="G33" s="46"/>
      <c r="H33" s="46"/>
      <c r="I33" s="89"/>
      <c r="J33" s="46"/>
      <c r="K33" s="46"/>
      <c r="L33" s="46"/>
      <c r="M33" s="46"/>
      <c r="N33" s="46">
        <v>2.4830000000000001</v>
      </c>
      <c r="O33" s="46">
        <v>0.74399999999999999</v>
      </c>
    </row>
    <row r="34" spans="1:17">
      <c r="A34" s="7" t="s">
        <v>211</v>
      </c>
      <c r="B34" s="86">
        <v>37</v>
      </c>
      <c r="C34" s="7">
        <v>8.7999999999999995E-2</v>
      </c>
      <c r="D34" s="7">
        <v>9.0999999999999998E-2</v>
      </c>
      <c r="E34" s="86"/>
      <c r="F34" s="86"/>
      <c r="G34" s="7"/>
      <c r="H34" s="7"/>
      <c r="I34" s="86"/>
      <c r="J34" s="7"/>
      <c r="K34" s="140"/>
      <c r="L34" s="7"/>
      <c r="M34" s="7"/>
      <c r="N34">
        <v>2.0219999999999998</v>
      </c>
      <c r="O34">
        <v>1.06</v>
      </c>
    </row>
    <row r="35" spans="1:17">
      <c r="A35" s="7"/>
      <c r="B35" s="86">
        <v>39</v>
      </c>
      <c r="C35" s="7">
        <v>9.7000000000000003E-2</v>
      </c>
      <c r="D35" s="7">
        <v>7.9000000000000001E-2</v>
      </c>
      <c r="E35" s="86"/>
      <c r="F35" s="86"/>
      <c r="G35" s="7"/>
      <c r="H35" s="7"/>
      <c r="I35" s="86"/>
      <c r="J35" s="7"/>
      <c r="K35" s="140"/>
      <c r="L35" s="7"/>
      <c r="M35" s="7"/>
      <c r="N35">
        <v>2.4780000000000002</v>
      </c>
      <c r="O35" s="86"/>
    </row>
    <row r="36" spans="1:17">
      <c r="A36" s="7"/>
      <c r="B36" s="86"/>
      <c r="C36" s="7">
        <v>9.1999999999999998E-2</v>
      </c>
      <c r="D36" s="7">
        <v>5.8999999999999997E-2</v>
      </c>
      <c r="E36" s="86"/>
      <c r="F36" s="86"/>
      <c r="G36" s="7"/>
      <c r="H36" s="7"/>
      <c r="I36" s="86"/>
      <c r="J36" s="7"/>
      <c r="K36" s="140"/>
      <c r="L36" s="7"/>
      <c r="M36" s="7"/>
      <c r="N36" s="86"/>
      <c r="O36" s="86"/>
    </row>
    <row r="37" spans="1:17">
      <c r="A37" s="7"/>
      <c r="B37" s="86"/>
      <c r="C37" s="7">
        <v>6.9000000000000006E-2</v>
      </c>
      <c r="D37" s="7">
        <v>6.7000000000000004E-2</v>
      </c>
      <c r="E37" s="86"/>
      <c r="F37" s="86"/>
      <c r="G37" s="140"/>
      <c r="H37" s="7"/>
      <c r="I37" s="86"/>
      <c r="J37" s="7"/>
      <c r="K37" s="140"/>
      <c r="L37" s="7"/>
      <c r="M37" s="7"/>
      <c r="N37" s="86"/>
      <c r="O37" s="86"/>
    </row>
    <row r="38" spans="1:17">
      <c r="A38" s="7"/>
      <c r="B38" s="86"/>
      <c r="C38" s="7">
        <v>9.6000000000000002E-2</v>
      </c>
      <c r="D38" s="7">
        <v>7.0999999999999994E-2</v>
      </c>
      <c r="E38" s="86"/>
      <c r="F38" s="86"/>
      <c r="G38" s="140"/>
      <c r="H38" s="7"/>
      <c r="I38" s="86"/>
      <c r="J38" s="7"/>
      <c r="K38" s="140"/>
      <c r="L38" s="7"/>
      <c r="M38" s="7"/>
      <c r="N38" s="86"/>
      <c r="O38" s="86"/>
    </row>
    <row r="39" spans="1:17">
      <c r="A39" s="7"/>
      <c r="B39" s="86"/>
      <c r="C39" s="7">
        <v>9.2999999999999999E-2</v>
      </c>
      <c r="D39" s="7">
        <v>4.5999999999999999E-2</v>
      </c>
      <c r="E39" s="86"/>
      <c r="F39" s="86"/>
      <c r="G39" s="140"/>
      <c r="H39" s="7"/>
      <c r="I39" s="86"/>
      <c r="J39" s="7"/>
      <c r="K39" s="140"/>
      <c r="L39" s="7"/>
      <c r="M39" s="7"/>
      <c r="N39" s="86"/>
      <c r="O39" s="86"/>
    </row>
    <row r="40" spans="1:17">
      <c r="A40" s="7"/>
      <c r="B40" s="86"/>
      <c r="C40" s="7">
        <v>8.5000000000000006E-2</v>
      </c>
      <c r="D40" s="7">
        <v>4.5999999999999999E-2</v>
      </c>
      <c r="E40" s="86"/>
      <c r="F40" s="86"/>
      <c r="G40" s="140"/>
      <c r="H40" s="7"/>
      <c r="I40" s="86"/>
      <c r="J40" s="7"/>
      <c r="K40" s="140"/>
      <c r="L40" s="7"/>
      <c r="M40" s="7"/>
      <c r="N40" s="86"/>
      <c r="O40" s="86"/>
    </row>
    <row r="41" spans="1:17">
      <c r="A41" s="46"/>
      <c r="B41" s="89"/>
      <c r="C41" s="46">
        <v>7.9000000000000001E-2</v>
      </c>
      <c r="D41" s="46">
        <v>6.6000000000000003E-2</v>
      </c>
      <c r="E41" s="89"/>
      <c r="F41" s="89"/>
      <c r="G41" s="61"/>
      <c r="H41" s="46"/>
      <c r="I41" s="89"/>
      <c r="J41" s="46"/>
      <c r="K41" s="61"/>
      <c r="L41" s="46"/>
      <c r="M41" s="46"/>
      <c r="N41" s="89"/>
      <c r="O41" s="89"/>
    </row>
    <row r="42" spans="1:17">
      <c r="A42" s="7" t="s">
        <v>212</v>
      </c>
      <c r="B42" s="86"/>
      <c r="C42">
        <v>8.5999999999999993E-2</v>
      </c>
      <c r="D42">
        <v>4.2999999999999997E-2</v>
      </c>
      <c r="E42" s="86"/>
      <c r="F42" s="86"/>
      <c r="G42" s="140"/>
      <c r="H42" s="7"/>
      <c r="I42" s="86"/>
      <c r="J42" s="7"/>
      <c r="K42" s="7"/>
      <c r="L42" s="7"/>
      <c r="M42" s="7"/>
      <c r="N42">
        <v>1.8580000000000001</v>
      </c>
      <c r="O42">
        <v>0.751</v>
      </c>
    </row>
    <row r="43" spans="1:17">
      <c r="A43" s="7"/>
      <c r="B43" s="86"/>
      <c r="C43">
        <v>0.10100000000000001</v>
      </c>
      <c r="D43">
        <v>5.8000000000000003E-2</v>
      </c>
      <c r="E43" s="86"/>
      <c r="F43" s="86"/>
      <c r="G43" s="140"/>
      <c r="H43" s="7"/>
      <c r="I43" s="86"/>
      <c r="J43" s="7"/>
      <c r="K43" s="7"/>
      <c r="L43" s="7"/>
      <c r="M43" s="7"/>
      <c r="N43" s="86"/>
      <c r="O43">
        <v>0.99199999999999999</v>
      </c>
    </row>
    <row r="44" spans="1:17">
      <c r="A44" s="7"/>
      <c r="B44" s="86"/>
      <c r="C44">
        <v>8.5999999999999993E-2</v>
      </c>
      <c r="D44">
        <v>8.5999999999999993E-2</v>
      </c>
      <c r="E44" s="86"/>
      <c r="F44" s="86"/>
      <c r="G44" s="7"/>
      <c r="H44" s="7"/>
      <c r="I44" s="86"/>
      <c r="J44" s="7"/>
      <c r="K44" s="7"/>
      <c r="L44" s="7"/>
      <c r="M44" s="7"/>
      <c r="N44" s="86"/>
      <c r="O44" s="86"/>
      <c r="Q44" s="60"/>
    </row>
    <row r="45" spans="1:17">
      <c r="A45" s="46"/>
      <c r="B45" s="89"/>
      <c r="C45" s="46">
        <v>8.5999999999999993E-2</v>
      </c>
      <c r="D45" s="46">
        <v>6.5000000000000002E-2</v>
      </c>
      <c r="E45" s="89"/>
      <c r="F45" s="89"/>
      <c r="G45" s="46"/>
      <c r="H45" s="46"/>
      <c r="I45" s="89"/>
      <c r="J45" s="46"/>
      <c r="K45" s="46"/>
      <c r="L45" s="46"/>
      <c r="M45" s="46"/>
      <c r="N45" s="89"/>
      <c r="O45" s="89"/>
      <c r="Q45" s="60"/>
    </row>
    <row r="46" spans="1:17">
      <c r="A46" s="7" t="s">
        <v>213</v>
      </c>
      <c r="B46" s="86">
        <v>40</v>
      </c>
      <c r="C46">
        <v>0.08</v>
      </c>
      <c r="D46">
        <v>0.105</v>
      </c>
      <c r="E46" s="86"/>
      <c r="F46" s="86"/>
      <c r="G46" s="7"/>
      <c r="H46" s="7"/>
      <c r="I46" s="86"/>
      <c r="J46" s="7"/>
      <c r="K46" s="7"/>
      <c r="L46" s="7"/>
      <c r="M46" s="7"/>
      <c r="N46">
        <v>2.266</v>
      </c>
      <c r="O46">
        <v>1.911</v>
      </c>
      <c r="Q46" s="60"/>
    </row>
    <row r="47" spans="1:17">
      <c r="A47" s="7"/>
      <c r="B47" s="86"/>
      <c r="C47">
        <v>9.6000000000000002E-2</v>
      </c>
      <c r="D47">
        <v>9.5000000000000001E-2</v>
      </c>
      <c r="E47" s="86"/>
      <c r="F47" s="86"/>
      <c r="G47" s="7"/>
      <c r="H47" s="140"/>
      <c r="I47" s="86"/>
      <c r="J47" s="7"/>
      <c r="K47" s="7"/>
      <c r="L47" s="7"/>
      <c r="M47" s="7"/>
      <c r="O47">
        <v>1.9590000000000001</v>
      </c>
      <c r="Q47" s="60"/>
    </row>
    <row r="48" spans="1:17">
      <c r="A48" s="7"/>
      <c r="B48" s="141"/>
      <c r="C48">
        <v>9.0999999999999998E-2</v>
      </c>
      <c r="D48">
        <v>8.1000000000000003E-2</v>
      </c>
      <c r="E48" s="86"/>
      <c r="F48" s="86"/>
      <c r="G48" s="7"/>
      <c r="H48" s="140"/>
      <c r="I48" s="86"/>
      <c r="J48" s="7"/>
      <c r="K48" s="7"/>
      <c r="L48" s="7"/>
      <c r="M48" s="7"/>
      <c r="Q48" s="60"/>
    </row>
    <row r="49" spans="1:18">
      <c r="A49" s="7"/>
      <c r="B49" s="141"/>
      <c r="C49">
        <v>8.5999999999999993E-2</v>
      </c>
      <c r="D49">
        <v>6.8000000000000005E-2</v>
      </c>
      <c r="E49" s="86"/>
      <c r="F49" s="86"/>
      <c r="G49" s="7"/>
      <c r="H49" s="140"/>
      <c r="I49" s="141"/>
      <c r="J49" s="7"/>
      <c r="K49" s="7"/>
      <c r="L49" s="7"/>
      <c r="M49" s="7"/>
      <c r="Q49" s="60"/>
      <c r="R49" s="60"/>
    </row>
    <row r="50" spans="1:18">
      <c r="A50" s="46"/>
      <c r="B50" s="144"/>
      <c r="C50" s="46">
        <v>8.5000000000000006E-2</v>
      </c>
      <c r="D50" s="46">
        <v>6.4000000000000001E-2</v>
      </c>
      <c r="E50" s="89"/>
      <c r="F50" s="89"/>
      <c r="G50" s="46"/>
      <c r="H50" s="61"/>
      <c r="I50" s="144"/>
      <c r="J50" s="46"/>
      <c r="K50" s="46"/>
      <c r="L50" s="46"/>
      <c r="M50" s="46"/>
      <c r="N50" s="46"/>
      <c r="O50" s="46"/>
      <c r="Q50" s="60"/>
    </row>
    <row r="51" spans="1:18">
      <c r="A51" s="7" t="s">
        <v>214</v>
      </c>
      <c r="B51" s="141"/>
      <c r="C51" s="86"/>
      <c r="D51" s="86"/>
      <c r="E51">
        <v>4.6070000000000002</v>
      </c>
      <c r="F51" s="86"/>
      <c r="G51" s="7"/>
      <c r="H51" s="7"/>
      <c r="I51" s="86"/>
      <c r="J51" s="7"/>
      <c r="K51" s="7"/>
      <c r="L51" s="7"/>
      <c r="M51" s="7"/>
      <c r="N51" s="86"/>
      <c r="O51" s="86"/>
      <c r="Q51" s="60"/>
    </row>
    <row r="52" spans="1:18">
      <c r="A52" s="7"/>
      <c r="B52" s="86"/>
      <c r="C52" s="86"/>
      <c r="D52" s="86"/>
      <c r="E52">
        <v>4.7270000000000003</v>
      </c>
      <c r="F52" s="86"/>
      <c r="G52" s="7"/>
      <c r="H52" s="140"/>
      <c r="I52" s="86"/>
      <c r="J52" s="7"/>
      <c r="K52" s="7"/>
      <c r="L52" s="7"/>
      <c r="M52" s="7"/>
      <c r="N52" s="86"/>
      <c r="O52" s="86"/>
      <c r="Q52" s="60"/>
    </row>
    <row r="53" spans="1:18">
      <c r="A53" s="7"/>
      <c r="B53" s="86"/>
      <c r="C53" s="86"/>
      <c r="D53" s="86"/>
      <c r="E53">
        <v>3.6560000000000001</v>
      </c>
      <c r="F53" s="86"/>
      <c r="G53" s="7"/>
      <c r="H53" s="140"/>
      <c r="I53" s="86"/>
      <c r="J53" s="7"/>
      <c r="K53" s="7"/>
      <c r="L53" s="7"/>
      <c r="M53" s="7"/>
      <c r="N53" s="86"/>
      <c r="O53" s="86"/>
      <c r="Q53" s="60"/>
    </row>
    <row r="54" spans="1:18">
      <c r="A54" s="46"/>
      <c r="B54" s="89"/>
      <c r="C54" s="89"/>
      <c r="D54" s="89"/>
      <c r="E54" s="46">
        <v>3.5760000000000001</v>
      </c>
      <c r="F54" s="89"/>
      <c r="G54" s="46"/>
      <c r="H54" s="61"/>
      <c r="I54" s="89"/>
      <c r="J54" s="46"/>
      <c r="K54" s="46"/>
      <c r="L54" s="46"/>
      <c r="M54" s="46"/>
      <c r="N54" s="89"/>
      <c r="O54" s="89"/>
      <c r="Q54" s="60"/>
    </row>
    <row r="55" spans="1:18">
      <c r="A55" s="7" t="s">
        <v>215</v>
      </c>
      <c r="B55" s="86"/>
      <c r="C55" s="86"/>
      <c r="D55" s="86"/>
      <c r="E55">
        <v>4.4169999999999998</v>
      </c>
      <c r="F55" s="86"/>
      <c r="G55" s="7"/>
      <c r="H55" s="140"/>
      <c r="I55" s="86"/>
      <c r="J55" s="7"/>
      <c r="K55" s="7"/>
      <c r="L55" s="7"/>
      <c r="M55" s="7"/>
      <c r="N55">
        <v>2.347</v>
      </c>
      <c r="O55">
        <v>3.4569999999999999</v>
      </c>
      <c r="Q55" s="60"/>
    </row>
    <row r="56" spans="1:18">
      <c r="A56" s="7"/>
      <c r="B56" s="86"/>
      <c r="C56" s="86"/>
      <c r="D56" s="86"/>
      <c r="E56">
        <v>3.3879999999999999</v>
      </c>
      <c r="F56" s="86"/>
      <c r="G56" s="7"/>
      <c r="H56" s="140"/>
      <c r="I56" s="86"/>
      <c r="J56" s="7"/>
      <c r="K56" s="7"/>
      <c r="L56" s="7"/>
      <c r="M56" s="7"/>
      <c r="N56">
        <v>2.097</v>
      </c>
      <c r="O56">
        <v>1.7889999999999999</v>
      </c>
    </row>
    <row r="57" spans="1:18">
      <c r="A57" s="7"/>
      <c r="B57" s="86"/>
      <c r="C57" s="86"/>
      <c r="D57" s="86"/>
      <c r="E57">
        <v>5.1890000000000001</v>
      </c>
      <c r="F57" s="86"/>
      <c r="G57" s="7"/>
      <c r="H57" s="140"/>
      <c r="I57" s="86"/>
      <c r="J57" s="7"/>
      <c r="K57" s="7"/>
      <c r="L57" s="7"/>
      <c r="M57" s="7"/>
      <c r="N57">
        <v>1.9039999999999999</v>
      </c>
      <c r="O57">
        <v>2.8889999999999998</v>
      </c>
    </row>
    <row r="58" spans="1:18">
      <c r="A58" s="7"/>
      <c r="B58" s="86"/>
      <c r="C58" s="86"/>
      <c r="D58" s="86"/>
      <c r="E58">
        <v>4.5339999999999998</v>
      </c>
      <c r="F58" s="86"/>
      <c r="G58" s="7"/>
      <c r="H58" s="140"/>
      <c r="I58" s="86"/>
      <c r="J58" s="7"/>
      <c r="K58" s="7"/>
      <c r="L58" s="7"/>
      <c r="M58" s="7"/>
      <c r="N58">
        <v>2.331</v>
      </c>
      <c r="O58">
        <v>1.4359999999999999</v>
      </c>
    </row>
    <row r="59" spans="1:18">
      <c r="A59" s="46"/>
      <c r="B59" s="89"/>
      <c r="C59" s="89"/>
      <c r="D59" s="89"/>
      <c r="E59" s="89"/>
      <c r="F59" s="89"/>
      <c r="G59" s="46"/>
      <c r="H59" s="61"/>
      <c r="I59" s="89"/>
      <c r="J59" s="46"/>
      <c r="K59" s="46"/>
      <c r="L59" s="46"/>
      <c r="M59" s="46"/>
      <c r="N59" s="46">
        <v>2.536</v>
      </c>
      <c r="O59" s="89"/>
    </row>
    <row r="60" spans="1:18">
      <c r="A60" s="7"/>
      <c r="B60" s="86"/>
      <c r="C60" s="86"/>
      <c r="D60" s="86"/>
      <c r="E60" s="86"/>
      <c r="F60" s="86"/>
      <c r="G60" s="7"/>
      <c r="H60" s="140"/>
      <c r="I60" s="86">
        <v>32</v>
      </c>
      <c r="J60" s="7"/>
      <c r="K60" s="7"/>
      <c r="L60" s="7"/>
      <c r="M60" s="7"/>
      <c r="N60" s="86"/>
      <c r="O60" s="86"/>
    </row>
    <row r="61" spans="1:18">
      <c r="A61" s="7"/>
      <c r="B61" s="86"/>
      <c r="C61" s="86"/>
      <c r="D61" s="86"/>
      <c r="E61" s="86"/>
      <c r="F61" s="86"/>
      <c r="G61" s="7"/>
      <c r="H61" s="140"/>
      <c r="I61" s="86">
        <v>67</v>
      </c>
      <c r="J61" s="7"/>
      <c r="K61" s="7"/>
      <c r="L61" s="7"/>
      <c r="M61" s="7"/>
      <c r="N61" s="86"/>
      <c r="O61" s="86"/>
    </row>
    <row r="62" spans="1:18">
      <c r="A62" s="46"/>
      <c r="B62" s="89"/>
      <c r="C62" s="89"/>
      <c r="D62" s="89"/>
      <c r="E62" s="89"/>
      <c r="F62" s="89"/>
      <c r="G62" s="46"/>
      <c r="H62" s="61"/>
      <c r="I62" s="89"/>
      <c r="J62" s="46"/>
      <c r="K62" s="46"/>
      <c r="L62" s="46"/>
      <c r="M62" s="46"/>
      <c r="N62" s="89"/>
      <c r="O62" s="89"/>
    </row>
    <row r="63" spans="1:18">
      <c r="B63" s="79">
        <f>AVERAGE(B27:B62)</f>
        <v>38.666666666666664</v>
      </c>
      <c r="C63" s="79">
        <f t="shared" ref="C63:F63" si="1">AVERAGE(C27:C62)</f>
        <v>8.5761904761904775E-2</v>
      </c>
      <c r="D63" s="79">
        <f t="shared" si="1"/>
        <v>6.621052631578947E-2</v>
      </c>
      <c r="E63" s="79">
        <f>E56</f>
        <v>3.3879999999999999</v>
      </c>
      <c r="F63" s="79">
        <f t="shared" si="1"/>
        <v>5.8999999999999997E-2</v>
      </c>
      <c r="G63" s="79">
        <f>(E63/F63)*(F63*D63)</f>
        <v>0.22432126315789469</v>
      </c>
      <c r="H63" s="79">
        <f>G63*B63</f>
        <v>8.6737555087719276</v>
      </c>
      <c r="I63" s="79">
        <f>AVERAGE(I27:I62)*2</f>
        <v>99</v>
      </c>
      <c r="J63" s="79">
        <f>H63*I63</f>
        <v>858.70179536842079</v>
      </c>
      <c r="K63" s="79"/>
      <c r="L63" s="79"/>
      <c r="M63" s="79"/>
      <c r="N63" s="79">
        <f t="shared" ref="N63" si="2">AVERAGE(N27:N62)</f>
        <v>2.2294166666666668</v>
      </c>
      <c r="O63" s="79">
        <f t="shared" ref="O63" si="3">AVERAGE(O27:O62)</f>
        <v>1.5851666666666666</v>
      </c>
    </row>
    <row r="1048530" spans="1:1">
      <c r="A1048530" s="6"/>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105"/>
  <sheetViews>
    <sheetView workbookViewId="0">
      <selection activeCell="N15" sqref="N15"/>
    </sheetView>
  </sheetViews>
  <sheetFormatPr baseColWidth="10" defaultColWidth="11" defaultRowHeight="15" x14ac:dyDescent="0"/>
  <cols>
    <col min="1" max="1" width="22.6640625" customWidth="1"/>
    <col min="15" max="15" width="15" customWidth="1"/>
  </cols>
  <sheetData>
    <row r="1" spans="1:16">
      <c r="D1" s="137"/>
      <c r="E1" s="3" t="s">
        <v>181</v>
      </c>
    </row>
    <row r="2" spans="1:16">
      <c r="D2" s="138"/>
      <c r="E2" s="3" t="s">
        <v>182</v>
      </c>
    </row>
    <row r="3" spans="1:16">
      <c r="A3" t="s">
        <v>167</v>
      </c>
    </row>
    <row r="4" spans="1:16">
      <c r="A4" t="s">
        <v>170</v>
      </c>
    </row>
    <row r="5" spans="1:16">
      <c r="A5" t="s">
        <v>173</v>
      </c>
    </row>
    <row r="6" spans="1:16">
      <c r="A6" t="s">
        <v>171</v>
      </c>
    </row>
    <row r="7" spans="1:16">
      <c r="A7" t="s">
        <v>172</v>
      </c>
    </row>
    <row r="9" spans="1:16" ht="133">
      <c r="A9" s="63" t="s">
        <v>4</v>
      </c>
      <c r="B9" s="63" t="s">
        <v>14</v>
      </c>
      <c r="C9" s="63" t="s">
        <v>52</v>
      </c>
      <c r="D9" s="64" t="s">
        <v>53</v>
      </c>
      <c r="E9" s="64" t="s">
        <v>120</v>
      </c>
      <c r="F9" s="64" t="s">
        <v>169</v>
      </c>
      <c r="G9" s="64" t="s">
        <v>168</v>
      </c>
      <c r="H9" s="63" t="s">
        <v>54</v>
      </c>
      <c r="I9" s="63" t="s">
        <v>55</v>
      </c>
      <c r="J9" s="63" t="s">
        <v>56</v>
      </c>
      <c r="K9" s="63" t="s">
        <v>57</v>
      </c>
      <c r="L9" s="63" t="s">
        <v>58</v>
      </c>
      <c r="M9" s="63" t="s">
        <v>59</v>
      </c>
      <c r="N9" s="63" t="s">
        <v>60</v>
      </c>
      <c r="O9" s="63" t="s">
        <v>61</v>
      </c>
      <c r="P9" s="63" t="s">
        <v>121</v>
      </c>
    </row>
    <row r="10" spans="1:16">
      <c r="A10" s="7" t="str">
        <f>A18</f>
        <v>Tethya-RR-cho-C-17</v>
      </c>
      <c r="B10" s="86">
        <f>B40</f>
        <v>89618.7</v>
      </c>
      <c r="C10" s="86">
        <f t="shared" ref="C10" si="0">C40</f>
        <v>22</v>
      </c>
      <c r="D10" s="86">
        <f>(D40+E40)/2</f>
        <v>18.403363636363636</v>
      </c>
      <c r="E10" s="79">
        <f>1000000/B10</f>
        <v>11.158385470889446</v>
      </c>
      <c r="F10" s="79">
        <f>C10*E10*0.75</f>
        <v>184.11336026967587</v>
      </c>
      <c r="G10" s="79">
        <f t="shared" ref="G10:G11" si="1">F10*33.33</f>
        <v>6136.4982977882964</v>
      </c>
      <c r="H10" s="86">
        <f>(F40+G40)/2</f>
        <v>9.2016818181818181</v>
      </c>
      <c r="I10" s="86">
        <f>H40</f>
        <v>270.25661779266676</v>
      </c>
      <c r="J10" s="79">
        <f t="shared" ref="J10:J11" si="2">I10*G10/1000000</f>
        <v>1.6584292750507219</v>
      </c>
      <c r="K10" s="79">
        <f t="shared" ref="K10:K11" si="3">I10*C10</f>
        <v>5945.6455914386688</v>
      </c>
      <c r="L10" s="79">
        <f t="shared" ref="L10:L11" si="4">K10/B10</f>
        <v>6.6343805382567136E-2</v>
      </c>
      <c r="M10" s="79">
        <f>4*PI()*(H10^2)</f>
        <v>1064.0065163941435</v>
      </c>
      <c r="N10" s="79">
        <f>(4/3)*PI()*(H10^3)</f>
        <v>3263.5498054436543</v>
      </c>
      <c r="O10" s="79">
        <f>N10/1000000000</f>
        <v>3.2635498054436542E-6</v>
      </c>
      <c r="P10" s="79">
        <f>M10*G10/1000000</f>
        <v>6.5292741766883173</v>
      </c>
    </row>
    <row r="11" spans="1:16">
      <c r="A11" s="7" t="str">
        <f>A44</f>
        <v>Tethya-RR-cho-C-23</v>
      </c>
      <c r="B11" s="86">
        <f>B80</f>
        <v>51837.392</v>
      </c>
      <c r="C11" s="86">
        <f t="shared" ref="C11" si="5">C80</f>
        <v>36</v>
      </c>
      <c r="D11" s="86">
        <f>(E80+D80)/2</f>
        <v>20.750138888888891</v>
      </c>
      <c r="E11" s="79">
        <f>1000000/B11</f>
        <v>19.291093965529747</v>
      </c>
      <c r="F11" s="79">
        <f>C11*E11*0.75</f>
        <v>520.85953706930309</v>
      </c>
      <c r="G11" s="79">
        <f t="shared" si="1"/>
        <v>17360.248370519872</v>
      </c>
      <c r="H11" s="86">
        <f>D11/2</f>
        <v>10.375069444444446</v>
      </c>
      <c r="I11" s="86">
        <f>H80</f>
        <v>339.22074014739951</v>
      </c>
      <c r="J11" s="79">
        <f t="shared" si="2"/>
        <v>5.8889563013904374</v>
      </c>
      <c r="K11" s="79">
        <f t="shared" si="3"/>
        <v>12211.946645306383</v>
      </c>
      <c r="L11" s="79">
        <f t="shared" si="4"/>
        <v>0.23558181023664121</v>
      </c>
      <c r="M11" s="79">
        <f>4*PI()*(H11^2)</f>
        <v>1352.6700947628467</v>
      </c>
      <c r="N11" s="79">
        <f>(4/3)*PI()*(H11^3)</f>
        <v>4678.0153895292606</v>
      </c>
      <c r="O11" s="79">
        <f>N11/1000000000</f>
        <v>4.6780153895292607E-6</v>
      </c>
      <c r="P11" s="79">
        <f>M11*G11/1000000</f>
        <v>23.48268880845767</v>
      </c>
    </row>
    <row r="12" spans="1:16">
      <c r="A12" s="7" t="str">
        <f>A84</f>
        <v>Tethya-RR-cho-C-23</v>
      </c>
      <c r="B12" s="86">
        <f>B105</f>
        <v>26629.758000000002</v>
      </c>
      <c r="C12" s="86">
        <f t="shared" ref="C12:D12" si="6">C105</f>
        <v>21</v>
      </c>
      <c r="D12" s="86">
        <f t="shared" si="6"/>
        <v>24.17285714285714</v>
      </c>
      <c r="E12" s="79">
        <f>1000000/B12</f>
        <v>37.551974749451347</v>
      </c>
      <c r="F12" s="79">
        <f>C12*E12*0.75</f>
        <v>591.44360230385871</v>
      </c>
      <c r="G12" s="79">
        <f t="shared" ref="G12" si="7">F12*33.33</f>
        <v>19712.815264787609</v>
      </c>
      <c r="H12" s="86">
        <f>D12/2</f>
        <v>12.08642857142857</v>
      </c>
      <c r="I12" s="86">
        <f>H105</f>
        <v>359.74556038399163</v>
      </c>
      <c r="J12" s="79">
        <f t="shared" ref="J12" si="8">I12*G12/1000000</f>
        <v>7.0915977741771226</v>
      </c>
      <c r="K12" s="79">
        <f t="shared" ref="K12" si="9">I12*C12</f>
        <v>7554.6567680638245</v>
      </c>
      <c r="L12" s="79">
        <f t="shared" ref="L12" si="10">K12/B12</f>
        <v>0.28369228019510445</v>
      </c>
      <c r="M12" s="79">
        <f>4*PI()*(H12^2)</f>
        <v>1835.7174810197121</v>
      </c>
      <c r="N12" s="79">
        <f>(4/3)*PI()*(H12^3)</f>
        <v>7395.7560705558444</v>
      </c>
      <c r="O12" s="79">
        <f>N12/1000000000</f>
        <v>7.3957560705558447E-6</v>
      </c>
      <c r="P12" s="79">
        <f>M12*G12/1000000</f>
        <v>36.187159581682842</v>
      </c>
    </row>
    <row r="13" spans="1:16">
      <c r="A13" s="6"/>
      <c r="B13" s="82">
        <f>AVERAGE(B10:B12)</f>
        <v>56028.616666666669</v>
      </c>
      <c r="C13" s="82">
        <f t="shared" ref="C13:P13" si="11">AVERAGE(C10:C12)</f>
        <v>26.333333333333332</v>
      </c>
      <c r="D13" s="82">
        <f t="shared" si="11"/>
        <v>21.108786556036556</v>
      </c>
      <c r="E13" s="82">
        <f t="shared" si="11"/>
        <v>22.66715139529018</v>
      </c>
      <c r="F13" s="82">
        <f t="shared" si="11"/>
        <v>432.1388332142792</v>
      </c>
      <c r="G13" s="82">
        <f t="shared" si="11"/>
        <v>14403.187311031927</v>
      </c>
      <c r="H13" s="82">
        <f t="shared" si="11"/>
        <v>10.554393278018278</v>
      </c>
      <c r="I13" s="82">
        <f t="shared" si="11"/>
        <v>323.0743061080193</v>
      </c>
      <c r="J13" s="82">
        <f t="shared" si="11"/>
        <v>4.8796611168727608</v>
      </c>
      <c r="K13" s="82">
        <f t="shared" si="11"/>
        <v>8570.7496682696255</v>
      </c>
      <c r="L13" s="82">
        <f t="shared" si="11"/>
        <v>0.1952059652714376</v>
      </c>
      <c r="M13" s="82">
        <f t="shared" si="11"/>
        <v>1417.4646973922343</v>
      </c>
      <c r="N13" s="82">
        <f t="shared" si="11"/>
        <v>5112.4404218429199</v>
      </c>
      <c r="O13" s="82">
        <f t="shared" si="11"/>
        <v>5.1124404218429201E-6</v>
      </c>
      <c r="P13" s="82">
        <f t="shared" si="11"/>
        <v>22.066374188942945</v>
      </c>
    </row>
    <row r="17" spans="1:8" ht="45">
      <c r="A17" s="2" t="s">
        <v>4</v>
      </c>
      <c r="B17" s="2" t="s">
        <v>14</v>
      </c>
      <c r="C17" s="2" t="s">
        <v>62</v>
      </c>
      <c r="D17" s="2" t="s">
        <v>63</v>
      </c>
      <c r="F17" s="2" t="s">
        <v>54</v>
      </c>
      <c r="H17" s="2" t="s">
        <v>55</v>
      </c>
    </row>
    <row r="18" spans="1:8">
      <c r="A18" t="s">
        <v>216</v>
      </c>
      <c r="D18">
        <v>19.477</v>
      </c>
      <c r="E18">
        <v>15.478999999999999</v>
      </c>
      <c r="F18" s="79">
        <f>D18/2</f>
        <v>9.7385000000000002</v>
      </c>
      <c r="G18" s="79">
        <f>E18/2</f>
        <v>7.7394999999999996</v>
      </c>
      <c r="H18" s="79">
        <f>PI()*(F18)*G18</f>
        <v>236.78535924102923</v>
      </c>
    </row>
    <row r="19" spans="1:8">
      <c r="D19">
        <v>24.318000000000001</v>
      </c>
      <c r="E19">
        <v>17.701000000000001</v>
      </c>
      <c r="F19" s="79">
        <f t="shared" ref="F19:F31" si="12">D19/2</f>
        <v>12.159000000000001</v>
      </c>
      <c r="G19" s="79">
        <f t="shared" ref="G19:G39" si="13">E19/2</f>
        <v>8.8505000000000003</v>
      </c>
      <c r="H19" s="79">
        <f t="shared" ref="H19:H39" si="14">PI()*(F19)*G19</f>
        <v>338.07693122627245</v>
      </c>
    </row>
    <row r="20" spans="1:8">
      <c r="D20">
        <v>34.808</v>
      </c>
      <c r="E20">
        <v>21.510999999999999</v>
      </c>
      <c r="F20" s="79">
        <f t="shared" si="12"/>
        <v>17.404</v>
      </c>
      <c r="G20" s="79">
        <f t="shared" si="13"/>
        <v>10.7555</v>
      </c>
      <c r="H20" s="79">
        <f t="shared" si="14"/>
        <v>588.07071387006215</v>
      </c>
    </row>
    <row r="21" spans="1:8">
      <c r="D21">
        <v>18.387</v>
      </c>
      <c r="E21">
        <v>13.894</v>
      </c>
      <c r="F21" s="79">
        <f t="shared" si="12"/>
        <v>9.1935000000000002</v>
      </c>
      <c r="G21" s="79">
        <f t="shared" si="13"/>
        <v>6.9470000000000001</v>
      </c>
      <c r="H21" s="79">
        <f t="shared" si="14"/>
        <v>200.64486612622312</v>
      </c>
    </row>
    <row r="22" spans="1:8">
      <c r="D22">
        <v>13.726000000000001</v>
      </c>
      <c r="E22">
        <v>7.3289999999999997</v>
      </c>
      <c r="F22" s="79">
        <f t="shared" si="12"/>
        <v>6.8630000000000004</v>
      </c>
      <c r="G22" s="79">
        <f t="shared" si="13"/>
        <v>3.6644999999999999</v>
      </c>
      <c r="H22" s="79">
        <f t="shared" si="14"/>
        <v>79.00936977332465</v>
      </c>
    </row>
    <row r="23" spans="1:8">
      <c r="D23">
        <v>31.213000000000001</v>
      </c>
      <c r="E23">
        <v>18.725000000000001</v>
      </c>
      <c r="F23" s="79">
        <f t="shared" si="12"/>
        <v>15.6065</v>
      </c>
      <c r="G23" s="79">
        <f t="shared" si="13"/>
        <v>9.3625000000000007</v>
      </c>
      <c r="H23" s="79">
        <f t="shared" si="14"/>
        <v>459.03650056798233</v>
      </c>
    </row>
    <row r="24" spans="1:8">
      <c r="D24">
        <v>26.004000000000001</v>
      </c>
      <c r="E24">
        <v>13.725</v>
      </c>
      <c r="F24" s="79">
        <f t="shared" si="12"/>
        <v>13.002000000000001</v>
      </c>
      <c r="G24" s="79">
        <f t="shared" si="13"/>
        <v>6.8624999999999998</v>
      </c>
      <c r="H24" s="79">
        <f t="shared" si="14"/>
        <v>280.31245296754992</v>
      </c>
    </row>
    <row r="25" spans="1:8">
      <c r="D25">
        <v>23.922000000000001</v>
      </c>
      <c r="E25">
        <v>17.530999999999999</v>
      </c>
      <c r="F25" s="79">
        <f t="shared" si="12"/>
        <v>11.961</v>
      </c>
      <c r="G25" s="79">
        <f t="shared" si="13"/>
        <v>8.7654999999999994</v>
      </c>
      <c r="H25" s="79">
        <f t="shared" si="14"/>
        <v>329.37759727469938</v>
      </c>
    </row>
    <row r="26" spans="1:8">
      <c r="D26">
        <v>20.824999999999999</v>
      </c>
      <c r="E26">
        <v>16.402000000000001</v>
      </c>
      <c r="F26" s="79">
        <f t="shared" si="12"/>
        <v>10.4125</v>
      </c>
      <c r="G26" s="79">
        <f t="shared" si="13"/>
        <v>8.2010000000000005</v>
      </c>
      <c r="H26" s="79">
        <f t="shared" si="14"/>
        <v>268.26974657863605</v>
      </c>
    </row>
    <row r="27" spans="1:8">
      <c r="D27">
        <v>28.63</v>
      </c>
      <c r="E27">
        <v>19.762</v>
      </c>
      <c r="F27" s="79">
        <f t="shared" si="12"/>
        <v>14.315</v>
      </c>
      <c r="G27" s="79">
        <f t="shared" si="13"/>
        <v>9.8810000000000002</v>
      </c>
      <c r="H27" s="79">
        <f t="shared" si="14"/>
        <v>444.36733239987848</v>
      </c>
    </row>
    <row r="28" spans="1:8">
      <c r="D28">
        <v>26.92</v>
      </c>
      <c r="E28">
        <v>17.744</v>
      </c>
      <c r="F28" s="79">
        <f t="shared" si="12"/>
        <v>13.46</v>
      </c>
      <c r="G28" s="79">
        <f t="shared" si="13"/>
        <v>8.8719999999999999</v>
      </c>
      <c r="H28" s="79">
        <f t="shared" si="14"/>
        <v>375.15994690485081</v>
      </c>
    </row>
    <row r="29" spans="1:8">
      <c r="D29">
        <v>28.952000000000002</v>
      </c>
      <c r="E29">
        <v>18.634</v>
      </c>
      <c r="F29" s="79">
        <f t="shared" si="12"/>
        <v>14.476000000000001</v>
      </c>
      <c r="G29" s="79">
        <f t="shared" si="13"/>
        <v>9.3170000000000002</v>
      </c>
      <c r="H29" s="79">
        <f t="shared" si="14"/>
        <v>423.71568667560956</v>
      </c>
    </row>
    <row r="30" spans="1:8">
      <c r="D30">
        <v>19.887</v>
      </c>
      <c r="E30">
        <v>14.420999999999999</v>
      </c>
      <c r="F30" s="79">
        <f t="shared" si="12"/>
        <v>9.9435000000000002</v>
      </c>
      <c r="G30" s="79">
        <f t="shared" si="13"/>
        <v>7.2104999999999997</v>
      </c>
      <c r="H30" s="79">
        <f t="shared" si="14"/>
        <v>225.24467464576995</v>
      </c>
    </row>
    <row r="31" spans="1:8">
      <c r="D31">
        <v>13.877000000000001</v>
      </c>
      <c r="E31">
        <v>14.949</v>
      </c>
      <c r="F31" s="79">
        <f t="shared" si="12"/>
        <v>6.9385000000000003</v>
      </c>
      <c r="G31" s="79">
        <f t="shared" si="13"/>
        <v>7.4744999999999999</v>
      </c>
      <c r="H31" s="79">
        <f t="shared" si="14"/>
        <v>162.92870721600909</v>
      </c>
    </row>
    <row r="32" spans="1:8">
      <c r="D32">
        <v>12.297000000000001</v>
      </c>
      <c r="E32">
        <v>10.515000000000001</v>
      </c>
      <c r="F32" s="79">
        <f t="shared" ref="F32:F34" si="15">D32/2</f>
        <v>6.1485000000000003</v>
      </c>
      <c r="G32" s="79">
        <f t="shared" si="13"/>
        <v>5.2575000000000003</v>
      </c>
      <c r="H32" s="79">
        <f t="shared" si="14"/>
        <v>101.55430337886291</v>
      </c>
    </row>
    <row r="33" spans="1:8">
      <c r="D33">
        <v>18.914999999999999</v>
      </c>
      <c r="E33">
        <v>13.725</v>
      </c>
      <c r="F33" s="79">
        <f t="shared" si="15"/>
        <v>9.4574999999999996</v>
      </c>
      <c r="G33" s="79">
        <f t="shared" si="13"/>
        <v>6.8624999999999998</v>
      </c>
      <c r="H33" s="79">
        <f t="shared" si="14"/>
        <v>203.895940927596</v>
      </c>
    </row>
    <row r="34" spans="1:8">
      <c r="D34">
        <v>15.259</v>
      </c>
      <c r="E34">
        <v>13.417999999999999</v>
      </c>
      <c r="F34" s="79">
        <f t="shared" si="15"/>
        <v>7.6295000000000002</v>
      </c>
      <c r="G34" s="79">
        <f t="shared" si="13"/>
        <v>6.7089999999999996</v>
      </c>
      <c r="H34" s="79">
        <f t="shared" si="14"/>
        <v>160.80655273912936</v>
      </c>
    </row>
    <row r="35" spans="1:8">
      <c r="D35">
        <v>14.144</v>
      </c>
      <c r="E35">
        <v>11.672000000000001</v>
      </c>
      <c r="F35" s="79">
        <f>D35/2</f>
        <v>7.0720000000000001</v>
      </c>
      <c r="G35" s="79">
        <f t="shared" si="13"/>
        <v>5.8360000000000003</v>
      </c>
      <c r="H35" s="79">
        <f t="shared" si="14"/>
        <v>129.66041518474745</v>
      </c>
    </row>
    <row r="36" spans="1:8">
      <c r="D36">
        <v>19.158000000000001</v>
      </c>
      <c r="E36">
        <v>11.85</v>
      </c>
      <c r="F36" s="79">
        <f>D36/2</f>
        <v>9.5790000000000006</v>
      </c>
      <c r="G36" s="79">
        <f t="shared" si="13"/>
        <v>5.9249999999999998</v>
      </c>
      <c r="H36" s="79">
        <f t="shared" si="14"/>
        <v>178.30289747026453</v>
      </c>
    </row>
    <row r="37" spans="1:8">
      <c r="D37">
        <v>23.074999999999999</v>
      </c>
      <c r="E37">
        <v>14.599</v>
      </c>
      <c r="F37" s="79">
        <f>D37/2</f>
        <v>11.5375</v>
      </c>
      <c r="G37" s="79">
        <f t="shared" si="13"/>
        <v>7.2995000000000001</v>
      </c>
      <c r="H37" s="79">
        <f t="shared" si="14"/>
        <v>264.57859119516297</v>
      </c>
    </row>
    <row r="38" spans="1:8">
      <c r="D38">
        <v>18.54</v>
      </c>
      <c r="E38">
        <v>14.46</v>
      </c>
      <c r="F38" s="79">
        <f>D38/2</f>
        <v>9.27</v>
      </c>
      <c r="G38" s="79">
        <f t="shared" si="13"/>
        <v>7.23</v>
      </c>
      <c r="H38" s="79">
        <f t="shared" si="14"/>
        <v>210.55613698816046</v>
      </c>
    </row>
    <row r="39" spans="1:8">
      <c r="D39">
        <v>24.605</v>
      </c>
      <c r="E39">
        <v>14.763</v>
      </c>
      <c r="F39" s="79">
        <f>D39/2</f>
        <v>12.3025</v>
      </c>
      <c r="G39" s="79">
        <f t="shared" si="13"/>
        <v>7.3815</v>
      </c>
      <c r="H39" s="79">
        <f t="shared" si="14"/>
        <v>285.2908680868498</v>
      </c>
    </row>
    <row r="40" spans="1:8">
      <c r="B40" s="81">
        <v>89618.7</v>
      </c>
      <c r="C40" s="82">
        <f>COUNT(D18:D39)</f>
        <v>22</v>
      </c>
      <c r="D40" s="82">
        <f>AVERAGE(D18:D39)</f>
        <v>21.679045454545459</v>
      </c>
      <c r="E40" s="82">
        <f>AVERAGE(E18:E39)</f>
        <v>15.127681818181816</v>
      </c>
      <c r="F40" s="82">
        <f>AVERAGE(F18:F39)</f>
        <v>10.83952272727273</v>
      </c>
      <c r="G40" s="82">
        <f>AVERAGE(G18:G39)</f>
        <v>7.5638409090909082</v>
      </c>
      <c r="H40" s="82">
        <f>AVERAGE(H18:H39)</f>
        <v>270.25661779266676</v>
      </c>
    </row>
    <row r="43" spans="1:8" ht="45">
      <c r="A43" s="2" t="s">
        <v>4</v>
      </c>
      <c r="B43" s="2" t="s">
        <v>14</v>
      </c>
      <c r="C43" s="2" t="s">
        <v>62</v>
      </c>
      <c r="D43" s="2" t="s">
        <v>63</v>
      </c>
      <c r="F43" s="2" t="s">
        <v>54</v>
      </c>
      <c r="H43" s="2" t="s">
        <v>55</v>
      </c>
    </row>
    <row r="44" spans="1:8">
      <c r="A44" t="s">
        <v>217</v>
      </c>
      <c r="D44">
        <v>31.041</v>
      </c>
      <c r="E44">
        <v>17.68</v>
      </c>
      <c r="F44" s="79">
        <f>D44/2</f>
        <v>15.5205</v>
      </c>
      <c r="G44" s="79">
        <f t="shared" ref="G44" si="16">E44/2</f>
        <v>8.84</v>
      </c>
      <c r="H44" s="79">
        <f t="shared" ref="H44" si="17">PI()*(F44)*G44</f>
        <v>431.03034481555699</v>
      </c>
    </row>
    <row r="45" spans="1:8">
      <c r="D45">
        <v>30.686</v>
      </c>
      <c r="E45">
        <v>18.809999999999999</v>
      </c>
      <c r="F45" s="79">
        <f t="shared" ref="F45:F79" si="18">D45/2</f>
        <v>15.343</v>
      </c>
      <c r="G45" s="79">
        <f t="shared" ref="G45:G79" si="19">E45/2</f>
        <v>9.4049999999999994</v>
      </c>
      <c r="H45" s="79">
        <f t="shared" ref="H45:H79" si="20">PI()*(F45)*G45</f>
        <v>453.33469447028511</v>
      </c>
    </row>
    <row r="46" spans="1:8">
      <c r="D46">
        <v>12.036</v>
      </c>
      <c r="E46">
        <v>11.433999999999999</v>
      </c>
      <c r="F46" s="79">
        <f t="shared" si="18"/>
        <v>6.0179999999999998</v>
      </c>
      <c r="G46" s="79">
        <f t="shared" si="19"/>
        <v>5.7169999999999996</v>
      </c>
      <c r="H46" s="79">
        <f t="shared" si="20"/>
        <v>108.08619993704738</v>
      </c>
    </row>
    <row r="47" spans="1:8">
      <c r="D47">
        <v>12.494999999999999</v>
      </c>
      <c r="E47">
        <v>13.324999999999999</v>
      </c>
      <c r="F47" s="79">
        <f t="shared" si="18"/>
        <v>6.2474999999999996</v>
      </c>
      <c r="G47" s="79">
        <f t="shared" si="19"/>
        <v>6.6624999999999996</v>
      </c>
      <c r="H47" s="79">
        <f t="shared" si="20"/>
        <v>130.76555443825112</v>
      </c>
    </row>
    <row r="48" spans="1:8">
      <c r="D48">
        <v>19.061</v>
      </c>
      <c r="E48">
        <v>13.532</v>
      </c>
      <c r="F48" s="79">
        <f t="shared" si="18"/>
        <v>9.5305</v>
      </c>
      <c r="G48" s="79">
        <f t="shared" si="19"/>
        <v>6.766</v>
      </c>
      <c r="H48" s="79">
        <f t="shared" si="20"/>
        <v>202.58045947956387</v>
      </c>
    </row>
    <row r="49" spans="4:8">
      <c r="D49">
        <v>26.37</v>
      </c>
      <c r="E49">
        <v>17.946000000000002</v>
      </c>
      <c r="F49" s="79">
        <f t="shared" si="18"/>
        <v>13.185</v>
      </c>
      <c r="G49" s="79">
        <f t="shared" si="19"/>
        <v>8.9730000000000008</v>
      </c>
      <c r="H49" s="79">
        <f t="shared" si="20"/>
        <v>371.67870096151819</v>
      </c>
    </row>
    <row r="50" spans="4:8">
      <c r="D50">
        <v>32.454000000000001</v>
      </c>
      <c r="E50">
        <v>18.951000000000001</v>
      </c>
      <c r="F50" s="79">
        <f t="shared" si="18"/>
        <v>16.227</v>
      </c>
      <c r="G50" s="79">
        <f t="shared" si="19"/>
        <v>9.4755000000000003</v>
      </c>
      <c r="H50" s="79">
        <f t="shared" si="20"/>
        <v>483.04795161536487</v>
      </c>
    </row>
    <row r="51" spans="4:8">
      <c r="D51">
        <v>30.347999999999999</v>
      </c>
      <c r="E51">
        <v>19.135999999999999</v>
      </c>
      <c r="F51" s="79">
        <f t="shared" si="18"/>
        <v>15.173999999999999</v>
      </c>
      <c r="G51" s="79">
        <f t="shared" si="19"/>
        <v>9.5679999999999996</v>
      </c>
      <c r="H51" s="79">
        <f t="shared" si="20"/>
        <v>456.1116016238683</v>
      </c>
    </row>
    <row r="52" spans="4:8">
      <c r="D52">
        <v>24.600999999999999</v>
      </c>
      <c r="E52">
        <v>16.103999999999999</v>
      </c>
      <c r="F52" s="79">
        <f t="shared" si="18"/>
        <v>12.3005</v>
      </c>
      <c r="G52" s="79">
        <f t="shared" si="19"/>
        <v>8.0519999999999996</v>
      </c>
      <c r="H52" s="79">
        <f t="shared" si="20"/>
        <v>311.15472782649499</v>
      </c>
    </row>
    <row r="53" spans="4:8">
      <c r="D53">
        <v>31.602</v>
      </c>
      <c r="E53">
        <v>20.84</v>
      </c>
      <c r="F53" s="79">
        <f t="shared" si="18"/>
        <v>15.801</v>
      </c>
      <c r="G53" s="79">
        <f t="shared" si="19"/>
        <v>10.42</v>
      </c>
      <c r="H53" s="79">
        <f t="shared" si="20"/>
        <v>517.25198351185952</v>
      </c>
    </row>
    <row r="54" spans="4:8">
      <c r="D54">
        <v>33.622999999999998</v>
      </c>
      <c r="E54">
        <v>21.518999999999998</v>
      </c>
      <c r="F54" s="79">
        <f t="shared" si="18"/>
        <v>16.811499999999999</v>
      </c>
      <c r="G54" s="79">
        <f t="shared" si="19"/>
        <v>10.759499999999999</v>
      </c>
      <c r="H54" s="79">
        <f t="shared" si="20"/>
        <v>568.26175403662694</v>
      </c>
    </row>
    <row r="55" spans="4:8">
      <c r="D55">
        <v>23.626000000000001</v>
      </c>
      <c r="E55">
        <v>15.358000000000001</v>
      </c>
      <c r="F55" s="79">
        <f t="shared" si="18"/>
        <v>11.813000000000001</v>
      </c>
      <c r="G55" s="79">
        <f t="shared" si="19"/>
        <v>7.6790000000000003</v>
      </c>
      <c r="H55" s="79">
        <f t="shared" si="20"/>
        <v>284.98023761543897</v>
      </c>
    </row>
    <row r="56" spans="4:8">
      <c r="D56">
        <v>36.198999999999998</v>
      </c>
      <c r="E56">
        <v>18.21</v>
      </c>
      <c r="F56" s="79">
        <f t="shared" si="18"/>
        <v>18.099499999999999</v>
      </c>
      <c r="G56" s="79">
        <f t="shared" si="19"/>
        <v>9.1050000000000004</v>
      </c>
      <c r="H56" s="79">
        <f t="shared" si="20"/>
        <v>517.72173800736925</v>
      </c>
    </row>
    <row r="57" spans="4:8">
      <c r="D57">
        <v>31.766999999999999</v>
      </c>
      <c r="E57">
        <v>24.437999999999999</v>
      </c>
      <c r="F57" s="79">
        <f t="shared" si="18"/>
        <v>15.8835</v>
      </c>
      <c r="G57" s="79">
        <f t="shared" si="19"/>
        <v>12.218999999999999</v>
      </c>
      <c r="H57" s="79">
        <f t="shared" si="20"/>
        <v>609.72183059353301</v>
      </c>
    </row>
    <row r="58" spans="4:8">
      <c r="D58">
        <v>21.227</v>
      </c>
      <c r="E58">
        <v>14.426</v>
      </c>
      <c r="F58" s="79">
        <f t="shared" si="18"/>
        <v>10.6135</v>
      </c>
      <c r="G58" s="79">
        <f t="shared" si="19"/>
        <v>7.2130000000000001</v>
      </c>
      <c r="H58" s="79">
        <f t="shared" si="20"/>
        <v>240.50517694507735</v>
      </c>
    </row>
    <row r="59" spans="4:8">
      <c r="D59">
        <v>26.396999999999998</v>
      </c>
      <c r="E59">
        <v>16.193000000000001</v>
      </c>
      <c r="F59" s="79">
        <f t="shared" si="18"/>
        <v>13.198499999999999</v>
      </c>
      <c r="G59" s="79">
        <f t="shared" si="19"/>
        <v>8.0965000000000007</v>
      </c>
      <c r="H59" s="79">
        <f t="shared" si="20"/>
        <v>335.71579108384515</v>
      </c>
    </row>
    <row r="60" spans="4:8">
      <c r="D60">
        <v>22.562000000000001</v>
      </c>
      <c r="E60">
        <v>18.076000000000001</v>
      </c>
      <c r="F60" s="79">
        <f t="shared" si="18"/>
        <v>11.281000000000001</v>
      </c>
      <c r="G60" s="79">
        <f t="shared" si="19"/>
        <v>9.0380000000000003</v>
      </c>
      <c r="H60" s="79">
        <f t="shared" si="20"/>
        <v>320.30949218187368</v>
      </c>
    </row>
    <row r="61" spans="4:8">
      <c r="D61">
        <v>24.181000000000001</v>
      </c>
      <c r="E61">
        <v>17.603000000000002</v>
      </c>
      <c r="F61" s="79">
        <f t="shared" si="18"/>
        <v>12.0905</v>
      </c>
      <c r="G61" s="79">
        <f t="shared" si="19"/>
        <v>8.8015000000000008</v>
      </c>
      <c r="H61" s="79">
        <f t="shared" si="20"/>
        <v>334.31112374736847</v>
      </c>
    </row>
    <row r="62" spans="4:8">
      <c r="D62">
        <v>22.405999999999999</v>
      </c>
      <c r="E62">
        <v>16.733000000000001</v>
      </c>
      <c r="F62" s="79">
        <f t="shared" si="18"/>
        <v>11.202999999999999</v>
      </c>
      <c r="G62" s="79">
        <f t="shared" si="19"/>
        <v>8.3665000000000003</v>
      </c>
      <c r="H62" s="79">
        <f t="shared" si="20"/>
        <v>294.46116369090959</v>
      </c>
    </row>
    <row r="63" spans="4:8">
      <c r="D63">
        <v>15.65</v>
      </c>
      <c r="E63">
        <v>18.664999999999999</v>
      </c>
      <c r="F63" s="79">
        <f t="shared" si="18"/>
        <v>7.8250000000000002</v>
      </c>
      <c r="G63" s="79">
        <f t="shared" si="19"/>
        <v>9.3324999999999996</v>
      </c>
      <c r="H63" s="79">
        <f t="shared" si="20"/>
        <v>229.42049766507927</v>
      </c>
    </row>
    <row r="64" spans="4:8">
      <c r="D64">
        <v>17.381</v>
      </c>
      <c r="E64">
        <v>16.7</v>
      </c>
      <c r="F64" s="79">
        <f t="shared" si="18"/>
        <v>8.6905000000000001</v>
      </c>
      <c r="G64" s="79">
        <f t="shared" si="19"/>
        <v>8.35</v>
      </c>
      <c r="H64" s="79">
        <f t="shared" si="20"/>
        <v>227.97179148278451</v>
      </c>
    </row>
    <row r="65" spans="2:8">
      <c r="D65">
        <v>15.093</v>
      </c>
      <c r="E65">
        <v>10.849</v>
      </c>
      <c r="F65" s="79">
        <f t="shared" si="18"/>
        <v>7.5465</v>
      </c>
      <c r="G65" s="79">
        <f t="shared" si="19"/>
        <v>5.4245000000000001</v>
      </c>
      <c r="H65" s="79">
        <f t="shared" si="20"/>
        <v>128.60420309523076</v>
      </c>
    </row>
    <row r="66" spans="2:8">
      <c r="D66">
        <v>19.788</v>
      </c>
      <c r="E66">
        <v>17.664999999999999</v>
      </c>
      <c r="F66" s="79">
        <f t="shared" si="18"/>
        <v>9.8940000000000001</v>
      </c>
      <c r="G66" s="79">
        <f t="shared" si="19"/>
        <v>8.8324999999999996</v>
      </c>
      <c r="H66" s="79">
        <f t="shared" si="20"/>
        <v>274.5398707143583</v>
      </c>
    </row>
    <row r="67" spans="2:8">
      <c r="D67">
        <v>20.425999999999998</v>
      </c>
      <c r="E67">
        <v>15.545</v>
      </c>
      <c r="F67" s="79">
        <f t="shared" si="18"/>
        <v>10.212999999999999</v>
      </c>
      <c r="G67" s="79">
        <f t="shared" si="19"/>
        <v>7.7725</v>
      </c>
      <c r="H67" s="79">
        <f t="shared" si="20"/>
        <v>249.38132915597231</v>
      </c>
    </row>
    <row r="68" spans="2:8">
      <c r="D68">
        <v>14.682</v>
      </c>
      <c r="E68">
        <v>22.013999999999999</v>
      </c>
      <c r="F68" s="79">
        <f t="shared" si="18"/>
        <v>7.3410000000000002</v>
      </c>
      <c r="G68" s="79">
        <f t="shared" si="19"/>
        <v>11.007</v>
      </c>
      <c r="H68" s="79">
        <f t="shared" si="20"/>
        <v>253.8481853917194</v>
      </c>
    </row>
    <row r="69" spans="2:8">
      <c r="D69">
        <v>36.341000000000001</v>
      </c>
      <c r="E69">
        <v>22.585000000000001</v>
      </c>
      <c r="F69" s="79">
        <f t="shared" si="18"/>
        <v>18.170500000000001</v>
      </c>
      <c r="G69" s="79">
        <f t="shared" si="19"/>
        <v>11.2925</v>
      </c>
      <c r="H69" s="79">
        <f t="shared" si="20"/>
        <v>644.62456290636226</v>
      </c>
    </row>
    <row r="70" spans="2:8">
      <c r="D70">
        <v>20.222999999999999</v>
      </c>
      <c r="E70">
        <v>9.3640000000000008</v>
      </c>
      <c r="F70" s="79">
        <f t="shared" si="18"/>
        <v>10.111499999999999</v>
      </c>
      <c r="G70" s="79">
        <f t="shared" si="19"/>
        <v>4.6820000000000004</v>
      </c>
      <c r="H70" s="79">
        <f t="shared" si="20"/>
        <v>148.72941449473208</v>
      </c>
    </row>
    <row r="71" spans="2:8">
      <c r="D71">
        <v>16.553000000000001</v>
      </c>
      <c r="E71">
        <v>14.956</v>
      </c>
      <c r="F71" s="79">
        <f t="shared" si="18"/>
        <v>8.2765000000000004</v>
      </c>
      <c r="G71" s="79">
        <f t="shared" si="19"/>
        <v>7.4779999999999998</v>
      </c>
      <c r="H71" s="79">
        <f t="shared" si="20"/>
        <v>194.43840636562584</v>
      </c>
    </row>
    <row r="72" spans="2:8">
      <c r="D72">
        <v>25.291</v>
      </c>
      <c r="E72">
        <v>17.876999999999999</v>
      </c>
      <c r="F72" s="79">
        <f t="shared" si="18"/>
        <v>12.6455</v>
      </c>
      <c r="G72" s="79">
        <f t="shared" si="19"/>
        <v>8.9384999999999994</v>
      </c>
      <c r="H72" s="79">
        <f t="shared" si="20"/>
        <v>355.09987799981786</v>
      </c>
    </row>
    <row r="73" spans="2:8">
      <c r="D73">
        <v>21.116</v>
      </c>
      <c r="E73">
        <v>17.908999999999999</v>
      </c>
      <c r="F73" s="79">
        <f t="shared" si="18"/>
        <v>10.558</v>
      </c>
      <c r="G73" s="79">
        <f t="shared" si="19"/>
        <v>8.9544999999999995</v>
      </c>
      <c r="H73" s="79">
        <f t="shared" si="20"/>
        <v>297.01123057614399</v>
      </c>
    </row>
    <row r="74" spans="2:8">
      <c r="D74">
        <v>26.556000000000001</v>
      </c>
      <c r="E74">
        <v>20.161999999999999</v>
      </c>
      <c r="F74" s="79">
        <f t="shared" si="18"/>
        <v>13.278</v>
      </c>
      <c r="G74" s="79">
        <f t="shared" si="19"/>
        <v>10.081</v>
      </c>
      <c r="H74" s="79">
        <f t="shared" si="20"/>
        <v>420.51951199125631</v>
      </c>
    </row>
    <row r="75" spans="2:8">
      <c r="D75">
        <v>21.382999999999999</v>
      </c>
      <c r="E75">
        <v>10.426</v>
      </c>
      <c r="F75" s="79">
        <f t="shared" si="18"/>
        <v>10.6915</v>
      </c>
      <c r="G75" s="79">
        <f t="shared" si="19"/>
        <v>5.2130000000000001</v>
      </c>
      <c r="H75" s="79">
        <f t="shared" si="20"/>
        <v>175.09600524257354</v>
      </c>
    </row>
    <row r="76" spans="2:8">
      <c r="D76">
        <v>20.161999999999999</v>
      </c>
      <c r="E76">
        <v>20.704000000000001</v>
      </c>
      <c r="F76" s="79">
        <f t="shared" si="18"/>
        <v>10.081</v>
      </c>
      <c r="G76" s="79">
        <f t="shared" si="19"/>
        <v>10.352</v>
      </c>
      <c r="H76" s="79">
        <f t="shared" si="20"/>
        <v>327.85193463876226</v>
      </c>
    </row>
    <row r="77" spans="2:8">
      <c r="D77">
        <v>28.513999999999999</v>
      </c>
      <c r="E77">
        <v>14.257</v>
      </c>
      <c r="F77" s="79">
        <f t="shared" si="18"/>
        <v>14.257</v>
      </c>
      <c r="G77" s="79">
        <f t="shared" si="19"/>
        <v>7.1284999999999998</v>
      </c>
      <c r="H77" s="79">
        <f t="shared" si="20"/>
        <v>319.28327994600426</v>
      </c>
    </row>
    <row r="78" spans="2:8">
      <c r="D78">
        <v>34.988999999999997</v>
      </c>
      <c r="E78">
        <v>21.324000000000002</v>
      </c>
      <c r="F78" s="79">
        <f t="shared" si="18"/>
        <v>17.494499999999999</v>
      </c>
      <c r="G78" s="79">
        <f t="shared" si="19"/>
        <v>10.662000000000001</v>
      </c>
      <c r="H78" s="79">
        <f t="shared" si="20"/>
        <v>585.9898391352524</v>
      </c>
    </row>
    <row r="79" spans="2:8">
      <c r="D79">
        <v>25.33</v>
      </c>
      <c r="E79">
        <v>20.533999999999999</v>
      </c>
      <c r="F79" s="79">
        <f t="shared" si="18"/>
        <v>12.664999999999999</v>
      </c>
      <c r="G79" s="79">
        <f t="shared" si="19"/>
        <v>10.266999999999999</v>
      </c>
      <c r="H79" s="79">
        <f t="shared" si="20"/>
        <v>408.50617792285709</v>
      </c>
    </row>
    <row r="80" spans="2:8">
      <c r="B80">
        <v>51837.392</v>
      </c>
      <c r="C80" s="82">
        <f>COUNT(D44:D79)</f>
        <v>36</v>
      </c>
      <c r="D80" s="82">
        <f>AVERAGE(D44:D79)</f>
        <v>24.226666666666674</v>
      </c>
      <c r="E80" s="82">
        <f>AVERAGE(E44:E79)</f>
        <v>17.273611111111112</v>
      </c>
      <c r="F80" s="82">
        <f>AVERAGE(F44:F79)</f>
        <v>12.113333333333337</v>
      </c>
      <c r="G80" s="82">
        <f>AVERAGE(G44:G79)</f>
        <v>8.6368055555555561</v>
      </c>
      <c r="H80" s="82">
        <f>AVERAGE(H44:H79)</f>
        <v>339.22074014739951</v>
      </c>
    </row>
    <row r="83" spans="1:8" ht="45">
      <c r="A83" s="2" t="s">
        <v>4</v>
      </c>
      <c r="B83" s="2" t="s">
        <v>14</v>
      </c>
      <c r="C83" s="2" t="s">
        <v>62</v>
      </c>
      <c r="D83" s="2" t="s">
        <v>63</v>
      </c>
      <c r="F83" s="2" t="s">
        <v>54</v>
      </c>
      <c r="H83" s="2" t="s">
        <v>55</v>
      </c>
    </row>
    <row r="84" spans="1:8">
      <c r="A84" t="s">
        <v>217</v>
      </c>
      <c r="D84">
        <v>35.975000000000001</v>
      </c>
      <c r="E84">
        <v>19.452999999999999</v>
      </c>
      <c r="F84" s="79">
        <f>D84/2</f>
        <v>17.987500000000001</v>
      </c>
      <c r="G84" s="79">
        <f t="shared" ref="G84:G104" si="21">E84/2</f>
        <v>9.7264999999999997</v>
      </c>
      <c r="H84" s="79">
        <f t="shared" ref="H84:H104" si="22">PI()*(F84)*G84</f>
        <v>549.63865825072594</v>
      </c>
    </row>
    <row r="85" spans="1:8">
      <c r="D85">
        <v>27.268999999999998</v>
      </c>
      <c r="E85">
        <v>23.173999999999999</v>
      </c>
      <c r="F85" s="79">
        <f t="shared" ref="F85:F104" si="23">D85/2</f>
        <v>13.634499999999999</v>
      </c>
      <c r="G85" s="79">
        <f t="shared" si="21"/>
        <v>11.587</v>
      </c>
      <c r="H85" s="79">
        <f t="shared" si="22"/>
        <v>496.31807982483252</v>
      </c>
    </row>
    <row r="86" spans="1:8">
      <c r="D86">
        <v>21.63</v>
      </c>
      <c r="E86">
        <v>16.477</v>
      </c>
      <c r="F86" s="79">
        <f t="shared" si="23"/>
        <v>10.815</v>
      </c>
      <c r="G86" s="79">
        <f t="shared" si="21"/>
        <v>8.2385000000000002</v>
      </c>
      <c r="H86" s="79">
        <f t="shared" si="22"/>
        <v>279.91394979342368</v>
      </c>
    </row>
    <row r="87" spans="1:8">
      <c r="D87">
        <v>30.276</v>
      </c>
      <c r="E87">
        <v>24.902000000000001</v>
      </c>
      <c r="F87" s="79">
        <f t="shared" si="23"/>
        <v>15.138</v>
      </c>
      <c r="G87" s="79">
        <f t="shared" si="21"/>
        <v>12.451000000000001</v>
      </c>
      <c r="H87" s="79">
        <f t="shared" si="22"/>
        <v>592.13755582561657</v>
      </c>
    </row>
    <row r="88" spans="1:8">
      <c r="D88">
        <v>18.916</v>
      </c>
      <c r="E88">
        <v>16.007999999999999</v>
      </c>
      <c r="F88" s="79">
        <f t="shared" si="23"/>
        <v>9.4580000000000002</v>
      </c>
      <c r="G88" s="79">
        <f t="shared" si="21"/>
        <v>8.0039999999999996</v>
      </c>
      <c r="H88" s="79">
        <f t="shared" si="22"/>
        <v>237.82431927448869</v>
      </c>
    </row>
    <row r="89" spans="1:8">
      <c r="D89">
        <v>20.442</v>
      </c>
      <c r="E89">
        <v>23.135000000000002</v>
      </c>
      <c r="F89" s="79">
        <f t="shared" si="23"/>
        <v>10.221</v>
      </c>
      <c r="G89" s="79">
        <f t="shared" si="21"/>
        <v>11.567500000000001</v>
      </c>
      <c r="H89" s="79">
        <f t="shared" si="22"/>
        <v>371.43495264150772</v>
      </c>
    </row>
    <row r="90" spans="1:8">
      <c r="D90">
        <v>34.136000000000003</v>
      </c>
      <c r="E90">
        <v>20.727</v>
      </c>
      <c r="F90" s="79">
        <f t="shared" si="23"/>
        <v>17.068000000000001</v>
      </c>
      <c r="G90" s="79">
        <f t="shared" si="21"/>
        <v>10.3635</v>
      </c>
      <c r="H90" s="79">
        <f t="shared" si="22"/>
        <v>555.69815980477551</v>
      </c>
    </row>
    <row r="91" spans="1:8">
      <c r="D91">
        <v>29.131</v>
      </c>
      <c r="E91">
        <v>13.827</v>
      </c>
      <c r="F91" s="79">
        <f t="shared" si="23"/>
        <v>14.5655</v>
      </c>
      <c r="G91" s="79">
        <f t="shared" si="21"/>
        <v>6.9135</v>
      </c>
      <c r="H91" s="79">
        <f t="shared" si="22"/>
        <v>316.35393250669284</v>
      </c>
    </row>
    <row r="92" spans="1:8">
      <c r="D92">
        <v>20.382000000000001</v>
      </c>
      <c r="E92">
        <v>21.536999999999999</v>
      </c>
      <c r="F92" s="79">
        <f t="shared" si="23"/>
        <v>10.191000000000001</v>
      </c>
      <c r="G92" s="79">
        <f t="shared" si="21"/>
        <v>10.7685</v>
      </c>
      <c r="H92" s="79">
        <f t="shared" si="22"/>
        <v>344.7639808354416</v>
      </c>
    </row>
    <row r="93" spans="1:8">
      <c r="D93">
        <v>22.882000000000001</v>
      </c>
      <c r="E93">
        <v>19.143000000000001</v>
      </c>
      <c r="F93" s="79">
        <f t="shared" si="23"/>
        <v>11.441000000000001</v>
      </c>
      <c r="G93" s="79">
        <f t="shared" si="21"/>
        <v>9.5715000000000003</v>
      </c>
      <c r="H93" s="79">
        <f t="shared" si="22"/>
        <v>344.0280564731529</v>
      </c>
    </row>
    <row r="94" spans="1:8">
      <c r="D94">
        <v>27.582000000000001</v>
      </c>
      <c r="E94">
        <v>15.839</v>
      </c>
      <c r="F94" s="79">
        <f t="shared" si="23"/>
        <v>13.791</v>
      </c>
      <c r="G94" s="79">
        <f t="shared" si="21"/>
        <v>7.9195000000000002</v>
      </c>
      <c r="H94" s="79">
        <f t="shared" si="22"/>
        <v>343.11791509025937</v>
      </c>
    </row>
    <row r="95" spans="1:8">
      <c r="D95">
        <v>15.801</v>
      </c>
      <c r="E95">
        <v>17.306999999999999</v>
      </c>
      <c r="F95" s="79">
        <f t="shared" si="23"/>
        <v>7.9005000000000001</v>
      </c>
      <c r="G95" s="79">
        <f t="shared" si="21"/>
        <v>8.6534999999999993</v>
      </c>
      <c r="H95" s="79">
        <f t="shared" si="22"/>
        <v>214.78119190594415</v>
      </c>
    </row>
    <row r="96" spans="1:8">
      <c r="D96">
        <v>25.786999999999999</v>
      </c>
      <c r="E96">
        <v>22.312999999999999</v>
      </c>
      <c r="F96" s="79">
        <f t="shared" si="23"/>
        <v>12.8935</v>
      </c>
      <c r="G96" s="79">
        <f t="shared" si="21"/>
        <v>11.156499999999999</v>
      </c>
      <c r="H96" s="79">
        <f t="shared" si="22"/>
        <v>451.90658221323281</v>
      </c>
    </row>
    <row r="97" spans="2:8">
      <c r="D97">
        <v>17.323</v>
      </c>
      <c r="E97">
        <v>12.747999999999999</v>
      </c>
      <c r="F97" s="79">
        <f t="shared" si="23"/>
        <v>8.6615000000000002</v>
      </c>
      <c r="G97" s="79">
        <f t="shared" si="21"/>
        <v>6.3739999999999997</v>
      </c>
      <c r="H97" s="79">
        <f t="shared" si="22"/>
        <v>173.44230699803938</v>
      </c>
    </row>
    <row r="98" spans="2:8">
      <c r="D98">
        <v>19.577000000000002</v>
      </c>
      <c r="E98">
        <v>17.983000000000001</v>
      </c>
      <c r="F98" s="79">
        <f t="shared" si="23"/>
        <v>9.7885000000000009</v>
      </c>
      <c r="G98" s="79">
        <f t="shared" si="21"/>
        <v>8.9915000000000003</v>
      </c>
      <c r="H98" s="79">
        <f t="shared" si="22"/>
        <v>276.50192962961108</v>
      </c>
    </row>
    <row r="99" spans="2:8">
      <c r="D99">
        <v>27.396000000000001</v>
      </c>
      <c r="E99">
        <v>20.794</v>
      </c>
      <c r="F99" s="79">
        <f t="shared" si="23"/>
        <v>13.698</v>
      </c>
      <c r="G99" s="79">
        <f t="shared" si="21"/>
        <v>10.397</v>
      </c>
      <c r="H99" s="79">
        <f t="shared" si="22"/>
        <v>447.41967554777244</v>
      </c>
    </row>
    <row r="100" spans="2:8">
      <c r="D100">
        <v>26.611000000000001</v>
      </c>
      <c r="E100">
        <v>19.760999999999999</v>
      </c>
      <c r="F100" s="79">
        <f t="shared" si="23"/>
        <v>13.3055</v>
      </c>
      <c r="G100" s="79">
        <f t="shared" si="21"/>
        <v>9.8804999999999996</v>
      </c>
      <c r="H100" s="79">
        <f t="shared" si="22"/>
        <v>413.00945542763543</v>
      </c>
    </row>
    <row r="101" spans="2:8">
      <c r="D101">
        <v>20.706</v>
      </c>
      <c r="E101">
        <v>19.907</v>
      </c>
      <c r="F101" s="79">
        <f t="shared" si="23"/>
        <v>10.353</v>
      </c>
      <c r="G101" s="79">
        <f t="shared" si="21"/>
        <v>9.9535</v>
      </c>
      <c r="H101" s="79">
        <f t="shared" si="22"/>
        <v>323.73667916961966</v>
      </c>
    </row>
    <row r="102" spans="2:8">
      <c r="D102">
        <v>31.992999999999999</v>
      </c>
      <c r="E102">
        <v>21.422000000000001</v>
      </c>
      <c r="F102" s="79">
        <f t="shared" si="23"/>
        <v>15.996499999999999</v>
      </c>
      <c r="G102" s="79">
        <f t="shared" si="21"/>
        <v>10.711</v>
      </c>
      <c r="H102" s="79">
        <f t="shared" si="22"/>
        <v>538.27580900541022</v>
      </c>
    </row>
    <row r="103" spans="2:8">
      <c r="D103">
        <v>17.228000000000002</v>
      </c>
      <c r="E103">
        <v>14.707000000000001</v>
      </c>
      <c r="F103" s="79">
        <f t="shared" si="23"/>
        <v>8.6140000000000008</v>
      </c>
      <c r="G103" s="79">
        <f t="shared" si="21"/>
        <v>7.3535000000000004</v>
      </c>
      <c r="H103" s="79">
        <f t="shared" si="22"/>
        <v>198.99805739437832</v>
      </c>
    </row>
    <row r="104" spans="2:8">
      <c r="D104">
        <v>16.587</v>
      </c>
      <c r="E104">
        <v>6.5519999999999996</v>
      </c>
      <c r="F104" s="79">
        <f t="shared" si="23"/>
        <v>8.2934999999999999</v>
      </c>
      <c r="G104" s="79">
        <f t="shared" si="21"/>
        <v>3.2759999999999998</v>
      </c>
      <c r="H104" s="79">
        <f t="shared" si="22"/>
        <v>85.3555204512638</v>
      </c>
    </row>
    <row r="105" spans="2:8">
      <c r="B105">
        <v>26629.758000000002</v>
      </c>
      <c r="C105" s="82">
        <f>COUNT(D84:D104)</f>
        <v>21</v>
      </c>
      <c r="D105" s="82">
        <f>AVERAGE(D84:D104)</f>
        <v>24.17285714285714</v>
      </c>
      <c r="E105" s="82">
        <f>AVERAGE(E84:E104)</f>
        <v>18.462666666666667</v>
      </c>
      <c r="F105" s="82">
        <f>AVERAGE(F84:F104)</f>
        <v>12.08642857142857</v>
      </c>
      <c r="G105" s="82">
        <f>AVERAGE(G84:G104)</f>
        <v>9.2313333333333336</v>
      </c>
      <c r="H105" s="82">
        <f>AVERAGE(H84:H104)</f>
        <v>359.74556038399163</v>
      </c>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66"/>
  <sheetViews>
    <sheetView topLeftCell="A39" workbookViewId="0">
      <selection activeCell="J63" sqref="J63"/>
    </sheetView>
  </sheetViews>
  <sheetFormatPr baseColWidth="10" defaultRowHeight="15" x14ac:dyDescent="0"/>
  <cols>
    <col min="1" max="1" width="16.83203125" customWidth="1"/>
    <col min="16" max="16" width="15.5" customWidth="1"/>
  </cols>
  <sheetData>
    <row r="1" spans="1:19">
      <c r="D1" s="137"/>
      <c r="E1" s="3" t="s">
        <v>181</v>
      </c>
    </row>
    <row r="2" spans="1:19">
      <c r="A2" t="s">
        <v>131</v>
      </c>
      <c r="D2" s="138"/>
      <c r="E2" s="3" t="s">
        <v>182</v>
      </c>
    </row>
    <row r="4" spans="1:19">
      <c r="A4" t="s">
        <v>130</v>
      </c>
    </row>
    <row r="5" spans="1:19">
      <c r="A5" t="s">
        <v>132</v>
      </c>
    </row>
    <row r="6" spans="1:19">
      <c r="A6" t="s">
        <v>114</v>
      </c>
      <c r="B6">
        <v>250</v>
      </c>
    </row>
    <row r="7" spans="1:19">
      <c r="A7" t="s">
        <v>25</v>
      </c>
      <c r="B7">
        <v>100</v>
      </c>
    </row>
    <row r="8" spans="1:19">
      <c r="A8" t="s">
        <v>26</v>
      </c>
      <c r="B8">
        <v>0</v>
      </c>
    </row>
    <row r="9" spans="1:19">
      <c r="A9" t="s">
        <v>133</v>
      </c>
    </row>
    <row r="10" spans="1:19">
      <c r="A10" t="s">
        <v>134</v>
      </c>
    </row>
    <row r="11" spans="1:19">
      <c r="A11" s="5" t="s">
        <v>17</v>
      </c>
      <c r="B11" s="16"/>
      <c r="C11" s="16"/>
      <c r="D11" s="16"/>
      <c r="E11" s="16"/>
      <c r="F11" s="16"/>
      <c r="G11" s="16"/>
      <c r="H11" s="16"/>
      <c r="I11" s="16"/>
      <c r="J11" s="16"/>
      <c r="K11" s="16"/>
      <c r="L11" s="16"/>
    </row>
    <row r="12" spans="1:19" ht="45">
      <c r="A12" s="52" t="s">
        <v>18</v>
      </c>
      <c r="B12" s="52"/>
      <c r="C12" s="52" t="s">
        <v>19</v>
      </c>
      <c r="D12" s="52"/>
      <c r="E12" s="52" t="s">
        <v>20</v>
      </c>
      <c r="F12" s="52"/>
      <c r="G12" s="52" t="s">
        <v>6</v>
      </c>
      <c r="H12" s="52" t="s">
        <v>21</v>
      </c>
      <c r="I12" s="52" t="s">
        <v>22</v>
      </c>
      <c r="J12" s="52" t="s">
        <v>8</v>
      </c>
      <c r="K12" s="68" t="s">
        <v>23</v>
      </c>
      <c r="L12" s="68" t="s">
        <v>24</v>
      </c>
      <c r="M12" s="68" t="s">
        <v>107</v>
      </c>
      <c r="O12" s="53" t="s">
        <v>82</v>
      </c>
      <c r="P12" s="54" t="s">
        <v>4</v>
      </c>
      <c r="Q12" s="53" t="s">
        <v>83</v>
      </c>
      <c r="R12" s="53" t="s">
        <v>25</v>
      </c>
      <c r="S12" s="53" t="s">
        <v>26</v>
      </c>
    </row>
    <row r="13" spans="1:19">
      <c r="A13" s="108" t="str">
        <f>A36</f>
        <v>Tethya-cho-RR-09</v>
      </c>
      <c r="B13" s="81" t="s">
        <v>136</v>
      </c>
      <c r="C13" s="108">
        <f t="shared" ref="C13:L13" si="0">C41</f>
        <v>39.876999999999995</v>
      </c>
      <c r="D13" s="108">
        <f t="shared" si="0"/>
        <v>39.876999999999995</v>
      </c>
      <c r="E13" s="108">
        <f t="shared" si="0"/>
        <v>19.938499999999998</v>
      </c>
      <c r="F13" s="108">
        <f t="shared" si="0"/>
        <v>19.938499999999998</v>
      </c>
      <c r="G13" s="108">
        <f t="shared" si="0"/>
        <v>1419.5621998026718</v>
      </c>
      <c r="H13" s="108">
        <f t="shared" si="0"/>
        <v>2</v>
      </c>
      <c r="I13" s="108">
        <f t="shared" si="0"/>
        <v>2839.1243996053436</v>
      </c>
      <c r="J13" s="108">
        <f t="shared" si="0"/>
        <v>85495.013999999996</v>
      </c>
      <c r="K13" s="108">
        <f t="shared" si="0"/>
        <v>3.3208069883529624E-2</v>
      </c>
      <c r="L13" s="108">
        <f t="shared" si="0"/>
        <v>3.3208069883529623</v>
      </c>
      <c r="M13" s="108">
        <f t="shared" ref="M13:M14" si="1">K13*100</f>
        <v>3.3208069883529623</v>
      </c>
      <c r="O13" s="53"/>
      <c r="P13" s="53" t="str">
        <f>A46</f>
        <v>Tethya-RR-cho-C-02</v>
      </c>
      <c r="Q13" s="99"/>
      <c r="S13">
        <v>74.353999999999999</v>
      </c>
    </row>
    <row r="14" spans="1:19">
      <c r="A14" s="86" t="str">
        <f>A46</f>
        <v>Tethya-RR-cho-C-02</v>
      </c>
      <c r="B14" s="86" t="s">
        <v>136</v>
      </c>
      <c r="C14" s="86">
        <f>C57</f>
        <v>29.857625000000002</v>
      </c>
      <c r="D14" s="86">
        <f t="shared" ref="D14:L14" si="2">D57</f>
        <v>29.857625000000002</v>
      </c>
      <c r="E14" s="86">
        <f t="shared" si="2"/>
        <v>14.928812500000001</v>
      </c>
      <c r="F14" s="86">
        <f t="shared" si="2"/>
        <v>14.928812500000001</v>
      </c>
      <c r="G14" s="86">
        <f t="shared" si="2"/>
        <v>975.87905984607892</v>
      </c>
      <c r="H14" s="86">
        <f t="shared" si="2"/>
        <v>8</v>
      </c>
      <c r="I14" s="86">
        <f t="shared" si="2"/>
        <v>7807.0324787686313</v>
      </c>
      <c r="J14" s="86">
        <f t="shared" si="2"/>
        <v>482000</v>
      </c>
      <c r="K14" s="86">
        <f t="shared" si="2"/>
        <v>1.6197162819022056E-2</v>
      </c>
      <c r="L14" s="86">
        <f t="shared" si="2"/>
        <v>1.6197162819022055</v>
      </c>
      <c r="M14" s="108">
        <f t="shared" si="1"/>
        <v>1.6197162819022055</v>
      </c>
      <c r="O14" s="53"/>
      <c r="P14" s="53" t="s">
        <v>297</v>
      </c>
      <c r="Q14" s="99"/>
      <c r="R14">
        <v>994.45600000000002</v>
      </c>
      <c r="S14" s="99"/>
    </row>
    <row r="15" spans="1:19">
      <c r="A15" s="53" t="s">
        <v>297</v>
      </c>
      <c r="B15" s="86"/>
      <c r="C15" s="86"/>
      <c r="D15" s="86"/>
      <c r="E15" s="86"/>
      <c r="F15" s="86"/>
      <c r="G15" s="86"/>
      <c r="H15" s="86"/>
      <c r="I15" s="86"/>
      <c r="J15" s="86"/>
      <c r="K15" s="86"/>
      <c r="L15" s="86"/>
      <c r="M15" s="108"/>
      <c r="O15" s="53"/>
      <c r="P15" s="53"/>
      <c r="Q15" s="99"/>
      <c r="R15" s="99"/>
      <c r="S15" s="99"/>
    </row>
    <row r="16" spans="1:19">
      <c r="A16" s="86"/>
      <c r="B16" s="86"/>
      <c r="C16" s="86"/>
      <c r="D16" s="86"/>
      <c r="E16" s="86"/>
      <c r="F16" s="86"/>
      <c r="G16" s="86"/>
      <c r="H16" s="86"/>
      <c r="I16" s="86"/>
      <c r="J16" s="86"/>
      <c r="K16" s="86"/>
      <c r="L16" s="86"/>
      <c r="M16" s="108"/>
      <c r="O16" s="53"/>
      <c r="P16" s="53"/>
      <c r="Q16" s="99"/>
      <c r="R16" s="99"/>
      <c r="S16" s="99"/>
    </row>
    <row r="17" spans="1:19">
      <c r="A17" s="86"/>
      <c r="B17" s="86"/>
      <c r="C17" s="86"/>
      <c r="D17" s="86"/>
      <c r="E17" s="86"/>
      <c r="F17" s="86"/>
      <c r="G17" s="86"/>
      <c r="H17" s="86"/>
      <c r="I17" s="86"/>
      <c r="J17" s="86"/>
      <c r="K17" s="86"/>
      <c r="L17" s="86"/>
      <c r="M17" s="108"/>
      <c r="O17" s="53"/>
      <c r="P17" s="53"/>
      <c r="Q17" s="99"/>
      <c r="R17" s="99"/>
      <c r="S17" s="99"/>
    </row>
    <row r="18" spans="1:19">
      <c r="A18" s="86"/>
      <c r="B18" s="86"/>
      <c r="C18" s="86"/>
      <c r="D18" s="86"/>
      <c r="E18" s="86"/>
      <c r="F18" s="86"/>
      <c r="G18" s="86"/>
      <c r="H18" s="86"/>
      <c r="I18" s="86"/>
      <c r="J18" s="86"/>
      <c r="K18" s="86"/>
      <c r="L18" s="86"/>
      <c r="M18" s="108"/>
      <c r="O18" s="53"/>
      <c r="P18" s="53"/>
      <c r="Q18" s="99"/>
      <c r="R18" s="99"/>
      <c r="S18" s="99"/>
    </row>
    <row r="19" spans="1:19">
      <c r="A19" s="86"/>
      <c r="B19" s="86"/>
      <c r="C19" s="86"/>
      <c r="D19" s="86"/>
      <c r="E19" s="86"/>
      <c r="F19" s="86"/>
      <c r="G19" s="86"/>
      <c r="H19" s="86"/>
      <c r="I19" s="86"/>
      <c r="J19" s="86"/>
      <c r="K19" s="86"/>
      <c r="L19" s="86"/>
      <c r="M19" s="86"/>
      <c r="O19" s="53"/>
      <c r="P19" s="53"/>
      <c r="Q19" s="99"/>
      <c r="R19" s="99"/>
      <c r="S19" s="99"/>
    </row>
    <row r="20" spans="1:19">
      <c r="A20" s="86"/>
      <c r="B20" s="86"/>
      <c r="C20" s="86"/>
      <c r="D20" s="86"/>
      <c r="E20" s="86"/>
      <c r="F20" s="86"/>
      <c r="G20" s="86"/>
      <c r="H20" s="86"/>
      <c r="I20" s="86"/>
      <c r="J20" s="86"/>
      <c r="K20" s="86"/>
      <c r="L20" s="86"/>
      <c r="M20" s="86"/>
      <c r="O20" s="53"/>
      <c r="P20" s="53"/>
      <c r="Q20" s="99"/>
      <c r="R20" s="99"/>
      <c r="S20" s="99"/>
    </row>
    <row r="21" spans="1:19">
      <c r="A21" s="86"/>
      <c r="B21" s="86"/>
      <c r="C21" s="86"/>
      <c r="D21" s="86"/>
      <c r="E21" s="86"/>
      <c r="F21" s="86"/>
      <c r="G21" s="86"/>
      <c r="H21" s="86"/>
      <c r="I21" s="86"/>
      <c r="J21" s="86"/>
      <c r="K21" s="86"/>
      <c r="L21" s="86"/>
      <c r="M21" s="86"/>
      <c r="P21" t="s">
        <v>106</v>
      </c>
      <c r="Q21" s="79" t="e">
        <f>AVERAGE(Q13:Q20)</f>
        <v>#DIV/0!</v>
      </c>
      <c r="R21" s="79">
        <f>AVERAGE(R14:R20)</f>
        <v>994.45600000000002</v>
      </c>
      <c r="S21" s="79">
        <f>AVERAGE(S13:S20)</f>
        <v>74.353999999999999</v>
      </c>
    </row>
    <row r="22" spans="1:19">
      <c r="A22" s="86"/>
      <c r="B22" s="86"/>
      <c r="C22" s="86"/>
      <c r="D22" s="86"/>
      <c r="E22" s="86"/>
      <c r="F22" s="86"/>
      <c r="G22" s="86"/>
      <c r="H22" s="86"/>
      <c r="I22" s="86"/>
      <c r="J22" s="86"/>
      <c r="K22" s="86"/>
      <c r="L22" s="86"/>
      <c r="M22" s="86"/>
    </row>
    <row r="23" spans="1:19">
      <c r="A23" s="86"/>
      <c r="B23" s="86"/>
      <c r="C23" s="86"/>
      <c r="D23" s="86"/>
      <c r="E23" s="86"/>
      <c r="F23" s="86"/>
      <c r="G23" s="86"/>
      <c r="H23" s="86"/>
      <c r="I23" s="86"/>
      <c r="J23" s="86"/>
      <c r="K23" s="86"/>
      <c r="L23" s="86"/>
      <c r="M23" s="86"/>
    </row>
    <row r="24" spans="1:19">
      <c r="A24" s="86"/>
      <c r="B24" s="86"/>
      <c r="C24" s="86"/>
      <c r="D24" s="86"/>
      <c r="E24" s="86"/>
      <c r="F24" s="86"/>
      <c r="G24" s="86"/>
      <c r="H24" s="86"/>
      <c r="I24" s="86"/>
      <c r="J24" s="86"/>
      <c r="K24" s="86"/>
      <c r="L24" s="86"/>
      <c r="M24" s="86"/>
    </row>
    <row r="25" spans="1:19">
      <c r="A25" s="89"/>
      <c r="B25" s="89"/>
      <c r="C25" s="86"/>
      <c r="D25" s="86"/>
      <c r="E25" s="86"/>
      <c r="F25" s="86"/>
      <c r="G25" s="86"/>
      <c r="H25" s="86"/>
      <c r="I25" s="86"/>
      <c r="J25" s="86"/>
      <c r="K25" s="86"/>
      <c r="L25" s="86"/>
      <c r="M25" s="89"/>
    </row>
    <row r="26" spans="1:19">
      <c r="A26" s="83" t="s">
        <v>106</v>
      </c>
      <c r="B26" s="83" t="s">
        <v>83</v>
      </c>
      <c r="C26" s="83" t="e">
        <f>AVERAGE(#REF!,C16)</f>
        <v>#REF!</v>
      </c>
      <c r="D26" s="83" t="e">
        <f>AVERAGE(#REF!,D16)</f>
        <v>#REF!</v>
      </c>
      <c r="E26" s="83" t="e">
        <f>AVERAGE(#REF!,E16)</f>
        <v>#REF!</v>
      </c>
      <c r="F26" s="83" t="e">
        <f>AVERAGE(#REF!,F16)</f>
        <v>#REF!</v>
      </c>
      <c r="G26" s="83" t="e">
        <f>AVERAGE(#REF!,G16)</f>
        <v>#REF!</v>
      </c>
      <c r="H26" s="83" t="e">
        <f>AVERAGE(#REF!,H16)</f>
        <v>#REF!</v>
      </c>
      <c r="I26" s="83" t="e">
        <f>AVERAGE(#REF!,I16)</f>
        <v>#REF!</v>
      </c>
      <c r="J26" s="83" t="e">
        <f>AVERAGE(#REF!,J16)</f>
        <v>#REF!</v>
      </c>
      <c r="K26" s="83" t="e">
        <f>AVERAGE(#REF!,K16)</f>
        <v>#REF!</v>
      </c>
      <c r="L26" s="83" t="e">
        <f>AVERAGE(#REF!,L16)</f>
        <v>#REF!</v>
      </c>
      <c r="M26" s="83" t="e">
        <f>AVERAGE(#REF!,M16)</f>
        <v>#REF!</v>
      </c>
    </row>
    <row r="27" spans="1:19">
      <c r="A27" s="83"/>
      <c r="B27" s="83" t="s">
        <v>25</v>
      </c>
      <c r="C27" s="83" t="e">
        <f>AVERAGE(#REF!,C14,C17)</f>
        <v>#REF!</v>
      </c>
      <c r="D27" s="83" t="e">
        <f>AVERAGE(#REF!,D14,D17)</f>
        <v>#REF!</v>
      </c>
      <c r="E27" s="83" t="e">
        <f>AVERAGE(#REF!,E14,E17)</f>
        <v>#REF!</v>
      </c>
      <c r="F27" s="83" t="e">
        <f>AVERAGE(#REF!,F14,F17)</f>
        <v>#REF!</v>
      </c>
      <c r="G27" s="83" t="e">
        <f>AVERAGE(#REF!,G14,G17)</f>
        <v>#REF!</v>
      </c>
      <c r="H27" s="83" t="e">
        <f>AVERAGE(#REF!,H14,H17)</f>
        <v>#REF!</v>
      </c>
      <c r="I27" s="83" t="e">
        <f>AVERAGE(#REF!,I14,I17)</f>
        <v>#REF!</v>
      </c>
      <c r="J27" s="83" t="e">
        <f>AVERAGE(#REF!,J14,J17)</f>
        <v>#REF!</v>
      </c>
      <c r="K27" s="83" t="e">
        <f>AVERAGE(#REF!,K14,K17)</f>
        <v>#REF!</v>
      </c>
      <c r="L27" s="83" t="e">
        <f>AVERAGE(#REF!,L14,L17)</f>
        <v>#REF!</v>
      </c>
      <c r="M27" s="83" t="e">
        <f>AVERAGE(#REF!,M14,M17)</f>
        <v>#REF!</v>
      </c>
    </row>
    <row r="28" spans="1:19" ht="16" thickBot="1">
      <c r="A28" s="94"/>
      <c r="B28" s="94" t="s">
        <v>26</v>
      </c>
      <c r="C28" s="94">
        <f>AVERAGE(C13,C14,C18)</f>
        <v>34.867312499999997</v>
      </c>
      <c r="D28" s="94">
        <f t="shared" ref="D28:M28" si="3">AVERAGE(D13,D14,D18)</f>
        <v>34.867312499999997</v>
      </c>
      <c r="E28" s="94">
        <f t="shared" si="3"/>
        <v>17.433656249999999</v>
      </c>
      <c r="F28" s="94">
        <f t="shared" si="3"/>
        <v>17.433656249999999</v>
      </c>
      <c r="G28" s="94">
        <f t="shared" si="3"/>
        <v>1197.7206298243755</v>
      </c>
      <c r="H28" s="94">
        <f t="shared" si="3"/>
        <v>5</v>
      </c>
      <c r="I28" s="94">
        <f t="shared" si="3"/>
        <v>5323.0784391869875</v>
      </c>
      <c r="J28" s="94">
        <f t="shared" si="3"/>
        <v>283747.50699999998</v>
      </c>
      <c r="K28" s="94">
        <f t="shared" si="3"/>
        <v>2.4702616351275838E-2</v>
      </c>
      <c r="L28" s="94">
        <f t="shared" si="3"/>
        <v>2.4702616351275841</v>
      </c>
      <c r="M28" s="94">
        <f t="shared" si="3"/>
        <v>2.4702616351275841</v>
      </c>
    </row>
    <row r="35" spans="1:12" ht="45">
      <c r="A35" s="2" t="s">
        <v>135</v>
      </c>
      <c r="B35" s="2" t="s">
        <v>113</v>
      </c>
      <c r="C35" s="2" t="s">
        <v>19</v>
      </c>
      <c r="D35" s="2" t="s">
        <v>84</v>
      </c>
      <c r="E35" s="2" t="s">
        <v>20</v>
      </c>
      <c r="F35" s="2" t="s">
        <v>85</v>
      </c>
      <c r="G35" s="2" t="s">
        <v>6</v>
      </c>
      <c r="H35" s="2" t="s">
        <v>21</v>
      </c>
      <c r="I35" s="2" t="s">
        <v>22</v>
      </c>
      <c r="J35" s="2" t="s">
        <v>8</v>
      </c>
      <c r="K35" s="2" t="s">
        <v>23</v>
      </c>
      <c r="L35" s="2" t="s">
        <v>24</v>
      </c>
    </row>
    <row r="36" spans="1:12">
      <c r="A36" t="s">
        <v>200</v>
      </c>
      <c r="B36" s="2"/>
      <c r="C36" s="145">
        <v>54.616999999999997</v>
      </c>
      <c r="D36" s="145">
        <v>54.616999999999997</v>
      </c>
      <c r="E36" s="79">
        <f>C36/2</f>
        <v>27.308499999999999</v>
      </c>
      <c r="F36" s="79">
        <f>D36/2</f>
        <v>27.308499999999999</v>
      </c>
      <c r="G36" s="79">
        <f>PI()*E36*F36</f>
        <v>2342.855828924537</v>
      </c>
      <c r="H36" s="2"/>
      <c r="I36" s="2"/>
      <c r="J36" s="2"/>
      <c r="K36" s="2"/>
      <c r="L36" s="2"/>
    </row>
    <row r="37" spans="1:12">
      <c r="C37" s="145">
        <v>25.137</v>
      </c>
      <c r="D37" s="145">
        <v>25.137</v>
      </c>
      <c r="E37" s="79">
        <f t="shared" ref="E37:F37" si="4">C37/2</f>
        <v>12.5685</v>
      </c>
      <c r="F37" s="79">
        <f t="shared" si="4"/>
        <v>12.5685</v>
      </c>
      <c r="G37" s="79">
        <f t="shared" ref="G37" si="5">PI()*E37*F37</f>
        <v>496.26857068080653</v>
      </c>
    </row>
    <row r="38" spans="1:12">
      <c r="A38" s="30" t="s">
        <v>79</v>
      </c>
      <c r="B38" s="95">
        <f>COUNT(C36:C37)</f>
        <v>2</v>
      </c>
      <c r="C38" s="95">
        <f>AVERAGE(C36:C37)</f>
        <v>39.876999999999995</v>
      </c>
      <c r="D38" s="95">
        <f>AVERAGE(D36:D37)</f>
        <v>39.876999999999995</v>
      </c>
      <c r="E38" s="95">
        <f>AVERAGE(E36:E37)</f>
        <v>19.938499999999998</v>
      </c>
      <c r="F38" s="95">
        <f>AVERAGE(F36:F37)</f>
        <v>19.938499999999998</v>
      </c>
      <c r="G38" s="95">
        <f>AVERAGE(G36:G37)</f>
        <v>1419.5621998026718</v>
      </c>
      <c r="H38" s="95">
        <f>B38</f>
        <v>2</v>
      </c>
      <c r="I38" s="96">
        <f>H38*G38</f>
        <v>2839.1243996053436</v>
      </c>
      <c r="J38">
        <v>85495.013999999996</v>
      </c>
      <c r="K38" s="96">
        <f>I38/J38</f>
        <v>3.3208069883529624E-2</v>
      </c>
      <c r="L38" s="96">
        <f>K38*100</f>
        <v>3.3208069883529623</v>
      </c>
    </row>
    <row r="39" spans="1:12">
      <c r="A39" s="31" t="s">
        <v>83</v>
      </c>
      <c r="B39" s="97">
        <f>COUNTIF(C36:C37,"&gt;"&amp;$B$6)</f>
        <v>0</v>
      </c>
      <c r="C39" s="98" t="e">
        <f>AVERAGEIF(C36:C37,"&gt;"&amp;$B$6)</f>
        <v>#DIV/0!</v>
      </c>
      <c r="D39" s="98" t="e">
        <f>AVERAGEIF(D36:D37,"&gt;"&amp;$B$6)</f>
        <v>#DIV/0!</v>
      </c>
      <c r="E39" s="98" t="e">
        <f>AVERAGEIF(C36:C37,"&gt;"&amp;$B$6,E36:E37)</f>
        <v>#DIV/0!</v>
      </c>
      <c r="F39" s="98" t="e">
        <f>AVERAGEIF(D36:D37,"&gt;"&amp;$B$6,F36:F37)</f>
        <v>#DIV/0!</v>
      </c>
      <c r="G39" s="98" t="e">
        <f>AVERAGEIF(C36:C37,"&gt;"&amp;$B$6,G36:G37)</f>
        <v>#DIV/0!</v>
      </c>
      <c r="H39" s="98">
        <f>B39</f>
        <v>0</v>
      </c>
      <c r="I39" s="96" t="e">
        <f>H39*G39</f>
        <v>#DIV/0!</v>
      </c>
      <c r="J39" s="97">
        <f>J38</f>
        <v>85495.013999999996</v>
      </c>
      <c r="K39" s="96" t="e">
        <f>I39/J39</f>
        <v>#DIV/0!</v>
      </c>
      <c r="L39" s="96" t="e">
        <f>K39*100</f>
        <v>#DIV/0!</v>
      </c>
    </row>
    <row r="40" spans="1:12">
      <c r="A40" s="29" t="s">
        <v>25</v>
      </c>
      <c r="B40" s="97">
        <f>COUNTIF(C36:C37,"&gt;"&amp;$B$7)-COUNTIF(C36:C37,"&gt;"&amp;$B$6)</f>
        <v>0</v>
      </c>
      <c r="C40" s="97" t="e">
        <f>AVERAGEIFS(C36:C37,C36:C37,"&gt;"&amp;$B$7,C36:C37,"&lt;"&amp;$B$6)</f>
        <v>#DIV/0!</v>
      </c>
      <c r="D40" s="97" t="e">
        <f>AVERAGEIFS(D36:D37,D36:D37,"&gt;"&amp;$B$7,D36:D37,"&lt;"&amp;$B$6)</f>
        <v>#DIV/0!</v>
      </c>
      <c r="E40" s="97" t="e">
        <f>AVERAGEIFS(E36:E37,C36:C37,"&gt;"&amp;$B$7,C36:C37,"&lt;"&amp;$B$6)</f>
        <v>#DIV/0!</v>
      </c>
      <c r="F40" s="97" t="e">
        <f>AVERAGEIFS(F36:F37,D36:D37,"&gt;"&amp;$B$7,D36:D37,"&lt;"&amp;$B$6)</f>
        <v>#DIV/0!</v>
      </c>
      <c r="G40" s="97" t="e">
        <f>AVERAGEIFS(G36:G37,C36:C37,"&gt;"&amp;$B$7,C36:C37,"&lt;"&amp;$B$6)</f>
        <v>#DIV/0!</v>
      </c>
      <c r="H40" s="98">
        <f t="shared" ref="H40" si="6">B40</f>
        <v>0</v>
      </c>
      <c r="I40" s="98" t="e">
        <f>H40*G40</f>
        <v>#DIV/0!</v>
      </c>
      <c r="J40" s="97">
        <f>J38</f>
        <v>85495.013999999996</v>
      </c>
      <c r="K40" s="98" t="e">
        <f>I40/J40</f>
        <v>#DIV/0!</v>
      </c>
      <c r="L40" s="98" t="e">
        <f>K40*100</f>
        <v>#DIV/0!</v>
      </c>
    </row>
    <row r="41" spans="1:12">
      <c r="A41" s="32" t="s">
        <v>26</v>
      </c>
      <c r="B41" s="97">
        <f>COUNTIF(C36:C37,"&gt;"&amp;$B$8)-COUNTIF(C36:C37,"&gt;"&amp;$B$7)</f>
        <v>2</v>
      </c>
      <c r="C41" s="97">
        <f>AVERAGEIFS(C36:C37,C36:C37,"&gt;"&amp;$B$8,C36:C37,"&lt;"&amp;$B$7)</f>
        <v>39.876999999999995</v>
      </c>
      <c r="D41" s="97">
        <f>AVERAGEIFS(D36:D37,D36:D37,"&gt;"&amp;$B$8,D36:D37,"&lt;"&amp;$B$7)</f>
        <v>39.876999999999995</v>
      </c>
      <c r="E41" s="97">
        <f>AVERAGEIFS(E36:E37,C36:C37,"&gt;"&amp;$B$8,C36:C37,"&lt;"&amp;$B$7)</f>
        <v>19.938499999999998</v>
      </c>
      <c r="F41" s="97">
        <f>AVERAGEIFS(F36:F37,D36:D37,"&gt;"&amp;$B$8,D36:D37,"&lt;"&amp;$B$7)</f>
        <v>19.938499999999998</v>
      </c>
      <c r="G41" s="97">
        <f>AVERAGEIFS(G36:G37,C36:C37,"&gt;"&amp;$B$8,C36:C37,"&lt;"&amp;$B$7)</f>
        <v>1419.5621998026718</v>
      </c>
      <c r="H41" s="98">
        <f>B41</f>
        <v>2</v>
      </c>
      <c r="I41" s="98">
        <f>H41*G41</f>
        <v>2839.1243996053436</v>
      </c>
      <c r="J41" s="97">
        <f>J38</f>
        <v>85495.013999999996</v>
      </c>
      <c r="K41" s="98">
        <f>I41/J41</f>
        <v>3.3208069883529624E-2</v>
      </c>
      <c r="L41" s="98">
        <f>K41*100</f>
        <v>3.3208069883529623</v>
      </c>
    </row>
    <row r="45" spans="1:12" ht="45">
      <c r="A45" s="2" t="s">
        <v>135</v>
      </c>
      <c r="B45" s="2" t="s">
        <v>113</v>
      </c>
      <c r="C45" s="2" t="s">
        <v>19</v>
      </c>
      <c r="D45" s="2" t="s">
        <v>84</v>
      </c>
      <c r="E45" s="2" t="s">
        <v>20</v>
      </c>
      <c r="F45" s="2" t="s">
        <v>85</v>
      </c>
      <c r="G45" s="2" t="s">
        <v>6</v>
      </c>
      <c r="H45" s="2" t="s">
        <v>21</v>
      </c>
      <c r="I45" s="2" t="s">
        <v>22</v>
      </c>
      <c r="J45" s="2" t="s">
        <v>8</v>
      </c>
      <c r="K45" s="2" t="s">
        <v>23</v>
      </c>
      <c r="L45" s="2" t="s">
        <v>24</v>
      </c>
    </row>
    <row r="46" spans="1:12">
      <c r="A46" t="s">
        <v>199</v>
      </c>
      <c r="B46" s="2"/>
      <c r="C46">
        <v>36.25</v>
      </c>
      <c r="D46">
        <v>36.25</v>
      </c>
      <c r="E46" s="79">
        <f>C46/2</f>
        <v>18.125</v>
      </c>
      <c r="F46" s="79">
        <f>D46/2</f>
        <v>18.125</v>
      </c>
      <c r="G46" s="79">
        <f>PI()*E46*F46</f>
        <v>1032.0622740894594</v>
      </c>
      <c r="H46" s="2"/>
      <c r="I46" s="2"/>
      <c r="J46" s="2"/>
      <c r="K46" s="2"/>
      <c r="L46" s="2"/>
    </row>
    <row r="47" spans="1:12">
      <c r="B47" s="2"/>
      <c r="C47">
        <v>49.28</v>
      </c>
      <c r="D47">
        <v>49.28</v>
      </c>
      <c r="E47" s="79">
        <f t="shared" ref="E47:E53" si="7">C47/2</f>
        <v>24.64</v>
      </c>
      <c r="F47" s="79">
        <f t="shared" ref="F47:F53" si="8">D47/2</f>
        <v>24.64</v>
      </c>
      <c r="G47" s="79">
        <f t="shared" ref="G47:G53" si="9">PI()*E47*F47</f>
        <v>1907.3538911369099</v>
      </c>
      <c r="H47" s="2"/>
      <c r="I47" s="2"/>
      <c r="J47" s="2"/>
      <c r="K47" s="2"/>
      <c r="L47" s="2"/>
    </row>
    <row r="48" spans="1:12">
      <c r="B48" s="2"/>
      <c r="C48">
        <v>17.161999999999999</v>
      </c>
      <c r="D48">
        <v>17.161999999999999</v>
      </c>
      <c r="E48" s="79">
        <f t="shared" si="7"/>
        <v>8.5809999999999995</v>
      </c>
      <c r="F48" s="79">
        <f t="shared" si="8"/>
        <v>8.5809999999999995</v>
      </c>
      <c r="G48" s="79">
        <f t="shared" si="9"/>
        <v>231.32665429525588</v>
      </c>
      <c r="H48" s="2"/>
      <c r="I48" s="2"/>
      <c r="J48" s="2"/>
      <c r="K48" s="2"/>
      <c r="L48" s="2"/>
    </row>
    <row r="49" spans="1:12">
      <c r="B49" s="2"/>
      <c r="C49">
        <v>16.405999999999999</v>
      </c>
      <c r="D49">
        <v>16.405999999999999</v>
      </c>
      <c r="E49" s="79">
        <f t="shared" si="7"/>
        <v>8.2029999999999994</v>
      </c>
      <c r="F49" s="79">
        <f t="shared" si="8"/>
        <v>8.2029999999999994</v>
      </c>
      <c r="G49" s="79">
        <f t="shared" si="9"/>
        <v>211.39528466026815</v>
      </c>
      <c r="H49" s="2"/>
      <c r="I49" s="2"/>
      <c r="J49" s="2"/>
      <c r="K49" s="2"/>
      <c r="L49" s="2"/>
    </row>
    <row r="50" spans="1:12">
      <c r="B50" s="2"/>
      <c r="C50">
        <v>13.877000000000001</v>
      </c>
      <c r="D50">
        <v>13.877000000000001</v>
      </c>
      <c r="E50" s="79">
        <f t="shared" si="7"/>
        <v>6.9385000000000003</v>
      </c>
      <c r="F50" s="79">
        <f t="shared" si="8"/>
        <v>6.9385000000000003</v>
      </c>
      <c r="G50" s="79">
        <f t="shared" si="9"/>
        <v>151.24501103997312</v>
      </c>
      <c r="H50" s="2"/>
      <c r="I50" s="2"/>
      <c r="J50" s="2"/>
      <c r="K50" s="2"/>
      <c r="L50" s="2"/>
    </row>
    <row r="51" spans="1:12">
      <c r="B51" s="2"/>
      <c r="C51">
        <v>67.875</v>
      </c>
      <c r="D51">
        <v>67.875</v>
      </c>
      <c r="E51" s="79">
        <f t="shared" si="7"/>
        <v>33.9375</v>
      </c>
      <c r="F51" s="79">
        <f t="shared" si="8"/>
        <v>33.9375</v>
      </c>
      <c r="G51" s="79">
        <f t="shared" si="9"/>
        <v>3618.3416106183472</v>
      </c>
      <c r="H51" s="2"/>
      <c r="I51" s="2"/>
      <c r="J51" s="2"/>
      <c r="K51" s="2"/>
      <c r="L51" s="2"/>
    </row>
    <row r="52" spans="1:12">
      <c r="B52" s="2"/>
      <c r="C52">
        <v>26.486999999999998</v>
      </c>
      <c r="D52">
        <v>26.486999999999998</v>
      </c>
      <c r="E52" s="79">
        <f t="shared" si="7"/>
        <v>13.243499999999999</v>
      </c>
      <c r="F52" s="79">
        <f t="shared" si="8"/>
        <v>13.243499999999999</v>
      </c>
      <c r="G52" s="79">
        <f t="shared" si="9"/>
        <v>551.00485364356678</v>
      </c>
      <c r="H52" s="2"/>
      <c r="I52" s="2"/>
      <c r="J52" s="2"/>
      <c r="K52" s="2"/>
      <c r="L52" s="2"/>
    </row>
    <row r="53" spans="1:12">
      <c r="B53" s="2"/>
      <c r="C53">
        <v>11.523999999999999</v>
      </c>
      <c r="D53">
        <v>11.523999999999999</v>
      </c>
      <c r="E53" s="79">
        <f t="shared" si="7"/>
        <v>5.7619999999999996</v>
      </c>
      <c r="F53" s="79">
        <f t="shared" si="8"/>
        <v>5.7619999999999996</v>
      </c>
      <c r="G53" s="79">
        <f t="shared" si="9"/>
        <v>104.30289928485004</v>
      </c>
      <c r="H53" s="2"/>
      <c r="I53" s="2"/>
      <c r="J53" s="2"/>
      <c r="K53" s="2"/>
      <c r="L53" s="2"/>
    </row>
    <row r="54" spans="1:12">
      <c r="A54" s="30" t="s">
        <v>79</v>
      </c>
      <c r="B54" s="95">
        <f>COUNT(C46:C53)</f>
        <v>8</v>
      </c>
      <c r="C54" s="95">
        <f>AVERAGE(C46:C53)</f>
        <v>29.857625000000002</v>
      </c>
      <c r="D54" s="95">
        <f>AVERAGE(D46:D53)</f>
        <v>29.857625000000002</v>
      </c>
      <c r="E54" s="95">
        <f>AVERAGE(E46:E53)</f>
        <v>14.928812500000001</v>
      </c>
      <c r="F54" s="95">
        <f>AVERAGE(F46:F53)</f>
        <v>14.928812500000001</v>
      </c>
      <c r="G54" s="95">
        <f>AVERAGE(G46:G53)</f>
        <v>975.87905984607892</v>
      </c>
      <c r="H54" s="95">
        <f>B54</f>
        <v>8</v>
      </c>
      <c r="I54" s="96">
        <f>H54*G54</f>
        <v>7807.0324787686313</v>
      </c>
      <c r="J54">
        <v>482000</v>
      </c>
      <c r="K54" s="96">
        <f>I54/J54</f>
        <v>1.6197162819022056E-2</v>
      </c>
      <c r="L54" s="96">
        <f>K54*100</f>
        <v>1.6197162819022055</v>
      </c>
    </row>
    <row r="55" spans="1:12">
      <c r="A55" s="31" t="s">
        <v>83</v>
      </c>
      <c r="B55" s="97">
        <f>COUNTIF(C46:C53,"&gt;"&amp;$B$6)</f>
        <v>0</v>
      </c>
      <c r="C55" s="98" t="e">
        <f>AVERAGEIF(C46:C53,"&gt;"&amp;$B$6)</f>
        <v>#DIV/0!</v>
      </c>
      <c r="D55" s="98" t="e">
        <f>AVERAGEIF(D46:D53,"&gt;"&amp;$B$6)</f>
        <v>#DIV/0!</v>
      </c>
      <c r="E55" s="98" t="e">
        <f>AVERAGEIF(C46:C53,"&gt;"&amp;$B$6,E46:E53)</f>
        <v>#DIV/0!</v>
      </c>
      <c r="F55" s="98" t="e">
        <f>AVERAGEIF(D46:D53,"&gt;"&amp;$B$6,F46:F53)</f>
        <v>#DIV/0!</v>
      </c>
      <c r="G55" s="98" t="e">
        <f>AVERAGEIF(C46:C53,"&gt;"&amp;$B$6,G46:G53)</f>
        <v>#DIV/0!</v>
      </c>
      <c r="H55" s="98">
        <f>B55</f>
        <v>0</v>
      </c>
      <c r="I55" s="96" t="e">
        <f>H55*G55</f>
        <v>#DIV/0!</v>
      </c>
      <c r="J55" s="97">
        <f>J54</f>
        <v>482000</v>
      </c>
      <c r="K55" s="96" t="e">
        <f>I55/J55</f>
        <v>#DIV/0!</v>
      </c>
      <c r="L55" s="96" t="e">
        <f>K55*100</f>
        <v>#DIV/0!</v>
      </c>
    </row>
    <row r="56" spans="1:12">
      <c r="A56" s="29" t="s">
        <v>25</v>
      </c>
      <c r="B56" s="97">
        <f>COUNTIF(C46:C53,"&gt;"&amp;$B$7)-COUNTIF(C46:C53,"&gt;"&amp;$B$6)</f>
        <v>0</v>
      </c>
      <c r="C56" s="97" t="e">
        <f>AVERAGEIFS(C46:C53,C46:C53,"&gt;"&amp;$B$7,C46:C53,"&lt;"&amp;$B$6)</f>
        <v>#DIV/0!</v>
      </c>
      <c r="D56" s="97" t="e">
        <f>AVERAGEIFS(D46:D53,D46:D53,"&gt;"&amp;$B$7,D46:D53,"&lt;"&amp;$B$6)</f>
        <v>#DIV/0!</v>
      </c>
      <c r="E56" s="97" t="e">
        <f>AVERAGEIFS(E46:E53,C46:C53,"&gt;"&amp;$B$7,C46:C53,"&lt;"&amp;$B$6)</f>
        <v>#DIV/0!</v>
      </c>
      <c r="F56" s="97" t="e">
        <f>AVERAGEIFS(F46:F53,D46:D53,"&gt;"&amp;$B$7,D46:D53,"&lt;"&amp;$B$6)</f>
        <v>#DIV/0!</v>
      </c>
      <c r="G56" s="97" t="e">
        <f>AVERAGEIFS(G46:G53,C46:C53,"&gt;"&amp;$B$7,C46:C53,"&lt;"&amp;$B$6)</f>
        <v>#DIV/0!</v>
      </c>
      <c r="H56" s="98">
        <f t="shared" ref="H56" si="10">B56</f>
        <v>0</v>
      </c>
      <c r="I56" s="98" t="e">
        <f>H56*G56</f>
        <v>#DIV/0!</v>
      </c>
      <c r="J56" s="97">
        <f>J54</f>
        <v>482000</v>
      </c>
      <c r="K56" s="98" t="e">
        <f>I56/J56</f>
        <v>#DIV/0!</v>
      </c>
      <c r="L56" s="98" t="e">
        <f>K56*100</f>
        <v>#DIV/0!</v>
      </c>
    </row>
    <row r="57" spans="1:12">
      <c r="A57" s="32" t="s">
        <v>26</v>
      </c>
      <c r="B57" s="97">
        <f>COUNTIF(C46:C53,"&gt;"&amp;$B$8)-COUNTIF(C46:C53,"&gt;"&amp;$B$7)</f>
        <v>8</v>
      </c>
      <c r="C57" s="97">
        <f>AVERAGEIFS(C46:C53,C46:C53,"&gt;"&amp;$B$8,C46:C53,"&lt;"&amp;$B$7)</f>
        <v>29.857625000000002</v>
      </c>
      <c r="D57" s="97">
        <f>AVERAGEIFS(D46:D53,D46:D53,"&gt;"&amp;$B$8,D46:D53,"&lt;"&amp;$B$7)</f>
        <v>29.857625000000002</v>
      </c>
      <c r="E57" s="97">
        <f>AVERAGEIFS(E46:E53,C46:C53,"&gt;"&amp;$B$8,C46:C53,"&lt;"&amp;$B$7)</f>
        <v>14.928812500000001</v>
      </c>
      <c r="F57" s="97">
        <f>AVERAGEIFS(F46:F53,D46:D53,"&gt;"&amp;$B$8,D46:D53,"&lt;"&amp;$B$7)</f>
        <v>14.928812500000001</v>
      </c>
      <c r="G57" s="97">
        <f>AVERAGEIFS(G46:G53,C46:C53,"&gt;"&amp;$B$8,C46:C53,"&lt;"&amp;$B$7)</f>
        <v>975.87905984607892</v>
      </c>
      <c r="H57" s="98">
        <f>B57</f>
        <v>8</v>
      </c>
      <c r="I57" s="98">
        <f>H57*G57</f>
        <v>7807.0324787686313</v>
      </c>
      <c r="J57" s="97">
        <f>J54</f>
        <v>482000</v>
      </c>
      <c r="K57" s="98">
        <f>I57/J57</f>
        <v>1.6197162819022056E-2</v>
      </c>
      <c r="L57" s="98">
        <f>K57*100</f>
        <v>1.6197162819022055</v>
      </c>
    </row>
    <row r="60" spans="1:12" ht="45">
      <c r="A60" s="2" t="s">
        <v>135</v>
      </c>
      <c r="B60" s="2" t="s">
        <v>113</v>
      </c>
      <c r="C60" s="2" t="s">
        <v>19</v>
      </c>
      <c r="D60" s="2" t="s">
        <v>84</v>
      </c>
      <c r="E60" s="2" t="s">
        <v>20</v>
      </c>
      <c r="F60" s="2" t="s">
        <v>85</v>
      </c>
      <c r="G60" s="2" t="s">
        <v>6</v>
      </c>
      <c r="H60" s="2" t="s">
        <v>21</v>
      </c>
      <c r="I60" s="2" t="s">
        <v>22</v>
      </c>
      <c r="J60" s="2" t="s">
        <v>8</v>
      </c>
      <c r="K60" s="2" t="s">
        <v>23</v>
      </c>
      <c r="L60" s="2" t="s">
        <v>24</v>
      </c>
    </row>
    <row r="61" spans="1:12">
      <c r="A61" s="53" t="s">
        <v>297</v>
      </c>
      <c r="B61" s="2"/>
      <c r="C61">
        <v>181</v>
      </c>
      <c r="D61">
        <v>181</v>
      </c>
      <c r="E61" s="79">
        <f>C61/2</f>
        <v>90.5</v>
      </c>
      <c r="F61" s="79">
        <f>D61/2</f>
        <v>90.5</v>
      </c>
      <c r="G61" s="79">
        <f>PI()*E61*F61</f>
        <v>25730.429231063805</v>
      </c>
      <c r="H61" s="2"/>
      <c r="I61" s="2"/>
      <c r="J61" s="2"/>
      <c r="K61" s="2"/>
      <c r="L61" s="2"/>
    </row>
    <row r="62" spans="1:12">
      <c r="B62" s="2"/>
      <c r="E62" s="79">
        <f t="shared" ref="E62" si="11">C62/2</f>
        <v>0</v>
      </c>
      <c r="F62" s="79">
        <f t="shared" ref="F62" si="12">D62/2</f>
        <v>0</v>
      </c>
      <c r="G62" s="79">
        <f t="shared" ref="G62" si="13">PI()*E62*F62</f>
        <v>0</v>
      </c>
      <c r="H62" s="2"/>
      <c r="I62" s="2"/>
      <c r="J62" s="2"/>
      <c r="K62" s="2"/>
      <c r="L62" s="2"/>
    </row>
    <row r="63" spans="1:12">
      <c r="A63" s="30" t="s">
        <v>79</v>
      </c>
      <c r="B63" s="95">
        <f>COUNT(C61:C62)</f>
        <v>1</v>
      </c>
      <c r="C63" s="95">
        <f>AVERAGE(C61:C62)</f>
        <v>181</v>
      </c>
      <c r="D63" s="95">
        <f>AVERAGE(D61:D62)</f>
        <v>181</v>
      </c>
      <c r="E63" s="95">
        <f>AVERAGE(E61:E62)</f>
        <v>45.25</v>
      </c>
      <c r="F63" s="95">
        <f>AVERAGE(F61:F62)</f>
        <v>45.25</v>
      </c>
      <c r="G63" s="95">
        <f>AVERAGE(G61:G62)</f>
        <v>12865.214615531902</v>
      </c>
      <c r="H63" s="95">
        <f>B63</f>
        <v>1</v>
      </c>
      <c r="I63" s="96">
        <f>H63*G63</f>
        <v>12865.214615531902</v>
      </c>
      <c r="K63" s="96" t="e">
        <f>I63/J63</f>
        <v>#DIV/0!</v>
      </c>
      <c r="L63" s="96" t="e">
        <f>K63*100</f>
        <v>#DIV/0!</v>
      </c>
    </row>
    <row r="64" spans="1:12">
      <c r="A64" s="31" t="s">
        <v>83</v>
      </c>
      <c r="B64" s="97">
        <f>COUNTIF(C61:C62,"&gt;"&amp;$B$6)</f>
        <v>0</v>
      </c>
      <c r="C64" s="98" t="e">
        <f>AVERAGEIF(C61:C62,"&gt;"&amp;$B$6)</f>
        <v>#DIV/0!</v>
      </c>
      <c r="D64" s="98" t="e">
        <f>AVERAGEIF(D61:D62,"&gt;"&amp;$B$6)</f>
        <v>#DIV/0!</v>
      </c>
      <c r="E64" s="98" t="e">
        <f>AVERAGEIF(C61:C62,"&gt;"&amp;$B$6,E61:E62)</f>
        <v>#DIV/0!</v>
      </c>
      <c r="F64" s="98" t="e">
        <f>AVERAGEIF(D61:D62,"&gt;"&amp;$B$6,F61:F62)</f>
        <v>#DIV/0!</v>
      </c>
      <c r="G64" s="98" t="e">
        <f>AVERAGEIF(C61:C62,"&gt;"&amp;$B$6,G61:G62)</f>
        <v>#DIV/0!</v>
      </c>
      <c r="H64" s="98">
        <f>B64</f>
        <v>0</v>
      </c>
      <c r="I64" s="96" t="e">
        <f>H64*G64</f>
        <v>#DIV/0!</v>
      </c>
      <c r="J64" s="97">
        <f>J63</f>
        <v>0</v>
      </c>
      <c r="K64" s="96" t="e">
        <f>I64/J64</f>
        <v>#DIV/0!</v>
      </c>
      <c r="L64" s="96" t="e">
        <f>K64*100</f>
        <v>#DIV/0!</v>
      </c>
    </row>
    <row r="65" spans="1:12">
      <c r="A65" s="29" t="s">
        <v>25</v>
      </c>
      <c r="B65" s="97">
        <f>COUNTIF(C61:C62,"&gt;"&amp;$B$7)-COUNTIF(C61:C62,"&gt;"&amp;$B$6)</f>
        <v>1</v>
      </c>
      <c r="C65" s="97">
        <f>AVERAGEIFS(C61:C62,C61:C62,"&gt;"&amp;$B$7,C61:C62,"&lt;"&amp;$B$6)</f>
        <v>181</v>
      </c>
      <c r="D65" s="97">
        <f>AVERAGEIFS(D61:D62,D61:D62,"&gt;"&amp;$B$7,D61:D62,"&lt;"&amp;$B$6)</f>
        <v>181</v>
      </c>
      <c r="E65" s="97">
        <f>AVERAGEIFS(E61:E62,C61:C62,"&gt;"&amp;$B$7,C61:C62,"&lt;"&amp;$B$6)</f>
        <v>90.5</v>
      </c>
      <c r="F65" s="97">
        <f>AVERAGEIFS(F61:F62,D61:D62,"&gt;"&amp;$B$7,D61:D62,"&lt;"&amp;$B$6)</f>
        <v>90.5</v>
      </c>
      <c r="G65" s="97">
        <f>AVERAGEIFS(G61:G62,C61:C62,"&gt;"&amp;$B$7,C61:C62,"&lt;"&amp;$B$6)</f>
        <v>25730.429231063805</v>
      </c>
      <c r="H65" s="98">
        <f t="shared" ref="H65" si="14">B65</f>
        <v>1</v>
      </c>
      <c r="I65" s="98">
        <f>H65*G65</f>
        <v>25730.429231063805</v>
      </c>
      <c r="J65" s="97">
        <f>J63</f>
        <v>0</v>
      </c>
      <c r="K65" s="98" t="e">
        <f>I65/J65</f>
        <v>#DIV/0!</v>
      </c>
      <c r="L65" s="98" t="e">
        <f>K65*100</f>
        <v>#DIV/0!</v>
      </c>
    </row>
    <row r="66" spans="1:12">
      <c r="A66" s="32" t="s">
        <v>26</v>
      </c>
      <c r="B66" s="97">
        <f>COUNTIF(C61:C62,"&gt;"&amp;$B$8)-COUNTIF(C61:C62,"&gt;"&amp;$B$7)</f>
        <v>0</v>
      </c>
      <c r="C66" s="97" t="e">
        <f>AVERAGEIFS(C61:C62,C61:C62,"&gt;"&amp;$B$8,C61:C62,"&lt;"&amp;$B$7)</f>
        <v>#DIV/0!</v>
      </c>
      <c r="D66" s="97" t="e">
        <f>AVERAGEIFS(D61:D62,D61:D62,"&gt;"&amp;$B$8,D61:D62,"&lt;"&amp;$B$7)</f>
        <v>#DIV/0!</v>
      </c>
      <c r="E66" s="97" t="e">
        <f>AVERAGEIFS(E61:E62,C61:C62,"&gt;"&amp;$B$8,C61:C62,"&lt;"&amp;$B$7)</f>
        <v>#DIV/0!</v>
      </c>
      <c r="F66" s="97" t="e">
        <f>AVERAGEIFS(F61:F62,D61:D62,"&gt;"&amp;$B$8,D61:D62,"&lt;"&amp;$B$7)</f>
        <v>#DIV/0!</v>
      </c>
      <c r="G66" s="97" t="e">
        <f>AVERAGEIFS(G61:G62,C61:C62,"&gt;"&amp;$B$8,C61:C62,"&lt;"&amp;$B$7)</f>
        <v>#DIV/0!</v>
      </c>
      <c r="H66" s="98">
        <f>B66</f>
        <v>0</v>
      </c>
      <c r="I66" s="98" t="e">
        <f>H66*G66</f>
        <v>#DIV/0!</v>
      </c>
      <c r="J66" s="97">
        <f>J63</f>
        <v>0</v>
      </c>
      <c r="K66" s="98" t="e">
        <f>I66/J66</f>
        <v>#DIV/0!</v>
      </c>
      <c r="L66" s="98" t="e">
        <f>K66*100</f>
        <v>#DIV/0!</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5"/>
  <sheetViews>
    <sheetView workbookViewId="0">
      <selection activeCell="C47" sqref="C47"/>
    </sheetView>
  </sheetViews>
  <sheetFormatPr baseColWidth="10" defaultRowHeight="15" x14ac:dyDescent="0"/>
  <cols>
    <col min="1" max="1" width="26.33203125" customWidth="1"/>
  </cols>
  <sheetData>
    <row r="1" spans="1:9">
      <c r="C1" s="137"/>
      <c r="D1" s="3" t="s">
        <v>181</v>
      </c>
    </row>
    <row r="2" spans="1:9">
      <c r="C2" s="138"/>
      <c r="D2" s="3" t="s">
        <v>182</v>
      </c>
    </row>
    <row r="4" spans="1:9">
      <c r="A4" t="s">
        <v>190</v>
      </c>
    </row>
    <row r="7" spans="1:9">
      <c r="A7" s="33" t="s">
        <v>122</v>
      </c>
    </row>
    <row r="8" spans="1:9">
      <c r="A8" s="46" t="s">
        <v>123</v>
      </c>
      <c r="B8" s="65"/>
      <c r="C8" s="46"/>
      <c r="D8" s="46"/>
      <c r="E8" s="46"/>
      <c r="F8" s="46"/>
      <c r="G8" s="46"/>
    </row>
    <row r="9" spans="1:9" ht="60">
      <c r="B9" s="66" t="s">
        <v>128</v>
      </c>
      <c r="C9" s="66" t="s">
        <v>129</v>
      </c>
      <c r="D9" s="66" t="s">
        <v>220</v>
      </c>
      <c r="E9" s="67" t="s">
        <v>221</v>
      </c>
      <c r="F9" s="67" t="s">
        <v>125</v>
      </c>
      <c r="G9" s="4" t="s">
        <v>223</v>
      </c>
      <c r="H9" s="4" t="s">
        <v>222</v>
      </c>
      <c r="I9" s="67" t="s">
        <v>126</v>
      </c>
    </row>
    <row r="10" spans="1:9">
      <c r="A10" t="str">
        <f>A21</f>
        <v>Tethya-RR-cho-C-19</v>
      </c>
      <c r="B10">
        <f t="shared" ref="B10:F10" si="0">B21</f>
        <v>1.754</v>
      </c>
      <c r="C10">
        <f t="shared" si="0"/>
        <v>1.472</v>
      </c>
      <c r="D10">
        <f t="shared" si="0"/>
        <v>0.877</v>
      </c>
      <c r="E10">
        <f t="shared" si="0"/>
        <v>0.73599999999999999</v>
      </c>
      <c r="F10">
        <f t="shared" si="0"/>
        <v>2.0278100932979108</v>
      </c>
      <c r="G10">
        <f>H31</f>
        <v>66.736874731356551</v>
      </c>
    </row>
    <row r="11" spans="1:9">
      <c r="A11" t="str">
        <f>A35</f>
        <v>Tethya-RR-cho-C-37</v>
      </c>
      <c r="B11">
        <f>B45</f>
        <v>1.8480999999999999</v>
      </c>
      <c r="C11">
        <f t="shared" ref="C11:F11" si="1">C45</f>
        <v>1.4368000000000001</v>
      </c>
      <c r="D11">
        <f t="shared" si="1"/>
        <v>0.92404999999999993</v>
      </c>
      <c r="E11">
        <f t="shared" si="1"/>
        <v>0.71840000000000004</v>
      </c>
      <c r="F11">
        <f t="shared" si="1"/>
        <v>2.1082546572635272</v>
      </c>
      <c r="G11">
        <f>H45</f>
        <v>86.438440947804622</v>
      </c>
    </row>
    <row r="13" spans="1:9">
      <c r="A13" s="46"/>
      <c r="B13" s="46"/>
      <c r="C13" s="46"/>
      <c r="D13" s="46"/>
      <c r="E13" s="46"/>
      <c r="F13" s="46"/>
      <c r="I13" s="46"/>
    </row>
    <row r="14" spans="1:9">
      <c r="A14" s="146" t="s">
        <v>127</v>
      </c>
      <c r="B14" s="147"/>
      <c r="C14" s="148"/>
      <c r="D14" s="147">
        <f>AVERAGE(D10:D13)</f>
        <v>0.90052500000000002</v>
      </c>
      <c r="E14" s="147">
        <f>AVERAGE(E10:E13)</f>
        <v>0.72720000000000007</v>
      </c>
      <c r="F14" s="147">
        <f>AVERAGE(F10:F13)</f>
        <v>2.068032375280719</v>
      </c>
      <c r="G14" s="147">
        <f>AVERAGE(G10:G13)</f>
        <v>76.587657839580586</v>
      </c>
      <c r="H14" s="78">
        <f>'Choanocyte Chambers'!G13</f>
        <v>14403.187311031927</v>
      </c>
      <c r="I14" s="149">
        <f>(G14*H14)/1000000</f>
        <v>1.1031063815767019</v>
      </c>
    </row>
    <row r="20" spans="1:8" ht="45">
      <c r="A20" t="s">
        <v>189</v>
      </c>
      <c r="B20" s="66" t="s">
        <v>128</v>
      </c>
      <c r="C20" s="66" t="s">
        <v>129</v>
      </c>
      <c r="D20" s="66" t="s">
        <v>124</v>
      </c>
      <c r="E20" s="67" t="s">
        <v>124</v>
      </c>
      <c r="F20" s="67" t="s">
        <v>125</v>
      </c>
      <c r="G20" s="67" t="s">
        <v>218</v>
      </c>
      <c r="H20" s="28" t="s">
        <v>219</v>
      </c>
    </row>
    <row r="21" spans="1:8">
      <c r="A21" t="s">
        <v>224</v>
      </c>
      <c r="B21">
        <v>1.754</v>
      </c>
      <c r="C21">
        <v>1.472</v>
      </c>
      <c r="D21" s="79">
        <f>B21/2</f>
        <v>0.877</v>
      </c>
      <c r="E21" s="79">
        <f>C21/2</f>
        <v>0.73599999999999999</v>
      </c>
      <c r="F21" s="79">
        <f>PI()*D21*E21</f>
        <v>2.0278100932979108</v>
      </c>
    </row>
    <row r="22" spans="1:8">
      <c r="B22">
        <v>1.974</v>
      </c>
      <c r="C22">
        <v>1.2190000000000001</v>
      </c>
      <c r="D22" s="79">
        <f t="shared" ref="D22:D30" si="2">B22/2</f>
        <v>0.98699999999999999</v>
      </c>
      <c r="E22" s="79">
        <f t="shared" ref="E22:E30" si="3">C22/2</f>
        <v>0.60950000000000004</v>
      </c>
      <c r="F22" s="79">
        <f t="shared" ref="F22:F30" si="4">PI()*D22*E22</f>
        <v>1.8899083129722603</v>
      </c>
    </row>
    <row r="23" spans="1:8">
      <c r="B23">
        <v>1.4830000000000001</v>
      </c>
      <c r="C23">
        <v>1.59</v>
      </c>
      <c r="D23" s="79">
        <f t="shared" si="2"/>
        <v>0.74150000000000005</v>
      </c>
      <c r="E23" s="79">
        <f t="shared" si="3"/>
        <v>0.79500000000000004</v>
      </c>
      <c r="F23" s="79">
        <f t="shared" si="4"/>
        <v>1.8519453073462815</v>
      </c>
    </row>
    <row r="24" spans="1:8">
      <c r="B24">
        <v>1.4450000000000001</v>
      </c>
      <c r="C24">
        <v>1.3180000000000001</v>
      </c>
      <c r="D24" s="79">
        <f t="shared" si="2"/>
        <v>0.72250000000000003</v>
      </c>
      <c r="E24" s="79">
        <f t="shared" si="3"/>
        <v>0.65900000000000003</v>
      </c>
      <c r="F24" s="79">
        <f t="shared" si="4"/>
        <v>1.4957986561720744</v>
      </c>
    </row>
    <row r="25" spans="1:8">
      <c r="B25">
        <v>1.847</v>
      </c>
      <c r="C25">
        <v>1.843</v>
      </c>
      <c r="D25" s="79">
        <f t="shared" si="2"/>
        <v>0.92349999999999999</v>
      </c>
      <c r="E25" s="79">
        <f t="shared" si="3"/>
        <v>0.92149999999999999</v>
      </c>
      <c r="F25" s="79">
        <f t="shared" si="4"/>
        <v>2.673511841566345</v>
      </c>
    </row>
    <row r="26" spans="1:8">
      <c r="B26">
        <v>1.72</v>
      </c>
      <c r="C26">
        <v>1.143</v>
      </c>
      <c r="D26" s="79">
        <f t="shared" si="2"/>
        <v>0.86</v>
      </c>
      <c r="E26" s="79">
        <f t="shared" si="3"/>
        <v>0.57150000000000001</v>
      </c>
      <c r="F26" s="79">
        <f t="shared" si="4"/>
        <v>1.5440613733128474</v>
      </c>
    </row>
    <row r="27" spans="1:8">
      <c r="B27">
        <v>1.397</v>
      </c>
      <c r="C27">
        <v>1.0429999999999999</v>
      </c>
      <c r="D27" s="79">
        <f t="shared" si="2"/>
        <v>0.69850000000000001</v>
      </c>
      <c r="E27" s="79">
        <f t="shared" si="3"/>
        <v>0.52149999999999996</v>
      </c>
      <c r="F27" s="79">
        <f t="shared" si="4"/>
        <v>1.1443808873396832</v>
      </c>
    </row>
    <row r="28" spans="1:8">
      <c r="B28">
        <v>1.3</v>
      </c>
      <c r="C28">
        <v>1.022</v>
      </c>
      <c r="D28" s="79">
        <f t="shared" si="2"/>
        <v>0.65</v>
      </c>
      <c r="E28" s="79">
        <f t="shared" si="3"/>
        <v>0.51100000000000001</v>
      </c>
      <c r="F28" s="79">
        <f t="shared" si="4"/>
        <v>1.0434799998898499</v>
      </c>
    </row>
    <row r="29" spans="1:8">
      <c r="B29">
        <v>2.0019999999999998</v>
      </c>
      <c r="C29">
        <v>1.012</v>
      </c>
      <c r="D29" s="79">
        <f t="shared" si="2"/>
        <v>1.0009999999999999</v>
      </c>
      <c r="E29" s="79">
        <f t="shared" si="3"/>
        <v>0.50600000000000001</v>
      </c>
      <c r="F29" s="79">
        <f t="shared" si="4"/>
        <v>1.5912355285991517</v>
      </c>
    </row>
    <row r="30" spans="1:8">
      <c r="B30">
        <v>1.621</v>
      </c>
      <c r="C30">
        <v>1.117</v>
      </c>
      <c r="D30" s="79">
        <f t="shared" si="2"/>
        <v>0.8105</v>
      </c>
      <c r="E30" s="79">
        <f t="shared" si="3"/>
        <v>0.5585</v>
      </c>
      <c r="F30" s="79">
        <f t="shared" si="4"/>
        <v>1.4220866823427336</v>
      </c>
    </row>
    <row r="31" spans="1:8">
      <c r="B31" s="79">
        <f>AVERAGE(B21:B30)</f>
        <v>1.6542999999999999</v>
      </c>
      <c r="C31" s="79">
        <f t="shared" ref="C31:F31" si="5">AVERAGE(C21:C30)</f>
        <v>1.2779</v>
      </c>
      <c r="D31" s="79">
        <f t="shared" si="5"/>
        <v>0.82714999999999994</v>
      </c>
      <c r="E31" s="79">
        <f t="shared" si="5"/>
        <v>0.63895000000000002</v>
      </c>
      <c r="F31" s="79">
        <f t="shared" si="5"/>
        <v>1.6684218682839138</v>
      </c>
      <c r="G31" s="81">
        <v>40</v>
      </c>
      <c r="H31" s="79">
        <f>F31*G31</f>
        <v>66.736874731356551</v>
      </c>
    </row>
    <row r="34" spans="1:8" ht="45">
      <c r="A34" t="s">
        <v>189</v>
      </c>
      <c r="B34" s="66" t="s">
        <v>128</v>
      </c>
      <c r="C34" s="66" t="s">
        <v>129</v>
      </c>
      <c r="D34" s="66" t="s">
        <v>124</v>
      </c>
      <c r="E34" s="67" t="s">
        <v>124</v>
      </c>
      <c r="F34" s="67" t="s">
        <v>125</v>
      </c>
      <c r="G34" s="67" t="s">
        <v>218</v>
      </c>
      <c r="H34" s="28" t="s">
        <v>219</v>
      </c>
    </row>
    <row r="35" spans="1:8">
      <c r="A35" t="s">
        <v>225</v>
      </c>
      <c r="B35">
        <v>1.873</v>
      </c>
      <c r="C35">
        <v>1</v>
      </c>
      <c r="D35" s="79">
        <f>B35/2</f>
        <v>0.9365</v>
      </c>
      <c r="E35" s="79">
        <f>C35/2</f>
        <v>0.5</v>
      </c>
      <c r="F35" s="79">
        <f>PI()*D35*E35</f>
        <v>1.4710507600434206</v>
      </c>
    </row>
    <row r="36" spans="1:8">
      <c r="B36">
        <v>2.2240000000000002</v>
      </c>
      <c r="C36">
        <v>1.7390000000000001</v>
      </c>
      <c r="D36" s="79">
        <f t="shared" ref="D36:D44" si="6">B36/2</f>
        <v>1.1120000000000001</v>
      </c>
      <c r="E36" s="79">
        <f t="shared" ref="E36:E44" si="7">C36/2</f>
        <v>0.86950000000000005</v>
      </c>
      <c r="F36" s="79">
        <f t="shared" ref="F36:F44" si="8">PI()*D36*E36</f>
        <v>3.0375556712735139</v>
      </c>
    </row>
    <row r="37" spans="1:8">
      <c r="B37">
        <v>1.8979999999999999</v>
      </c>
      <c r="C37">
        <v>1.502</v>
      </c>
      <c r="D37" s="79">
        <f t="shared" si="6"/>
        <v>0.94899999999999995</v>
      </c>
      <c r="E37" s="79">
        <f t="shared" si="7"/>
        <v>0.751</v>
      </c>
      <c r="F37" s="79">
        <f t="shared" si="8"/>
        <v>2.2390099426207919</v>
      </c>
    </row>
    <row r="38" spans="1:8">
      <c r="B38">
        <v>1.1639999999999999</v>
      </c>
      <c r="C38">
        <v>1.4630000000000001</v>
      </c>
      <c r="D38" s="79">
        <f t="shared" si="6"/>
        <v>0.58199999999999996</v>
      </c>
      <c r="E38" s="79">
        <f t="shared" si="7"/>
        <v>0.73150000000000004</v>
      </c>
      <c r="F38" s="79">
        <f t="shared" si="8"/>
        <v>1.3374796651907435</v>
      </c>
    </row>
    <row r="39" spans="1:8">
      <c r="B39">
        <v>1.6930000000000001</v>
      </c>
      <c r="C39">
        <v>2.0089999999999999</v>
      </c>
      <c r="D39" s="79">
        <f t="shared" si="6"/>
        <v>0.84650000000000003</v>
      </c>
      <c r="E39" s="79">
        <f t="shared" si="7"/>
        <v>1.0044999999999999</v>
      </c>
      <c r="F39" s="79">
        <f t="shared" si="8"/>
        <v>2.6713252930794469</v>
      </c>
    </row>
    <row r="40" spans="1:8">
      <c r="B40">
        <v>2.512</v>
      </c>
      <c r="C40">
        <v>1.82</v>
      </c>
      <c r="D40" s="79">
        <f t="shared" si="6"/>
        <v>1.256</v>
      </c>
      <c r="E40" s="79">
        <f t="shared" si="7"/>
        <v>0.91</v>
      </c>
      <c r="F40" s="79">
        <f t="shared" si="8"/>
        <v>3.59071473934699</v>
      </c>
    </row>
    <row r="41" spans="1:8">
      <c r="B41">
        <v>1.702</v>
      </c>
      <c r="C41">
        <v>1.224</v>
      </c>
      <c r="D41" s="79">
        <f t="shared" si="6"/>
        <v>0.85099999999999998</v>
      </c>
      <c r="E41" s="79">
        <f t="shared" si="7"/>
        <v>0.61199999999999999</v>
      </c>
      <c r="F41" s="79">
        <f t="shared" si="8"/>
        <v>1.6361791531014072</v>
      </c>
    </row>
    <row r="42" spans="1:8">
      <c r="B42">
        <v>1.6479999999999999</v>
      </c>
      <c r="C42">
        <v>1.3</v>
      </c>
      <c r="D42" s="79">
        <f t="shared" si="6"/>
        <v>0.82399999999999995</v>
      </c>
      <c r="E42" s="79">
        <f t="shared" si="7"/>
        <v>0.65</v>
      </c>
      <c r="F42" s="79">
        <f t="shared" si="8"/>
        <v>1.682637025262693</v>
      </c>
    </row>
    <row r="43" spans="1:8">
      <c r="B43">
        <v>1.913</v>
      </c>
      <c r="C43">
        <v>1.111</v>
      </c>
      <c r="D43" s="79">
        <f t="shared" si="6"/>
        <v>0.95650000000000002</v>
      </c>
      <c r="E43" s="79">
        <f t="shared" si="7"/>
        <v>0.55549999999999999</v>
      </c>
      <c r="F43" s="79">
        <f t="shared" si="8"/>
        <v>1.6692404887896228</v>
      </c>
    </row>
    <row r="44" spans="1:8">
      <c r="B44">
        <v>1.8540000000000001</v>
      </c>
      <c r="C44">
        <v>1.2</v>
      </c>
      <c r="D44" s="79">
        <f t="shared" si="6"/>
        <v>0.92700000000000005</v>
      </c>
      <c r="E44" s="79">
        <f t="shared" si="7"/>
        <v>0.6</v>
      </c>
      <c r="F44" s="79">
        <f t="shared" si="8"/>
        <v>1.747353833926643</v>
      </c>
    </row>
    <row r="45" spans="1:8">
      <c r="B45" s="79">
        <f>AVERAGE(B35:B44)</f>
        <v>1.8480999999999999</v>
      </c>
      <c r="C45" s="79">
        <f t="shared" ref="C45:F45" si="9">AVERAGE(C35:C44)</f>
        <v>1.4368000000000001</v>
      </c>
      <c r="D45" s="79">
        <f t="shared" si="9"/>
        <v>0.92404999999999993</v>
      </c>
      <c r="E45" s="79">
        <f t="shared" si="9"/>
        <v>0.71840000000000004</v>
      </c>
      <c r="F45" s="79">
        <f t="shared" si="9"/>
        <v>2.1082546572635272</v>
      </c>
      <c r="G45" s="81">
        <v>41</v>
      </c>
      <c r="H45" s="79">
        <f>F45*G45</f>
        <v>86.438440947804622</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R34"/>
  <sheetViews>
    <sheetView topLeftCell="D1" workbookViewId="0">
      <selection activeCell="Q23" sqref="Q23"/>
    </sheetView>
  </sheetViews>
  <sheetFormatPr baseColWidth="10" defaultRowHeight="15" x14ac:dyDescent="0"/>
  <cols>
    <col min="14" max="14" width="23.5" customWidth="1"/>
    <col min="15" max="15" width="22.33203125" customWidth="1"/>
  </cols>
  <sheetData>
    <row r="1" spans="1:18">
      <c r="E1" s="137"/>
      <c r="F1" s="3" t="s">
        <v>181</v>
      </c>
    </row>
    <row r="2" spans="1:18">
      <c r="E2" s="138"/>
      <c r="F2" s="3" t="s">
        <v>182</v>
      </c>
    </row>
    <row r="7" spans="1:18">
      <c r="D7" t="s">
        <v>139</v>
      </c>
      <c r="E7" t="s">
        <v>140</v>
      </c>
      <c r="F7" t="s">
        <v>147</v>
      </c>
      <c r="G7" t="s">
        <v>42</v>
      </c>
      <c r="H7" t="s">
        <v>146</v>
      </c>
      <c r="I7" t="s">
        <v>148</v>
      </c>
      <c r="J7" t="s">
        <v>145</v>
      </c>
      <c r="K7" t="s">
        <v>141</v>
      </c>
      <c r="L7" t="s">
        <v>142</v>
      </c>
      <c r="M7" t="s">
        <v>152</v>
      </c>
      <c r="N7" t="s">
        <v>153</v>
      </c>
      <c r="O7" t="s">
        <v>144</v>
      </c>
      <c r="P7" t="s">
        <v>149</v>
      </c>
      <c r="Q7" t="s">
        <v>150</v>
      </c>
      <c r="R7" t="s">
        <v>342</v>
      </c>
    </row>
    <row r="8" spans="1:18">
      <c r="A8" t="s">
        <v>192</v>
      </c>
      <c r="B8">
        <v>6</v>
      </c>
      <c r="C8">
        <v>1</v>
      </c>
      <c r="F8" s="81">
        <f>H8*2</f>
        <v>7.7393157257587228</v>
      </c>
      <c r="G8" s="79">
        <f>I8*2</f>
        <v>7739.3157257587227</v>
      </c>
      <c r="H8" s="79">
        <f>I8/1000</f>
        <v>3.8696578628793614</v>
      </c>
      <c r="I8" s="79">
        <f>SQRT(K8/PI())</f>
        <v>3869.6578628793613</v>
      </c>
      <c r="J8" s="80">
        <v>0.47043000000000001</v>
      </c>
      <c r="K8" s="79">
        <f>J8*100000000</f>
        <v>47043000</v>
      </c>
      <c r="L8">
        <v>2.4495347000000001</v>
      </c>
      <c r="M8" s="79">
        <f>L8/100</f>
        <v>2.4495347000000001E-2</v>
      </c>
      <c r="N8" s="79">
        <f>(J8*L8)</f>
        <v>1.152334608921</v>
      </c>
      <c r="O8" s="79">
        <f t="shared" ref="O8:O16" si="0">(J8*L8)/1000*60*60</f>
        <v>4.1484045921156003</v>
      </c>
      <c r="P8" s="79">
        <v>6.25</v>
      </c>
      <c r="R8" s="16">
        <f>'[2]Tethya-6-A'!$P$1</f>
        <v>3.1463666666666636</v>
      </c>
    </row>
    <row r="9" spans="1:18">
      <c r="A9" t="s">
        <v>192</v>
      </c>
      <c r="B9">
        <v>6</v>
      </c>
      <c r="C9">
        <v>2</v>
      </c>
      <c r="F9" s="81">
        <f t="shared" ref="F9:F16" si="1">H9*2</f>
        <v>7.7393157257587228</v>
      </c>
      <c r="G9" s="79">
        <f t="shared" ref="G9:G16" si="2">I9*2</f>
        <v>7739.3157257587227</v>
      </c>
      <c r="H9" s="79">
        <f t="shared" ref="H9:H16" si="3">I9/1000</f>
        <v>3.8696578628793614</v>
      </c>
      <c r="I9" s="79">
        <f t="shared" ref="I9:I16" si="4">SQRT(K9/PI())</f>
        <v>3869.6578628793613</v>
      </c>
      <c r="J9" s="80">
        <v>0.47043000000000001</v>
      </c>
      <c r="K9" s="79">
        <f t="shared" ref="K9:K16" si="5">J9*100000000</f>
        <v>47043000</v>
      </c>
      <c r="L9">
        <v>2.1192079000000001</v>
      </c>
      <c r="M9" s="79">
        <f t="shared" ref="M9:M16" si="6">L9/100</f>
        <v>2.1192079000000003E-2</v>
      </c>
      <c r="N9" s="79">
        <f t="shared" ref="N9:N16" si="7">(J9*L9)</f>
        <v>0.99693897239700013</v>
      </c>
      <c r="O9" s="79">
        <f t="shared" si="0"/>
        <v>3.5889803006292</v>
      </c>
      <c r="P9" s="79">
        <v>6.25</v>
      </c>
      <c r="R9" s="16">
        <f>'[2]Tethya-6-B'!$P$1</f>
        <v>6.1833666666666707</v>
      </c>
    </row>
    <row r="10" spans="1:18">
      <c r="A10" t="s">
        <v>192</v>
      </c>
      <c r="B10">
        <v>6</v>
      </c>
      <c r="C10">
        <v>3</v>
      </c>
      <c r="F10" s="81">
        <f t="shared" si="1"/>
        <v>9.7870225784160887</v>
      </c>
      <c r="G10" s="79">
        <f t="shared" si="2"/>
        <v>9787.0225784160884</v>
      </c>
      <c r="H10" s="79">
        <f t="shared" si="3"/>
        <v>4.8935112892080443</v>
      </c>
      <c r="I10" s="79">
        <f t="shared" si="4"/>
        <v>4893.5112892080442</v>
      </c>
      <c r="J10" s="80">
        <v>0.75230000000000008</v>
      </c>
      <c r="K10" s="79">
        <f t="shared" si="5"/>
        <v>75230000.000000015</v>
      </c>
      <c r="L10">
        <v>2.6634530999999999</v>
      </c>
      <c r="M10" s="79">
        <f t="shared" si="6"/>
        <v>2.6634530999999999E-2</v>
      </c>
      <c r="N10" s="79">
        <f t="shared" si="7"/>
        <v>2.0037157671300001</v>
      </c>
      <c r="O10" s="79">
        <f t="shared" si="0"/>
        <v>7.2133767616680009</v>
      </c>
      <c r="P10" s="79">
        <v>6.25</v>
      </c>
      <c r="R10" s="16">
        <f>'[2]Tethya-6-C'!$P$1</f>
        <v>2.5368999999999939</v>
      </c>
    </row>
    <row r="11" spans="1:18">
      <c r="A11" t="s">
        <v>192</v>
      </c>
      <c r="B11">
        <v>6</v>
      </c>
      <c r="C11">
        <v>4</v>
      </c>
      <c r="F11" s="81">
        <f t="shared" si="1"/>
        <v>9.8402815313716445</v>
      </c>
      <c r="G11" s="79">
        <f t="shared" si="2"/>
        <v>9840.2815313716437</v>
      </c>
      <c r="H11" s="79">
        <f t="shared" si="3"/>
        <v>4.9201407656858223</v>
      </c>
      <c r="I11" s="79">
        <f t="shared" si="4"/>
        <v>4920.1407656858219</v>
      </c>
      <c r="J11" s="80">
        <v>0.76051000000000002</v>
      </c>
      <c r="K11" s="79">
        <f t="shared" si="5"/>
        <v>76051000</v>
      </c>
      <c r="L11">
        <v>2.4927546999999999</v>
      </c>
      <c r="M11" s="79">
        <f t="shared" si="6"/>
        <v>2.4927546999999998E-2</v>
      </c>
      <c r="N11" s="79">
        <f t="shared" si="7"/>
        <v>1.8957648768969999</v>
      </c>
      <c r="O11" s="79">
        <f t="shared" si="0"/>
        <v>6.8247535568291999</v>
      </c>
      <c r="P11" s="79">
        <v>6.25</v>
      </c>
      <c r="R11" s="16">
        <f>'[2]Tethya-6-D'!$P$1</f>
        <v>1.0123666666666693</v>
      </c>
    </row>
    <row r="12" spans="1:18">
      <c r="A12" t="s">
        <v>192</v>
      </c>
      <c r="B12">
        <v>6</v>
      </c>
      <c r="C12">
        <v>5</v>
      </c>
      <c r="F12" s="81">
        <f t="shared" si="1"/>
        <v>9.8402815313716445</v>
      </c>
      <c r="G12" s="79">
        <f t="shared" si="2"/>
        <v>9840.2815313716437</v>
      </c>
      <c r="H12" s="79">
        <f t="shared" si="3"/>
        <v>4.9201407656858223</v>
      </c>
      <c r="I12" s="79">
        <f t="shared" si="4"/>
        <v>4920.1407656858219</v>
      </c>
      <c r="J12" s="80">
        <v>0.76051000000000002</v>
      </c>
      <c r="K12" s="79">
        <f t="shared" si="5"/>
        <v>76051000</v>
      </c>
      <c r="L12">
        <v>2.7156517999999998</v>
      </c>
      <c r="M12" s="79">
        <f t="shared" si="6"/>
        <v>2.7156517999999998E-2</v>
      </c>
      <c r="N12" s="79">
        <f t="shared" si="7"/>
        <v>2.065280350418</v>
      </c>
      <c r="O12" s="79">
        <f t="shared" si="0"/>
        <v>7.4350092615047991</v>
      </c>
      <c r="P12" s="79">
        <v>6.25</v>
      </c>
      <c r="R12" s="16">
        <f>'[2]Tethya-6-E'!$P$1</f>
        <v>1.0839333333333339</v>
      </c>
    </row>
    <row r="13" spans="1:18">
      <c r="A13" t="s">
        <v>192</v>
      </c>
      <c r="B13">
        <v>6</v>
      </c>
      <c r="C13">
        <v>6</v>
      </c>
      <c r="F13" s="81">
        <f t="shared" si="1"/>
        <v>9.8402815313716445</v>
      </c>
      <c r="G13" s="79">
        <f t="shared" si="2"/>
        <v>9840.2815313716437</v>
      </c>
      <c r="H13" s="79">
        <f t="shared" si="3"/>
        <v>4.9201407656858223</v>
      </c>
      <c r="I13" s="79">
        <f t="shared" si="4"/>
        <v>4920.1407656858219</v>
      </c>
      <c r="J13" s="80">
        <v>0.76051000000000002</v>
      </c>
      <c r="K13" s="79">
        <f t="shared" si="5"/>
        <v>76051000</v>
      </c>
      <c r="L13">
        <v>0.98296762000000004</v>
      </c>
      <c r="M13" s="79">
        <f t="shared" si="6"/>
        <v>9.8296761999999999E-3</v>
      </c>
      <c r="N13" s="79">
        <f t="shared" si="7"/>
        <v>0.74755670468620006</v>
      </c>
      <c r="O13" s="79">
        <f t="shared" si="0"/>
        <v>2.6912041368703203</v>
      </c>
      <c r="P13" s="79">
        <v>6.25</v>
      </c>
      <c r="R13" s="16">
        <f>'[2]Tethya-6-F'!$P$1</f>
        <v>1.8874333333333346</v>
      </c>
    </row>
    <row r="14" spans="1:18">
      <c r="A14" t="s">
        <v>192</v>
      </c>
      <c r="B14">
        <v>6</v>
      </c>
      <c r="C14">
        <v>7</v>
      </c>
      <c r="F14" s="81">
        <f t="shared" si="1"/>
        <v>9.8402815313716445</v>
      </c>
      <c r="G14" s="79">
        <f t="shared" si="2"/>
        <v>9840.2815313716437</v>
      </c>
      <c r="H14" s="79">
        <f t="shared" si="3"/>
        <v>4.9201407656858223</v>
      </c>
      <c r="I14" s="79">
        <f t="shared" si="4"/>
        <v>4920.1407656858219</v>
      </c>
      <c r="J14" s="80">
        <v>0.76051000000000002</v>
      </c>
      <c r="K14" s="79">
        <f t="shared" si="5"/>
        <v>76051000</v>
      </c>
      <c r="L14">
        <v>2.1971552000000001</v>
      </c>
      <c r="M14" s="79">
        <f t="shared" si="6"/>
        <v>2.1971552000000002E-2</v>
      </c>
      <c r="N14" s="79">
        <f t="shared" si="7"/>
        <v>1.6709585011520001</v>
      </c>
      <c r="O14" s="79">
        <f t="shared" si="0"/>
        <v>6.0154506041472002</v>
      </c>
      <c r="P14" s="79">
        <v>6.25</v>
      </c>
      <c r="R14" s="16">
        <f>'[2]Tethya-6-G'!$P$1</f>
        <v>1.2306333333333366</v>
      </c>
    </row>
    <row r="15" spans="1:18">
      <c r="A15" t="s">
        <v>192</v>
      </c>
      <c r="B15">
        <v>2</v>
      </c>
      <c r="C15">
        <v>1</v>
      </c>
      <c r="F15" s="81">
        <f t="shared" si="1"/>
        <v>5.2448394030707171</v>
      </c>
      <c r="G15" s="79">
        <f t="shared" si="2"/>
        <v>5244.8394030707168</v>
      </c>
      <c r="H15" s="79">
        <f t="shared" si="3"/>
        <v>2.6224197015353585</v>
      </c>
      <c r="I15" s="79">
        <f t="shared" si="4"/>
        <v>2622.4197015353584</v>
      </c>
      <c r="J15" s="80">
        <v>0.21604999999999999</v>
      </c>
      <c r="K15" s="79">
        <f t="shared" si="5"/>
        <v>21605000</v>
      </c>
      <c r="L15">
        <v>1.9366368</v>
      </c>
      <c r="M15" s="79">
        <f t="shared" si="6"/>
        <v>1.9366368000000002E-2</v>
      </c>
      <c r="N15" s="79">
        <f t="shared" si="7"/>
        <v>0.41841038063999997</v>
      </c>
      <c r="O15" s="79">
        <f t="shared" si="0"/>
        <v>1.506277370304</v>
      </c>
      <c r="P15" s="79">
        <v>4.8499999999999996</v>
      </c>
      <c r="R15" s="16">
        <f>'[2]Tethya-2-A'!$P$1</f>
        <v>2.303466666666663</v>
      </c>
    </row>
    <row r="16" spans="1:18">
      <c r="A16" s="46" t="s">
        <v>192</v>
      </c>
      <c r="B16" s="46">
        <v>3</v>
      </c>
      <c r="C16">
        <v>1</v>
      </c>
      <c r="F16" s="81">
        <f t="shared" si="1"/>
        <v>8.1226842834515871</v>
      </c>
      <c r="G16" s="79">
        <f t="shared" si="2"/>
        <v>8122.6842834515865</v>
      </c>
      <c r="H16" s="79">
        <f t="shared" si="3"/>
        <v>4.0613421417257936</v>
      </c>
      <c r="I16" s="79">
        <f t="shared" si="4"/>
        <v>4061.3421417257932</v>
      </c>
      <c r="J16" s="80">
        <v>0.51819000000000004</v>
      </c>
      <c r="K16" s="79">
        <f t="shared" si="5"/>
        <v>51819000.000000007</v>
      </c>
      <c r="L16">
        <v>4.4153285999999998E-3</v>
      </c>
      <c r="M16" s="79">
        <f t="shared" si="6"/>
        <v>4.4153285999999998E-5</v>
      </c>
      <c r="N16" s="79">
        <f t="shared" si="7"/>
        <v>2.2879791272340001E-3</v>
      </c>
      <c r="O16" s="79">
        <f t="shared" si="0"/>
        <v>8.2367248580424001E-3</v>
      </c>
      <c r="P16" s="79">
        <v>7.88</v>
      </c>
      <c r="R16" s="16">
        <f>'[2]Tethya-3-A'!$P$1</f>
        <v>4.9886999999999952</v>
      </c>
    </row>
    <row r="17" spans="1:18">
      <c r="G17" s="82">
        <f>AVERAGE(G8:G16)</f>
        <v>8666.0337602158215</v>
      </c>
      <c r="H17" s="82"/>
      <c r="I17" s="82">
        <f t="shared" ref="I17:P17" si="8">AVERAGE(I8:I16)</f>
        <v>4333.0168801079108</v>
      </c>
      <c r="J17" s="82">
        <f t="shared" si="8"/>
        <v>0.60771555555555556</v>
      </c>
      <c r="K17" s="82">
        <f t="shared" si="8"/>
        <v>60771555.555555552</v>
      </c>
      <c r="L17" s="82">
        <f>AVERAGE(L8:L15)</f>
        <v>2.1946702275000001</v>
      </c>
      <c r="M17" s="82">
        <f>AVERAGE(M8:M15)</f>
        <v>2.1946702275E-2</v>
      </c>
      <c r="N17" s="82">
        <f>AVERAGE(N8:N15)</f>
        <v>1.36887002028015</v>
      </c>
      <c r="O17" s="82">
        <f>AVERAGE(O8:O15)</f>
        <v>4.9279320730085399</v>
      </c>
      <c r="P17" s="82">
        <f t="shared" si="8"/>
        <v>6.275555555555556</v>
      </c>
      <c r="Q17" s="82">
        <f>PI()*(I17^2)*B19</f>
        <v>128819992210.51996</v>
      </c>
      <c r="R17">
        <f>AVERAGE(R8:R15)</f>
        <v>2.4230583333333326</v>
      </c>
    </row>
    <row r="18" spans="1:18">
      <c r="P18" s="83">
        <v>65.449799999999996</v>
      </c>
      <c r="R18">
        <f>STDEV(R8:R15)</f>
        <v>1.6980002550853297</v>
      </c>
    </row>
    <row r="19" spans="1:18">
      <c r="A19" t="s">
        <v>151</v>
      </c>
      <c r="B19">
        <f>2.184*1000</f>
        <v>2184</v>
      </c>
      <c r="R19">
        <f>R18/SQRT(COUNT(R8:R15))</f>
        <v>0.60033374741366197</v>
      </c>
    </row>
    <row r="20" spans="1:18">
      <c r="A20" t="s">
        <v>242</v>
      </c>
      <c r="D20">
        <f>(P18/((4/3)*PI()))^(1/3)</f>
        <v>2.4999994022165981</v>
      </c>
    </row>
    <row r="21" spans="1:18">
      <c r="A21" t="s">
        <v>241</v>
      </c>
      <c r="B21" s="7"/>
      <c r="C21" s="7"/>
      <c r="D21" s="7">
        <f>(4*PI()*D20^2)*(3/4)</f>
        <v>58.904834084932837</v>
      </c>
      <c r="E21" s="7"/>
      <c r="F21" s="7"/>
      <c r="G21" s="7"/>
    </row>
    <row r="22" spans="1:18">
      <c r="A22" s="7"/>
      <c r="B22" s="7"/>
      <c r="C22" s="7"/>
      <c r="D22" s="7"/>
      <c r="E22" s="7"/>
      <c r="F22" s="7"/>
      <c r="G22" s="7"/>
    </row>
    <row r="23" spans="1:18">
      <c r="A23" s="7" t="s">
        <v>232</v>
      </c>
      <c r="B23" s="7"/>
      <c r="C23" s="7"/>
      <c r="D23" s="7"/>
      <c r="E23" s="7"/>
      <c r="F23" s="7"/>
      <c r="G23" s="7"/>
    </row>
    <row r="24" spans="1:18">
      <c r="A24" s="7"/>
      <c r="B24" s="7"/>
      <c r="C24" s="7"/>
      <c r="D24" s="7"/>
    </row>
    <row r="25" spans="1:18" ht="45">
      <c r="A25" s="7" t="s">
        <v>233</v>
      </c>
      <c r="B25" s="150" t="s">
        <v>234</v>
      </c>
      <c r="C25" s="150" t="s">
        <v>235</v>
      </c>
      <c r="D25" s="28" t="s">
        <v>236</v>
      </c>
      <c r="E25" s="28" t="s">
        <v>236</v>
      </c>
      <c r="F25" s="28" t="s">
        <v>237</v>
      </c>
      <c r="G25" s="28" t="s">
        <v>238</v>
      </c>
      <c r="H25" s="28" t="s">
        <v>239</v>
      </c>
    </row>
    <row r="26" spans="1:18">
      <c r="A26" s="7" t="s">
        <v>240</v>
      </c>
      <c r="B26" s="81">
        <v>302.65899999999999</v>
      </c>
      <c r="C26" s="81">
        <v>209.64699999999999</v>
      </c>
      <c r="D26" s="83">
        <f>B26/2</f>
        <v>151.3295</v>
      </c>
      <c r="E26" s="79">
        <f>C26/2</f>
        <v>104.8235</v>
      </c>
      <c r="F26" s="79">
        <f>PI()*D26*E26</f>
        <v>49834.731913073039</v>
      </c>
    </row>
    <row r="27" spans="1:18">
      <c r="A27" s="7"/>
      <c r="B27" s="81">
        <v>293.90600000000001</v>
      </c>
      <c r="C27" s="81">
        <v>250.762</v>
      </c>
      <c r="D27" s="83">
        <f t="shared" ref="D27:D32" si="9">B27/2</f>
        <v>146.953</v>
      </c>
      <c r="E27" s="79">
        <f t="shared" ref="E27:E32" si="10">C27/2</f>
        <v>125.381</v>
      </c>
      <c r="F27" s="79">
        <f t="shared" ref="F27:F32" si="11">PI()*D27*E27</f>
        <v>57884.203076122569</v>
      </c>
    </row>
    <row r="28" spans="1:18">
      <c r="A28" s="7"/>
      <c r="B28" s="81">
        <v>221.75200000000001</v>
      </c>
      <c r="C28" s="81">
        <v>162.92699999999999</v>
      </c>
      <c r="D28" s="83">
        <f t="shared" si="9"/>
        <v>110.876</v>
      </c>
      <c r="E28" s="79">
        <f t="shared" si="10"/>
        <v>81.463499999999996</v>
      </c>
      <c r="F28" s="79">
        <f t="shared" si="11"/>
        <v>28375.955061555218</v>
      </c>
    </row>
    <row r="29" spans="1:18">
      <c r="A29" s="7"/>
      <c r="B29" s="81">
        <v>383.51799999999997</v>
      </c>
      <c r="C29" s="81">
        <v>275.56599999999997</v>
      </c>
      <c r="D29" s="83">
        <f t="shared" si="9"/>
        <v>191.75899999999999</v>
      </c>
      <c r="E29" s="79">
        <f t="shared" si="10"/>
        <v>137.78299999999999</v>
      </c>
      <c r="F29" s="79">
        <f t="shared" si="11"/>
        <v>83004.428840593901</v>
      </c>
    </row>
    <row r="30" spans="1:18">
      <c r="A30" s="7"/>
      <c r="B30" s="81">
        <v>552.31500000000005</v>
      </c>
      <c r="C30" s="81">
        <v>376.07100000000003</v>
      </c>
      <c r="D30" s="83">
        <f t="shared" si="9"/>
        <v>276.15750000000003</v>
      </c>
      <c r="E30" s="79">
        <f t="shared" si="10"/>
        <v>188.03550000000001</v>
      </c>
      <c r="F30" s="79">
        <f t="shared" si="11"/>
        <v>163134.78105818981</v>
      </c>
    </row>
    <row r="31" spans="1:18">
      <c r="A31" s="7"/>
      <c r="B31" s="81">
        <v>258.03199999999998</v>
      </c>
      <c r="C31" s="81">
        <v>212.738</v>
      </c>
      <c r="D31" s="83">
        <f t="shared" si="9"/>
        <v>129.01599999999999</v>
      </c>
      <c r="E31" s="79">
        <f t="shared" si="10"/>
        <v>106.369</v>
      </c>
      <c r="F31" s="79">
        <f t="shared" si="11"/>
        <v>43113.027586193872</v>
      </c>
    </row>
    <row r="32" spans="1:18">
      <c r="A32" s="7"/>
      <c r="B32" s="81">
        <v>295.38299999999998</v>
      </c>
      <c r="C32" s="81">
        <v>221.261</v>
      </c>
      <c r="D32" s="83">
        <f t="shared" si="9"/>
        <v>147.69149999999999</v>
      </c>
      <c r="E32" s="79">
        <f t="shared" si="10"/>
        <v>110.6305</v>
      </c>
      <c r="F32" s="79">
        <f t="shared" si="11"/>
        <v>51331.06196178848</v>
      </c>
    </row>
    <row r="33" spans="1:8">
      <c r="A33" s="7"/>
      <c r="B33" s="83">
        <f>AVERAGE(B26:B32)</f>
        <v>329.65214285714285</v>
      </c>
      <c r="C33" s="83">
        <f t="shared" ref="C33:F33" si="12">AVERAGE(C26:C32)</f>
        <v>244.13885714285715</v>
      </c>
      <c r="D33" s="83">
        <f t="shared" si="12"/>
        <v>164.82607142857142</v>
      </c>
      <c r="E33" s="83">
        <f t="shared" si="12"/>
        <v>122.06942857142857</v>
      </c>
      <c r="F33" s="83">
        <f t="shared" si="12"/>
        <v>68096.884213930971</v>
      </c>
      <c r="G33" s="81">
        <v>33</v>
      </c>
      <c r="H33" s="83">
        <f>F33*G33</f>
        <v>2247197.179059722</v>
      </c>
    </row>
    <row r="34" spans="1:8">
      <c r="A34" s="7"/>
      <c r="B34" s="7"/>
      <c r="C34" s="7"/>
      <c r="D34" s="7"/>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24"/>
  <sheetViews>
    <sheetView topLeftCell="A3" workbookViewId="0">
      <selection activeCell="H18" sqref="H18"/>
    </sheetView>
  </sheetViews>
  <sheetFormatPr baseColWidth="10" defaultRowHeight="15" x14ac:dyDescent="0"/>
  <cols>
    <col min="1" max="1" width="4.83203125" customWidth="1"/>
    <col min="7" max="7" width="12" customWidth="1"/>
  </cols>
  <sheetData>
    <row r="1" spans="1:12">
      <c r="A1" t="s">
        <v>334</v>
      </c>
    </row>
    <row r="2" spans="1:12">
      <c r="A2" t="s">
        <v>335</v>
      </c>
    </row>
    <row r="5" spans="1:12" ht="18">
      <c r="A5" s="213" t="s">
        <v>314</v>
      </c>
      <c r="B5" s="213"/>
      <c r="C5" s="213"/>
      <c r="D5" s="190"/>
      <c r="E5" s="190"/>
      <c r="F5" s="214" t="s">
        <v>336</v>
      </c>
      <c r="G5" s="214"/>
      <c r="H5" s="214">
        <f>AVERAGE(C18,G18,K23)</f>
        <v>37.056703919443358</v>
      </c>
    </row>
    <row r="6" spans="1:12" ht="18">
      <c r="A6" s="213" t="s">
        <v>320</v>
      </c>
      <c r="B6" s="213"/>
      <c r="C6" s="213"/>
      <c r="D6" s="190"/>
      <c r="E6" s="190"/>
      <c r="F6" s="214" t="s">
        <v>337</v>
      </c>
      <c r="G6" s="214"/>
      <c r="H6" s="214">
        <f>AVERAGE(C19,G19,K24)</f>
        <v>53.482172789015443</v>
      </c>
    </row>
    <row r="7" spans="1:12" ht="18">
      <c r="A7" s="213"/>
      <c r="B7" s="213" t="s">
        <v>341</v>
      </c>
      <c r="C7" s="213"/>
      <c r="D7" s="190"/>
      <c r="E7" s="190"/>
      <c r="F7" s="190"/>
      <c r="G7" s="190"/>
      <c r="H7" s="190"/>
    </row>
    <row r="8" spans="1:12" ht="18">
      <c r="A8" s="213"/>
      <c r="B8" s="213"/>
      <c r="C8" s="213"/>
      <c r="D8" s="190"/>
      <c r="E8" s="190"/>
      <c r="F8" s="190"/>
      <c r="G8" s="190"/>
      <c r="H8" s="190"/>
    </row>
    <row r="9" spans="1:12" ht="18">
      <c r="A9" s="213" t="s">
        <v>324</v>
      </c>
      <c r="B9" s="213"/>
      <c r="C9" s="213"/>
      <c r="D9" s="190"/>
      <c r="E9" s="190"/>
      <c r="F9" s="190"/>
      <c r="G9" s="190"/>
      <c r="H9" s="190"/>
    </row>
    <row r="10" spans="1:12" ht="18">
      <c r="A10" s="213" t="s">
        <v>325</v>
      </c>
      <c r="B10" s="213"/>
      <c r="C10" s="213"/>
      <c r="D10" s="190"/>
      <c r="E10" s="190"/>
      <c r="F10" s="190"/>
      <c r="G10" s="190"/>
      <c r="H10" s="190"/>
    </row>
    <row r="11" spans="1:12" ht="18">
      <c r="A11" s="190"/>
      <c r="B11" s="213" t="s">
        <v>341</v>
      </c>
      <c r="C11" s="190"/>
      <c r="D11" s="190"/>
      <c r="E11" s="190"/>
      <c r="F11" s="190"/>
      <c r="G11" s="190"/>
      <c r="H11" s="190"/>
    </row>
    <row r="12" spans="1:12" ht="18">
      <c r="B12" s="207"/>
    </row>
    <row r="13" spans="1:12" ht="18">
      <c r="B13" s="207"/>
    </row>
    <row r="15" spans="1:12" ht="16" thickBot="1">
      <c r="B15" s="15" t="s">
        <v>315</v>
      </c>
      <c r="C15" s="15"/>
      <c r="D15" s="15"/>
      <c r="F15" s="15" t="s">
        <v>316</v>
      </c>
      <c r="G15" s="15"/>
      <c r="H15" s="15"/>
      <c r="J15" s="15" t="s">
        <v>317</v>
      </c>
      <c r="K15" s="15"/>
      <c r="L15" s="15"/>
    </row>
    <row r="16" spans="1:12" ht="16" thickTop="1">
      <c r="B16" t="s">
        <v>233</v>
      </c>
      <c r="C16" t="s">
        <v>318</v>
      </c>
      <c r="F16" t="s">
        <v>233</v>
      </c>
      <c r="G16" t="s">
        <v>329</v>
      </c>
      <c r="J16" t="s">
        <v>233</v>
      </c>
      <c r="K16" t="s">
        <v>330</v>
      </c>
    </row>
    <row r="17" spans="2:12">
      <c r="B17" s="208" t="s">
        <v>331</v>
      </c>
      <c r="C17">
        <v>2.5</v>
      </c>
      <c r="D17" t="s">
        <v>319</v>
      </c>
      <c r="F17" s="208" t="s">
        <v>331</v>
      </c>
      <c r="G17">
        <v>1.575</v>
      </c>
      <c r="H17" t="s">
        <v>319</v>
      </c>
      <c r="J17" s="208" t="s">
        <v>332</v>
      </c>
      <c r="K17">
        <v>1.881</v>
      </c>
      <c r="L17" t="s">
        <v>319</v>
      </c>
    </row>
    <row r="18" spans="2:12">
      <c r="B18" s="210" t="s">
        <v>338</v>
      </c>
      <c r="C18" s="211">
        <f>(4/3)*PI()*(C17^3)</f>
        <v>65.449846949787357</v>
      </c>
      <c r="D18" s="211" t="s">
        <v>322</v>
      </c>
      <c r="F18" s="210" t="s">
        <v>338</v>
      </c>
      <c r="G18" s="211">
        <f>(4/3)*PI()*(G17^3)</f>
        <v>16.365537880253477</v>
      </c>
      <c r="H18" s="211" t="s">
        <v>322</v>
      </c>
      <c r="J18" s="208" t="s">
        <v>339</v>
      </c>
      <c r="K18">
        <f>(4/3)*PI()*(K17^3)</f>
        <v>27.877575196883335</v>
      </c>
      <c r="L18" t="s">
        <v>322</v>
      </c>
    </row>
    <row r="19" spans="2:12">
      <c r="B19" s="212" t="s">
        <v>321</v>
      </c>
      <c r="C19" s="31">
        <f>4*PI()*(C17^2)</f>
        <v>78.539816339744831</v>
      </c>
      <c r="D19" s="31" t="s">
        <v>323</v>
      </c>
      <c r="F19" s="209" t="s">
        <v>321</v>
      </c>
      <c r="G19" s="29">
        <f>4*PI()*(G17^2)</f>
        <v>31.17245310524472</v>
      </c>
      <c r="H19" s="29" t="s">
        <v>323</v>
      </c>
      <c r="J19" s="208" t="s">
        <v>326</v>
      </c>
      <c r="K19">
        <f>4*PI()*(K17^2)</f>
        <v>44.461842419271669</v>
      </c>
      <c r="L19" t="s">
        <v>323</v>
      </c>
    </row>
    <row r="20" spans="2:12">
      <c r="J20" s="208" t="s">
        <v>333</v>
      </c>
      <c r="K20">
        <v>0.70650000000000002</v>
      </c>
      <c r="L20" t="s">
        <v>319</v>
      </c>
    </row>
    <row r="21" spans="2:12">
      <c r="J21" s="208" t="s">
        <v>340</v>
      </c>
      <c r="K21">
        <f>(4/3)*PI()*(K20^3)</f>
        <v>1.4771517314058957</v>
      </c>
      <c r="L21" t="s">
        <v>322</v>
      </c>
    </row>
    <row r="22" spans="2:12">
      <c r="J22" s="208" t="s">
        <v>328</v>
      </c>
      <c r="K22">
        <f>4*PI()*(K20^2)</f>
        <v>6.2724065027851195</v>
      </c>
      <c r="L22" t="s">
        <v>323</v>
      </c>
    </row>
    <row r="23" spans="2:12">
      <c r="J23" s="210" t="s">
        <v>338</v>
      </c>
      <c r="K23" s="211">
        <f>K18+K21</f>
        <v>29.354726928289232</v>
      </c>
      <c r="L23" s="211" t="s">
        <v>322</v>
      </c>
    </row>
    <row r="24" spans="2:12">
      <c r="J24" s="212" t="s">
        <v>327</v>
      </c>
      <c r="K24" s="31">
        <f>K19+K22</f>
        <v>50.734248922056786</v>
      </c>
      <c r="L24" s="31" t="s">
        <v>323</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7:P24"/>
  <sheetViews>
    <sheetView topLeftCell="A2" workbookViewId="0">
      <selection activeCell="I8" sqref="I8"/>
    </sheetView>
  </sheetViews>
  <sheetFormatPr baseColWidth="10" defaultColWidth="8.83203125" defaultRowHeight="15" x14ac:dyDescent="0"/>
  <cols>
    <col min="1" max="1" width="22.6640625" customWidth="1"/>
    <col min="2" max="8" width="9.5" customWidth="1"/>
    <col min="9" max="10" width="11.6640625" customWidth="1"/>
    <col min="11" max="14" width="9.5" customWidth="1"/>
  </cols>
  <sheetData>
    <row r="7" spans="1:16" s="1" customFormat="1">
      <c r="A7" s="121"/>
      <c r="B7" s="217" t="s">
        <v>50</v>
      </c>
      <c r="C7" s="218"/>
      <c r="D7" s="219"/>
      <c r="E7" s="218" t="s">
        <v>51</v>
      </c>
      <c r="F7" s="218"/>
      <c r="G7" s="218"/>
      <c r="H7" s="220" t="s">
        <v>108</v>
      </c>
      <c r="I7" s="221"/>
      <c r="J7" s="222"/>
      <c r="K7" s="220" t="s">
        <v>191</v>
      </c>
      <c r="L7" s="221"/>
      <c r="M7" s="222"/>
      <c r="N7" s="223" t="e">
        <f>#REF!</f>
        <v>#REF!</v>
      </c>
      <c r="O7" s="224"/>
      <c r="P7" s="225"/>
    </row>
    <row r="8" spans="1:16" s="17" customFormat="1" ht="61" thickBot="1">
      <c r="A8" s="120" t="s">
        <v>45</v>
      </c>
      <c r="B8" s="18" t="s">
        <v>19</v>
      </c>
      <c r="C8" s="112" t="s">
        <v>49</v>
      </c>
      <c r="D8" s="19" t="s">
        <v>143</v>
      </c>
      <c r="E8" s="112" t="s">
        <v>19</v>
      </c>
      <c r="F8" s="112" t="s">
        <v>49</v>
      </c>
      <c r="G8" s="112" t="s">
        <v>143</v>
      </c>
      <c r="H8" s="26" t="s">
        <v>19</v>
      </c>
      <c r="I8" s="110" t="s">
        <v>49</v>
      </c>
      <c r="J8" s="27" t="s">
        <v>143</v>
      </c>
      <c r="K8" s="134" t="s">
        <v>19</v>
      </c>
      <c r="L8" s="135" t="s">
        <v>49</v>
      </c>
      <c r="M8" s="122" t="s">
        <v>143</v>
      </c>
      <c r="N8" s="132" t="s">
        <v>19</v>
      </c>
      <c r="O8" s="127" t="s">
        <v>49</v>
      </c>
      <c r="P8" s="133" t="s">
        <v>143</v>
      </c>
    </row>
    <row r="9" spans="1:16" ht="16" thickTop="1">
      <c r="A9" s="118" t="s">
        <v>12</v>
      </c>
      <c r="B9" s="20" t="s">
        <v>46</v>
      </c>
      <c r="C9" s="113">
        <v>0.3</v>
      </c>
      <c r="D9" s="21">
        <v>0.56999999999999995</v>
      </c>
      <c r="E9" s="115">
        <v>3.8879539623796582</v>
      </c>
      <c r="F9" s="115">
        <v>0.25862424662605926</v>
      </c>
      <c r="G9" s="123">
        <v>1.1000000000000001</v>
      </c>
      <c r="H9" s="40">
        <v>24.460004166666668</v>
      </c>
      <c r="I9" s="111">
        <v>0.16644318026435792</v>
      </c>
      <c r="J9" s="125">
        <v>1.544</v>
      </c>
      <c r="K9" s="40">
        <v>31.19580952380953</v>
      </c>
      <c r="L9" s="111">
        <v>0.38471454201444044</v>
      </c>
      <c r="M9" s="125">
        <v>1.2569669583475758</v>
      </c>
      <c r="N9" s="128" t="e">
        <f>#REF!</f>
        <v>#REF!</v>
      </c>
      <c r="O9" s="83" t="e">
        <f>#REF!</f>
        <v>#REF!</v>
      </c>
      <c r="P9" s="129" t="e">
        <f>#REF!*1000</f>
        <v>#REF!</v>
      </c>
    </row>
    <row r="10" spans="1:16">
      <c r="A10" s="118" t="s">
        <v>64</v>
      </c>
      <c r="B10" s="20"/>
      <c r="C10" s="113">
        <v>0.95</v>
      </c>
      <c r="D10" s="21">
        <v>0.18</v>
      </c>
      <c r="E10" s="115">
        <v>90</v>
      </c>
      <c r="F10" s="115">
        <v>0.92773995849848556</v>
      </c>
      <c r="G10" s="123">
        <v>0.309</v>
      </c>
      <c r="H10" s="40">
        <v>242.38515789473686</v>
      </c>
      <c r="I10" s="111">
        <v>0.97358395335857462</v>
      </c>
      <c r="J10" s="125">
        <v>0.26400000000000001</v>
      </c>
      <c r="K10" s="40">
        <v>168.233125</v>
      </c>
      <c r="L10" s="111">
        <v>0.65513089040080996</v>
      </c>
      <c r="M10" s="125">
        <v>0.73813260036039652</v>
      </c>
      <c r="N10" s="128" t="e">
        <f>#REF!</f>
        <v>#REF!</v>
      </c>
      <c r="O10" s="83" t="e">
        <f>#REF!</f>
        <v>#REF!</v>
      </c>
      <c r="P10" s="129" t="e">
        <f>#REF!*1000</f>
        <v>#REF!</v>
      </c>
    </row>
    <row r="11" spans="1:16">
      <c r="A11" s="118" t="s">
        <v>65</v>
      </c>
      <c r="B11" s="20" t="s">
        <v>47</v>
      </c>
      <c r="C11" s="113">
        <v>0.1</v>
      </c>
      <c r="D11" s="21">
        <v>1.7</v>
      </c>
      <c r="E11" s="115">
        <v>365.56999999999994</v>
      </c>
      <c r="F11" s="115">
        <v>0.17116292933983332</v>
      </c>
      <c r="G11" s="123">
        <v>1.673</v>
      </c>
      <c r="H11" s="40">
        <v>383.33430000000004</v>
      </c>
      <c r="I11" s="111">
        <v>0.15930061140334367</v>
      </c>
      <c r="J11" s="125">
        <v>0.32700000000000001</v>
      </c>
      <c r="K11" s="40">
        <v>406.50412499999999</v>
      </c>
      <c r="L11" s="111">
        <v>0.1405165127072632</v>
      </c>
      <c r="M11" s="125">
        <v>1.1471331930821922</v>
      </c>
      <c r="N11" s="128" t="e">
        <f>#REF!</f>
        <v>#REF!</v>
      </c>
      <c r="O11" s="83" t="e">
        <f>#REF!</f>
        <v>#REF!</v>
      </c>
      <c r="P11" s="129" t="e">
        <f>#REF!*1000</f>
        <v>#REF!</v>
      </c>
    </row>
    <row r="12" spans="1:16">
      <c r="A12" s="118" t="s">
        <v>66</v>
      </c>
      <c r="B12" s="22" t="s">
        <v>48</v>
      </c>
      <c r="C12" s="113">
        <v>2.0699999999999998</v>
      </c>
      <c r="D12" s="21">
        <v>8.3000000000000004E-2</v>
      </c>
      <c r="E12" s="115">
        <v>2.1482265858213245</v>
      </c>
      <c r="F12" s="115">
        <v>2.7506314646668373</v>
      </c>
      <c r="G12" s="123">
        <v>1.9E-2</v>
      </c>
      <c r="H12" s="40">
        <v>3.5972208333333331</v>
      </c>
      <c r="I12" s="111">
        <v>4.9412146396773808</v>
      </c>
      <c r="J12" s="125">
        <v>0.01</v>
      </c>
      <c r="K12" s="40">
        <v>1.6144999999999998</v>
      </c>
      <c r="L12" s="111">
        <v>55.157698793055047</v>
      </c>
      <c r="M12" s="125">
        <v>2.9223691239808032E-3</v>
      </c>
      <c r="N12" s="128" t="e">
        <f>#REF!</f>
        <v>#REF!</v>
      </c>
      <c r="O12" s="109" t="e">
        <f>#REF!</f>
        <v>#REF!</v>
      </c>
      <c r="P12" s="129" t="e">
        <f>#REF!*1000</f>
        <v>#REF!</v>
      </c>
    </row>
    <row r="13" spans="1:16">
      <c r="A13" s="118" t="s">
        <v>67</v>
      </c>
      <c r="B13" s="22"/>
      <c r="C13" s="113">
        <v>35</v>
      </c>
      <c r="D13" s="21">
        <v>4.8999999999999998E-3</v>
      </c>
      <c r="E13" s="115">
        <v>2</v>
      </c>
      <c r="F13" s="115">
        <v>1.609844768035297</v>
      </c>
      <c r="G13" s="123">
        <v>3.2000000000000001E-2</v>
      </c>
      <c r="H13" s="40">
        <v>1.2760526315789473</v>
      </c>
      <c r="I13" s="111">
        <v>2.5498667124662227</v>
      </c>
      <c r="J13" s="125">
        <v>0.02</v>
      </c>
      <c r="K13" s="40">
        <v>2.6087499999999997</v>
      </c>
      <c r="L13" s="111">
        <v>5.7528573689460343</v>
      </c>
      <c r="M13" s="125">
        <v>2.8019320759240154E-2</v>
      </c>
      <c r="N13" s="128" t="e">
        <f>#REF!</f>
        <v>#REF!</v>
      </c>
      <c r="O13" s="109" t="e">
        <f>#REF!</f>
        <v>#REF!</v>
      </c>
      <c r="P13" s="129" t="e">
        <f>#REF!*1000</f>
        <v>#REF!</v>
      </c>
    </row>
    <row r="14" spans="1:16">
      <c r="A14" s="118" t="s">
        <v>68</v>
      </c>
      <c r="B14" s="23"/>
      <c r="C14" s="113"/>
      <c r="D14" s="21"/>
      <c r="E14" s="115">
        <v>4.4999999999999998E-2</v>
      </c>
      <c r="F14" s="115">
        <v>2.5133091651266217</v>
      </c>
      <c r="G14" s="123">
        <v>2.1000000000000001E-2</v>
      </c>
      <c r="H14" s="40"/>
      <c r="I14" s="111"/>
      <c r="J14" s="125"/>
      <c r="K14" s="136"/>
      <c r="L14" s="51"/>
      <c r="M14" s="125"/>
      <c r="N14" s="79"/>
      <c r="O14" s="83"/>
      <c r="P14" s="129"/>
    </row>
    <row r="15" spans="1:16">
      <c r="A15" s="118" t="s">
        <v>69</v>
      </c>
      <c r="B15" s="23">
        <v>0.12</v>
      </c>
      <c r="C15" s="113">
        <v>56</v>
      </c>
      <c r="D15" s="21">
        <v>3.0999999999999999E-3</v>
      </c>
      <c r="E15" s="115">
        <v>0.11857142857142856</v>
      </c>
      <c r="F15" s="115">
        <v>7.2195660635325174</v>
      </c>
      <c r="G15" s="123">
        <v>7.0000000000000001E-3</v>
      </c>
      <c r="H15" s="40">
        <v>6.9399999999999989E-2</v>
      </c>
      <c r="I15" s="111">
        <v>4.4513100841898385</v>
      </c>
      <c r="J15" s="125">
        <v>1.2E-2</v>
      </c>
      <c r="K15" s="40">
        <v>5.1818181818181812E-2</v>
      </c>
      <c r="L15" s="111">
        <v>1.6603737790364401</v>
      </c>
      <c r="M15" s="125">
        <v>9.7081246366225366E-2</v>
      </c>
      <c r="N15" s="128" t="e">
        <f>#REF!</f>
        <v>#REF!</v>
      </c>
      <c r="O15" s="83" t="e">
        <f>#REF!</f>
        <v>#REF!</v>
      </c>
      <c r="P15" s="129" t="e">
        <f>#REF!*1000</f>
        <v>#REF!</v>
      </c>
    </row>
    <row r="16" spans="1:16">
      <c r="A16" s="118" t="s">
        <v>68</v>
      </c>
      <c r="B16" s="23"/>
      <c r="C16" s="113"/>
      <c r="D16" s="21"/>
      <c r="E16" s="115">
        <v>4.4999999999999998E-2</v>
      </c>
      <c r="F16" s="115">
        <v>2.5133091651266217</v>
      </c>
      <c r="G16" s="123">
        <v>2.1000000000000001E-2</v>
      </c>
      <c r="H16" s="40"/>
      <c r="I16" s="111"/>
      <c r="J16" s="125"/>
      <c r="K16" s="40"/>
      <c r="L16" s="111"/>
      <c r="M16" s="125"/>
      <c r="N16" s="128"/>
      <c r="O16" s="83"/>
      <c r="P16" s="129"/>
    </row>
    <row r="17" spans="1:16">
      <c r="A17" s="118" t="s">
        <v>70</v>
      </c>
      <c r="B17" s="23"/>
      <c r="C17" s="113"/>
      <c r="D17" s="21"/>
      <c r="E17" s="115">
        <v>2</v>
      </c>
      <c r="F17" s="115">
        <v>1.609844768035297</v>
      </c>
      <c r="G17" s="123">
        <v>3.2000000000000001E-2</v>
      </c>
      <c r="H17" s="40">
        <v>2.550782608695652</v>
      </c>
      <c r="I17" s="111">
        <v>4.1245456912780689</v>
      </c>
      <c r="J17" s="125">
        <v>1.26E-2</v>
      </c>
      <c r="K17" s="40">
        <v>1.6603737790364401</v>
      </c>
      <c r="L17" s="111">
        <v>1.216038825256609</v>
      </c>
      <c r="M17" s="125">
        <v>0.13255428408598932</v>
      </c>
      <c r="N17" s="128" t="e">
        <f>#REF!</f>
        <v>#REF!</v>
      </c>
      <c r="O17" s="109" t="e">
        <f>#REF!</f>
        <v>#REF!</v>
      </c>
      <c r="P17" s="129" t="e">
        <f>#REF!*1000</f>
        <v>#REF!</v>
      </c>
    </row>
    <row r="18" spans="1:16">
      <c r="A18" s="118" t="s">
        <v>71</v>
      </c>
      <c r="B18" s="23"/>
      <c r="C18" s="113">
        <v>8.1</v>
      </c>
      <c r="D18" s="21">
        <v>2.1000000000000001E-2</v>
      </c>
      <c r="E18" s="115">
        <v>2</v>
      </c>
      <c r="F18" s="115">
        <v>4.010226371080833</v>
      </c>
      <c r="G18" s="123">
        <v>1.2999999999999999E-2</v>
      </c>
      <c r="H18" s="40"/>
      <c r="I18" s="111"/>
      <c r="J18" s="125"/>
      <c r="K18" s="40"/>
      <c r="L18" s="111"/>
      <c r="M18" s="125"/>
      <c r="N18" s="128"/>
      <c r="O18" s="83"/>
      <c r="P18" s="129"/>
    </row>
    <row r="19" spans="1:16">
      <c r="A19" s="118" t="s">
        <v>72</v>
      </c>
      <c r="B19" s="23"/>
      <c r="C19" s="113"/>
      <c r="D19" s="21"/>
      <c r="E19" s="115">
        <v>56.027845995869619</v>
      </c>
      <c r="F19" s="115">
        <v>4.3925029124997206</v>
      </c>
      <c r="G19" s="123">
        <v>1.2E-2</v>
      </c>
      <c r="H19" s="40">
        <v>23.319566583953684</v>
      </c>
      <c r="I19" s="111">
        <v>4.0769445401425921</v>
      </c>
      <c r="J19" s="125">
        <v>1.2800000000000001E-2</v>
      </c>
      <c r="K19" s="40">
        <v>19.748556565656564</v>
      </c>
      <c r="L19" s="111">
        <v>4.0598912443223591</v>
      </c>
      <c r="M19" s="125">
        <v>3.9703318685710733E-2</v>
      </c>
      <c r="N19" s="128" t="e">
        <f>#REF!</f>
        <v>#REF!</v>
      </c>
      <c r="O19" s="83" t="e">
        <f>#REF!</f>
        <v>#REF!</v>
      </c>
      <c r="P19" s="129" t="e">
        <f>#REF!*1000</f>
        <v>#REF!</v>
      </c>
    </row>
    <row r="20" spans="1:16">
      <c r="A20" s="118" t="s">
        <v>73</v>
      </c>
      <c r="B20" s="23">
        <v>14</v>
      </c>
      <c r="C20" s="113">
        <v>4.2</v>
      </c>
      <c r="D20" s="21">
        <v>4.1000000000000002E-2</v>
      </c>
      <c r="E20" s="115">
        <v>26.370000000000005</v>
      </c>
      <c r="F20" s="115">
        <v>2.0427982377908287</v>
      </c>
      <c r="G20" s="123">
        <v>2.5000000000000001E-2</v>
      </c>
      <c r="H20" s="40">
        <v>16.045883333333332</v>
      </c>
      <c r="I20" s="111">
        <v>2.0794945546303398</v>
      </c>
      <c r="J20" s="125">
        <v>2.5000000000000001E-2</v>
      </c>
      <c r="K20" s="40">
        <v>5.9745000000000008</v>
      </c>
      <c r="L20" s="111">
        <v>0.40252842858589472</v>
      </c>
      <c r="M20" s="125">
        <v>0.40044663794040836</v>
      </c>
      <c r="N20" s="128" t="e">
        <f>#REF!</f>
        <v>#REF!</v>
      </c>
      <c r="O20" s="83" t="e">
        <f>#REF!</f>
        <v>#REF!</v>
      </c>
      <c r="P20" s="129" t="e">
        <f>#REF!*1000</f>
        <v>#REF!</v>
      </c>
    </row>
    <row r="21" spans="1:16">
      <c r="A21" s="118" t="s">
        <v>74</v>
      </c>
      <c r="B21" s="23"/>
      <c r="C21" s="113">
        <v>0.03</v>
      </c>
      <c r="D21" s="21">
        <v>5.7</v>
      </c>
      <c r="E21" s="115">
        <v>405</v>
      </c>
      <c r="F21" s="115">
        <v>0.21007707382627713</v>
      </c>
      <c r="G21" s="123">
        <v>4.7060000000000004</v>
      </c>
      <c r="H21" s="40">
        <v>282.42599999999999</v>
      </c>
      <c r="I21" s="111">
        <v>1.2128013291497442E-2</v>
      </c>
      <c r="J21" s="125">
        <v>1.117</v>
      </c>
      <c r="K21" s="40">
        <v>339.41449999999998</v>
      </c>
      <c r="L21" s="111">
        <v>3.0390099043091943E-2</v>
      </c>
      <c r="M21" s="125">
        <v>5.3040681333119277</v>
      </c>
      <c r="N21" s="128" t="e">
        <f>#REF!</f>
        <v>#REF!</v>
      </c>
      <c r="O21" s="83" t="e">
        <f>#REF!</f>
        <v>#REF!</v>
      </c>
      <c r="P21" s="129" t="e">
        <f>#REF!*1000</f>
        <v>#REF!</v>
      </c>
    </row>
    <row r="22" spans="1:16">
      <c r="A22" s="118" t="s">
        <v>75</v>
      </c>
      <c r="B22" s="23"/>
      <c r="C22" s="113"/>
      <c r="D22" s="21"/>
      <c r="E22" s="115">
        <v>80</v>
      </c>
      <c r="F22" s="115">
        <v>0.8</v>
      </c>
      <c r="G22" s="123">
        <v>1.363</v>
      </c>
      <c r="H22" s="40"/>
      <c r="I22" s="111"/>
      <c r="J22" s="125"/>
      <c r="K22" s="40"/>
      <c r="L22" s="111"/>
      <c r="M22" s="125"/>
      <c r="N22" s="128"/>
      <c r="O22" s="83"/>
      <c r="P22" s="129"/>
    </row>
    <row r="23" spans="1:16">
      <c r="A23" s="118" t="s">
        <v>76</v>
      </c>
      <c r="B23" s="23"/>
      <c r="C23" s="113"/>
      <c r="D23" s="21"/>
      <c r="E23" s="115">
        <v>62000</v>
      </c>
      <c r="F23" s="115"/>
      <c r="G23" s="123">
        <v>0.35799999999999998</v>
      </c>
      <c r="H23" s="40"/>
      <c r="I23" s="111"/>
      <c r="J23" s="125"/>
      <c r="K23" s="40"/>
      <c r="L23" s="111"/>
      <c r="M23" s="125"/>
      <c r="N23" s="128"/>
      <c r="O23" s="83"/>
      <c r="P23" s="129"/>
    </row>
    <row r="24" spans="1:16">
      <c r="A24" s="119" t="s">
        <v>44</v>
      </c>
      <c r="B24" s="24">
        <v>2100</v>
      </c>
      <c r="C24" s="114">
        <v>3.3E-3</v>
      </c>
      <c r="D24" s="25">
        <v>51.3</v>
      </c>
      <c r="E24" s="116">
        <v>44733.679854839022</v>
      </c>
      <c r="F24" s="116">
        <v>2.8434672977959635E-2</v>
      </c>
      <c r="G24" s="124">
        <v>5.8</v>
      </c>
      <c r="H24" s="41">
        <v>3464.3125</v>
      </c>
      <c r="I24" s="117">
        <v>2.2668430706369097E-3</v>
      </c>
      <c r="J24" s="126">
        <v>22.96</v>
      </c>
      <c r="K24" s="41">
        <v>15779.5</v>
      </c>
      <c r="L24" s="117">
        <v>1.4944636351737106E-3</v>
      </c>
      <c r="M24" s="126">
        <v>107.85886796363637</v>
      </c>
      <c r="N24" s="130" t="e">
        <f>#REF!</f>
        <v>#REF!</v>
      </c>
      <c r="O24" s="84" t="e">
        <f>#REF!</f>
        <v>#REF!</v>
      </c>
      <c r="P24" s="131" t="e">
        <f>#REF!*1000</f>
        <v>#REF!</v>
      </c>
    </row>
  </sheetData>
  <mergeCells count="5">
    <mergeCell ref="B7:D7"/>
    <mergeCell ref="E7:G7"/>
    <mergeCell ref="H7:J7"/>
    <mergeCell ref="K7:M7"/>
    <mergeCell ref="N7:P7"/>
  </mergeCells>
  <pageMargins left="0.7" right="0.7" top="0.75" bottom="0.75" header="0.3" footer="0.3"/>
  <pageSetup orientation="portrait" horizontalDpi="4294967292" verticalDpi="4294967292"/>
  <legacyDrawing r:id="rId1"/>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vt:i4>
      </vt:variant>
    </vt:vector>
  </HeadingPairs>
  <TitlesOfParts>
    <vt:vector size="12" baseType="lpstr">
      <vt:lpstr>Tethya</vt:lpstr>
      <vt:lpstr>Ostia</vt:lpstr>
      <vt:lpstr>Subdermal space</vt:lpstr>
      <vt:lpstr>Incurrent Canals</vt:lpstr>
      <vt:lpstr>Prosopyles</vt:lpstr>
      <vt:lpstr>Collars</vt:lpstr>
      <vt:lpstr>Choanocyte Chambers</vt:lpstr>
      <vt:lpstr>Excurrent Canals</vt:lpstr>
      <vt:lpstr>Apopyle</vt:lpstr>
      <vt:lpstr>Osculum</vt:lpstr>
      <vt:lpstr>Sponge Volume</vt:lpstr>
      <vt:lpstr>Comparison table</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Danielle Ludeman</dc:creator>
  <cp:lastModifiedBy>Danielle Ludeman</cp:lastModifiedBy>
  <dcterms:created xsi:type="dcterms:W3CDTF">2012-04-20T20:53:22Z</dcterms:created>
  <dcterms:modified xsi:type="dcterms:W3CDTF">2014-11-16T23:21:18Z</dcterms:modified>
</cp:coreProperties>
</file>